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C:\Users\wisli\Documents\德勤1\工作相关\20210726-20210921财务舞弊案例库\2_上市公司财务舞弊企业数据库excel大表\"/>
    </mc:Choice>
  </mc:AlternateContent>
  <xr:revisionPtr revIDLastSave="0" documentId="13_ncr:1_{C62205AD-3B4D-4EBF-88F4-40C7F8B9C396}" xr6:coauthVersionLast="47" xr6:coauthVersionMax="47" xr10:uidLastSave="{00000000-0000-0000-0000-000000000000}"/>
  <bookViews>
    <workbookView xWindow="-108" yWindow="-108" windowWidth="23256" windowHeight="12576" tabRatio="599" activeTab="1" xr2:uid="{00000000-000D-0000-FFFF-FFFF00000000}"/>
  </bookViews>
  <sheets>
    <sheet name="数据撰写说明" sheetId="3" r:id="rId1"/>
    <sheet name="财务舞弊企业数据库" sheetId="5" r:id="rId2"/>
    <sheet name="Sheet1" sheetId="6" r:id="rId3"/>
    <sheet name="其他" sheetId="1" r:id="rId4"/>
  </sheets>
  <definedNames>
    <definedName name="_xlnm._FilterDatabase" localSheetId="1" hidden="1">财务舞弊企业数据库!$A$4:$FG$300</definedName>
  </definedNames>
  <calcPr calcId="191029" calcOnSave="0"/>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P9" i="5" l="1"/>
  <c r="BR9" i="5" s="1"/>
  <c r="BS9" i="5" s="1"/>
  <c r="AM9" i="5"/>
  <c r="AK9" i="5"/>
  <c r="AN9" i="5" s="1"/>
  <c r="AJ9" i="5"/>
  <c r="AH9" i="5"/>
  <c r="AF9" i="5"/>
  <c r="AI9" i="5" s="1"/>
  <c r="AE9" i="5"/>
  <c r="O9" i="5"/>
  <c r="BP8" i="5" l="1"/>
  <c r="BR8" i="5" s="1"/>
  <c r="BS8" i="5" s="1"/>
  <c r="BK14" i="5"/>
  <c r="AW8" i="5"/>
  <c r="AU8" i="5"/>
  <c r="AX8" i="5" s="1"/>
  <c r="BK8" i="5" s="1"/>
  <c r="O8" i="5"/>
  <c r="A1" i="6"/>
  <c r="BP10" i="5"/>
  <c r="BR10" i="5" s="1"/>
  <c r="BS10" i="5" s="1"/>
  <c r="AM10" i="5"/>
  <c r="BF10" i="5" s="1"/>
  <c r="AH10" i="5"/>
  <c r="AK10" i="5"/>
  <c r="AJ10" i="5"/>
  <c r="AF10" i="5"/>
  <c r="AE10" i="5"/>
  <c r="O10" i="5"/>
  <c r="AH12" i="5"/>
  <c r="BP11" i="5"/>
  <c r="BR11" i="5" s="1"/>
  <c r="BS11" i="5" s="1"/>
  <c r="AM11" i="5"/>
  <c r="AN11" i="5" s="1"/>
  <c r="BE11" i="5" s="1"/>
  <c r="AJ11" i="5"/>
  <c r="AH11" i="5"/>
  <c r="AI11" i="5" s="1"/>
  <c r="BC11" i="5" s="1"/>
  <c r="AE11" i="5"/>
  <c r="O11" i="5"/>
  <c r="O12" i="5"/>
  <c r="AJ12" i="5"/>
  <c r="AE12" i="5"/>
  <c r="BB12" i="5" s="1"/>
  <c r="BP12" i="5"/>
  <c r="BR12" i="5" s="1"/>
  <c r="BS12" i="5" s="1"/>
  <c r="AM12" i="5"/>
  <c r="AK12" i="5"/>
  <c r="AF12" i="5"/>
  <c r="BS300" i="5"/>
  <c r="BR300" i="5"/>
  <c r="BK300" i="5"/>
  <c r="BJ300" i="5"/>
  <c r="BF300" i="5"/>
  <c r="BE300" i="5"/>
  <c r="BD300" i="5"/>
  <c r="BC300" i="5"/>
  <c r="BB300" i="5"/>
  <c r="AP300" i="5"/>
  <c r="BI300" i="5" s="1"/>
  <c r="AO300" i="5"/>
  <c r="BG300" i="5" s="1"/>
  <c r="AA300" i="5"/>
  <c r="AD300" i="5" s="1"/>
  <c r="BA300" i="5" s="1"/>
  <c r="Z300" i="5"/>
  <c r="AZ300" i="5" s="1"/>
  <c r="BR299" i="5"/>
  <c r="BS299" i="5" s="1"/>
  <c r="BJ299" i="5"/>
  <c r="BI299" i="5"/>
  <c r="BG299" i="5"/>
  <c r="BF299" i="5"/>
  <c r="BE299" i="5"/>
  <c r="BD299" i="5"/>
  <c r="BA299" i="5"/>
  <c r="AZ299" i="5"/>
  <c r="AX299" i="5"/>
  <c r="BK299" i="5" s="1"/>
  <c r="AS299" i="5"/>
  <c r="BH299" i="5" s="1"/>
  <c r="AF299" i="5"/>
  <c r="AI299" i="5" s="1"/>
  <c r="BC299" i="5" s="1"/>
  <c r="AE299" i="5"/>
  <c r="BB299" i="5" s="1"/>
  <c r="BS298" i="5"/>
  <c r="BR298" i="5"/>
  <c r="BK298" i="5"/>
  <c r="BJ298" i="5"/>
  <c r="BI298" i="5"/>
  <c r="BH298" i="5"/>
  <c r="BG298" i="5"/>
  <c r="BF298" i="5"/>
  <c r="BE298" i="5"/>
  <c r="BD298" i="5"/>
  <c r="BC298" i="5"/>
  <c r="BB298" i="5"/>
  <c r="AD298" i="5"/>
  <c r="BA298" i="5" s="1"/>
  <c r="Z298" i="5"/>
  <c r="AZ298" i="5" s="1"/>
  <c r="BS297" i="5"/>
  <c r="BR297" i="5"/>
  <c r="BJ297" i="5"/>
  <c r="BI297" i="5"/>
  <c r="BH297" i="5"/>
  <c r="BG297" i="5"/>
  <c r="BF297" i="5"/>
  <c r="BE297" i="5"/>
  <c r="BD297" i="5"/>
  <c r="BB297" i="5"/>
  <c r="AX297" i="5"/>
  <c r="BK297" i="5" s="1"/>
  <c r="AI297" i="5"/>
  <c r="BC297" i="5" s="1"/>
  <c r="AD297" i="5"/>
  <c r="BA297" i="5" s="1"/>
  <c r="Z297" i="5"/>
  <c r="AZ297" i="5" s="1"/>
  <c r="BR296" i="5"/>
  <c r="BS296" i="5" s="1"/>
  <c r="BJ296" i="5"/>
  <c r="BI296" i="5"/>
  <c r="BH296" i="5"/>
  <c r="BG296" i="5"/>
  <c r="BF296" i="5"/>
  <c r="BE296" i="5"/>
  <c r="BD296" i="5"/>
  <c r="BC296" i="5"/>
  <c r="BB296" i="5"/>
  <c r="AX296" i="5"/>
  <c r="BK296" i="5" s="1"/>
  <c r="AD296" i="5"/>
  <c r="BA296" i="5" s="1"/>
  <c r="Z296" i="5"/>
  <c r="AZ296" i="5" s="1"/>
  <c r="BS295" i="5"/>
  <c r="BR295" i="5"/>
  <c r="BK295" i="5"/>
  <c r="BJ295" i="5"/>
  <c r="BI295" i="5"/>
  <c r="BH295" i="5"/>
  <c r="BG295" i="5"/>
  <c r="BD295" i="5"/>
  <c r="BB295" i="5"/>
  <c r="AZ295" i="5"/>
  <c r="AM295" i="5"/>
  <c r="BF295" i="5" s="1"/>
  <c r="AI295" i="5"/>
  <c r="BC295" i="5" s="1"/>
  <c r="AD295" i="5"/>
  <c r="BA295" i="5" s="1"/>
  <c r="BR294" i="5"/>
  <c r="BS294" i="5" s="1"/>
  <c r="BI294" i="5"/>
  <c r="BH294" i="5"/>
  <c r="BG294" i="5"/>
  <c r="BF294" i="5"/>
  <c r="BE294" i="5"/>
  <c r="BD294" i="5"/>
  <c r="BC294" i="5"/>
  <c r="BB294" i="5"/>
  <c r="AZ294" i="5"/>
  <c r="AX294" i="5"/>
  <c r="BK294" i="5" s="1"/>
  <c r="AT294" i="5"/>
  <c r="BJ294" i="5" s="1"/>
  <c r="AD294" i="5"/>
  <c r="BA294" i="5" s="1"/>
  <c r="BS293" i="5"/>
  <c r="BR293" i="5"/>
  <c r="BJ293" i="5"/>
  <c r="BI293" i="5"/>
  <c r="BH293" i="5"/>
  <c r="BG293" i="5"/>
  <c r="BF293" i="5"/>
  <c r="BE293" i="5"/>
  <c r="BD293" i="5"/>
  <c r="BC293" i="5"/>
  <c r="BB293" i="5"/>
  <c r="BA293" i="5"/>
  <c r="AZ293" i="5"/>
  <c r="AX293" i="5"/>
  <c r="BK293" i="5" s="1"/>
  <c r="BR292" i="5"/>
  <c r="BS292" i="5" s="1"/>
  <c r="BK292" i="5"/>
  <c r="BJ292" i="5"/>
  <c r="BI292" i="5"/>
  <c r="BH292" i="5"/>
  <c r="BG292" i="5"/>
  <c r="BC292" i="5"/>
  <c r="BB292" i="5"/>
  <c r="AK292" i="5"/>
  <c r="BF292" i="5" s="1"/>
  <c r="AJ292" i="5"/>
  <c r="BD292" i="5" s="1"/>
  <c r="AA292" i="5"/>
  <c r="AD292" i="5" s="1"/>
  <c r="BA292" i="5" s="1"/>
  <c r="Z292" i="5"/>
  <c r="AZ292" i="5" s="1"/>
  <c r="BR291" i="5"/>
  <c r="BS291" i="5" s="1"/>
  <c r="BI291" i="5"/>
  <c r="BH291" i="5"/>
  <c r="BG291" i="5"/>
  <c r="BF291" i="5"/>
  <c r="BE291" i="5"/>
  <c r="BD291" i="5"/>
  <c r="BC291" i="5"/>
  <c r="BB291" i="5"/>
  <c r="AU291" i="5"/>
  <c r="AX291" i="5" s="1"/>
  <c r="BK291" i="5" s="1"/>
  <c r="AT291" i="5"/>
  <c r="BJ291" i="5" s="1"/>
  <c r="AA291" i="5"/>
  <c r="AD291" i="5" s="1"/>
  <c r="BA291" i="5" s="1"/>
  <c r="Z291" i="5"/>
  <c r="AZ291" i="5" s="1"/>
  <c r="BR290" i="5"/>
  <c r="BS290" i="5" s="1"/>
  <c r="BJ290" i="5"/>
  <c r="BI290" i="5"/>
  <c r="BH290" i="5"/>
  <c r="BG290" i="5"/>
  <c r="BF290" i="5"/>
  <c r="BE290" i="5"/>
  <c r="BD290" i="5"/>
  <c r="BC290" i="5"/>
  <c r="BB290" i="5"/>
  <c r="AZ290" i="5"/>
  <c r="AX290" i="5"/>
  <c r="BK290" i="5" s="1"/>
  <c r="AD290" i="5"/>
  <c r="BA290" i="5" s="1"/>
  <c r="BR289" i="5"/>
  <c r="BS289" i="5" s="1"/>
  <c r="BK289" i="5"/>
  <c r="BJ289" i="5"/>
  <c r="BI289" i="5"/>
  <c r="BH289" i="5"/>
  <c r="BG289" i="5"/>
  <c r="BB289" i="5"/>
  <c r="BA289" i="5"/>
  <c r="AZ289" i="5"/>
  <c r="AK289" i="5"/>
  <c r="BF289" i="5" s="1"/>
  <c r="AJ289" i="5"/>
  <c r="BD289" i="5" s="1"/>
  <c r="AI289" i="5"/>
  <c r="BC289" i="5" s="1"/>
  <c r="BR288" i="5"/>
  <c r="BS288" i="5" s="1"/>
  <c r="BK288" i="5"/>
  <c r="BJ288" i="5"/>
  <c r="BI288" i="5"/>
  <c r="BH288" i="5"/>
  <c r="BG288" i="5"/>
  <c r="BF288" i="5"/>
  <c r="BE288" i="5"/>
  <c r="BD288" i="5"/>
  <c r="BC288" i="5"/>
  <c r="BB288" i="5"/>
  <c r="AZ288" i="5"/>
  <c r="AD288" i="5"/>
  <c r="BA288" i="5" s="1"/>
  <c r="BR287" i="5"/>
  <c r="BS287" i="5" s="1"/>
  <c r="BI287" i="5"/>
  <c r="BH287" i="5"/>
  <c r="BG287" i="5"/>
  <c r="BF287" i="5"/>
  <c r="BE287" i="5"/>
  <c r="BD287" i="5"/>
  <c r="BC287" i="5"/>
  <c r="BB287" i="5"/>
  <c r="BA287" i="5"/>
  <c r="AZ287" i="5"/>
  <c r="AU287" i="5"/>
  <c r="AX287" i="5" s="1"/>
  <c r="BK287" i="5" s="1"/>
  <c r="AT287" i="5"/>
  <c r="BJ287" i="5" s="1"/>
  <c r="BR286" i="5"/>
  <c r="BS286" i="5" s="1"/>
  <c r="BK286" i="5"/>
  <c r="BJ286" i="5"/>
  <c r="BI286" i="5"/>
  <c r="BH286" i="5"/>
  <c r="BG286" i="5"/>
  <c r="BF286" i="5"/>
  <c r="BE286" i="5"/>
  <c r="BD286" i="5"/>
  <c r="BB286" i="5"/>
  <c r="BA286" i="5"/>
  <c r="AZ286" i="5"/>
  <c r="AI286" i="5"/>
  <c r="BC286" i="5" s="1"/>
  <c r="BR285" i="5"/>
  <c r="BS285" i="5" s="1"/>
  <c r="BK285" i="5"/>
  <c r="BJ285" i="5"/>
  <c r="BI285" i="5"/>
  <c r="BH285" i="5"/>
  <c r="BG285" i="5"/>
  <c r="BF285" i="5"/>
  <c r="BE285" i="5"/>
  <c r="BD285" i="5"/>
  <c r="BC285" i="5"/>
  <c r="BB285" i="5"/>
  <c r="AA285" i="5"/>
  <c r="AD285" i="5" s="1"/>
  <c r="BA285" i="5" s="1"/>
  <c r="Z285" i="5"/>
  <c r="AZ285" i="5" s="1"/>
  <c r="BR284" i="5"/>
  <c r="BS284" i="5" s="1"/>
  <c r="BI284" i="5"/>
  <c r="BH284" i="5"/>
  <c r="BG284" i="5"/>
  <c r="BA284" i="5"/>
  <c r="AZ284" i="5"/>
  <c r="AW284" i="5"/>
  <c r="AU284" i="5"/>
  <c r="AT284" i="5"/>
  <c r="BJ284" i="5" s="1"/>
  <c r="AK284" i="5"/>
  <c r="AJ284" i="5"/>
  <c r="BD284" i="5" s="1"/>
  <c r="AI284" i="5"/>
  <c r="BC284" i="5" s="1"/>
  <c r="AE284" i="5"/>
  <c r="BB284" i="5" s="1"/>
  <c r="BR283" i="5"/>
  <c r="BS283" i="5" s="1"/>
  <c r="BK283" i="5"/>
  <c r="BJ283" i="5"/>
  <c r="BI283" i="5"/>
  <c r="BH283" i="5"/>
  <c r="BG283" i="5"/>
  <c r="BF283" i="5"/>
  <c r="BE283" i="5"/>
  <c r="BD283" i="5"/>
  <c r="BB283" i="5"/>
  <c r="BA283" i="5"/>
  <c r="AZ283" i="5"/>
  <c r="AI283" i="5"/>
  <c r="BC283" i="5" s="1"/>
  <c r="BR282" i="5"/>
  <c r="BS282" i="5" s="1"/>
  <c r="BK282" i="5"/>
  <c r="BJ282" i="5"/>
  <c r="BI282" i="5"/>
  <c r="BH282" i="5"/>
  <c r="BG282" i="5"/>
  <c r="BB282" i="5"/>
  <c r="BA282" i="5"/>
  <c r="AZ282" i="5"/>
  <c r="AK282" i="5"/>
  <c r="BF282" i="5" s="1"/>
  <c r="AJ282" i="5"/>
  <c r="BD282" i="5" s="1"/>
  <c r="AI282" i="5"/>
  <c r="BC282" i="5" s="1"/>
  <c r="BR281" i="5"/>
  <c r="BS281" i="5" s="1"/>
  <c r="BI281" i="5"/>
  <c r="BH281" i="5"/>
  <c r="BG281" i="5"/>
  <c r="AW281" i="5"/>
  <c r="AU281" i="5"/>
  <c r="AT281" i="5"/>
  <c r="BJ281" i="5" s="1"/>
  <c r="AK281" i="5"/>
  <c r="BF281" i="5" s="1"/>
  <c r="AJ281" i="5"/>
  <c r="BD281" i="5" s="1"/>
  <c r="AF281" i="5"/>
  <c r="AI281" i="5" s="1"/>
  <c r="BC281" i="5" s="1"/>
  <c r="AE281" i="5"/>
  <c r="BB281" i="5" s="1"/>
  <c r="AA281" i="5"/>
  <c r="AD281" i="5" s="1"/>
  <c r="BA281" i="5" s="1"/>
  <c r="Z281" i="5"/>
  <c r="AZ281" i="5" s="1"/>
  <c r="BR280" i="5"/>
  <c r="BS280" i="5" s="1"/>
  <c r="BK280" i="5"/>
  <c r="BJ280" i="5"/>
  <c r="BI280" i="5"/>
  <c r="BH280" i="5"/>
  <c r="BG280" i="5"/>
  <c r="BF280" i="5"/>
  <c r="BD280" i="5"/>
  <c r="BB280" i="5"/>
  <c r="BA280" i="5"/>
  <c r="AZ280" i="5"/>
  <c r="AN280" i="5"/>
  <c r="BE280" i="5" s="1"/>
  <c r="AI280" i="5"/>
  <c r="BC280" i="5" s="1"/>
  <c r="BS279" i="5"/>
  <c r="BR279" i="5"/>
  <c r="BK279" i="5"/>
  <c r="BJ279" i="5"/>
  <c r="BI279" i="5"/>
  <c r="BH279" i="5"/>
  <c r="BG279" i="5"/>
  <c r="BF279" i="5"/>
  <c r="BE279" i="5"/>
  <c r="BD279" i="5"/>
  <c r="BC279" i="5"/>
  <c r="BA279" i="5"/>
  <c r="AZ279" i="5"/>
  <c r="AE279" i="5"/>
  <c r="BB279" i="5" s="1"/>
  <c r="BR278" i="5"/>
  <c r="BS278" i="5" s="1"/>
  <c r="BK278" i="5"/>
  <c r="BJ278" i="5"/>
  <c r="BI278" i="5"/>
  <c r="BH278" i="5"/>
  <c r="BG278" i="5"/>
  <c r="BF278" i="5"/>
  <c r="BE278" i="5"/>
  <c r="BD278" i="5"/>
  <c r="BC278" i="5"/>
  <c r="BB278" i="5"/>
  <c r="AA278" i="5"/>
  <c r="AD278" i="5" s="1"/>
  <c r="BA278" i="5" s="1"/>
  <c r="Z278" i="5"/>
  <c r="AZ278" i="5" s="1"/>
  <c r="BR277" i="5"/>
  <c r="BS277" i="5" s="1"/>
  <c r="BK277" i="5"/>
  <c r="BJ277" i="5"/>
  <c r="BI277" i="5"/>
  <c r="BH277" i="5"/>
  <c r="BG277" i="5"/>
  <c r="BF277" i="5"/>
  <c r="BE277" i="5"/>
  <c r="BD277" i="5"/>
  <c r="BC277" i="5"/>
  <c r="BB277" i="5"/>
  <c r="AZ277" i="5"/>
  <c r="AD277" i="5"/>
  <c r="BA277" i="5" s="1"/>
  <c r="BR276" i="5"/>
  <c r="BS276" i="5" s="1"/>
  <c r="BK276" i="5"/>
  <c r="BJ276" i="5"/>
  <c r="BI276" i="5"/>
  <c r="BH276" i="5"/>
  <c r="BG276" i="5"/>
  <c r="BF276" i="5"/>
  <c r="BE276" i="5"/>
  <c r="BD276" i="5"/>
  <c r="BC276" i="5"/>
  <c r="BB276" i="5"/>
  <c r="AZ276" i="5"/>
  <c r="AA276" i="5"/>
  <c r="AD276" i="5" s="1"/>
  <c r="BA276" i="5" s="1"/>
  <c r="Z276" i="5"/>
  <c r="BS275" i="5"/>
  <c r="BR275" i="5"/>
  <c r="BI275" i="5"/>
  <c r="BH275" i="5"/>
  <c r="BG275" i="5"/>
  <c r="BF275" i="5"/>
  <c r="BE275" i="5"/>
  <c r="BD275" i="5"/>
  <c r="BC275" i="5"/>
  <c r="BB275" i="5"/>
  <c r="AU275" i="5"/>
  <c r="AX275" i="5" s="1"/>
  <c r="BK275" i="5" s="1"/>
  <c r="AT275" i="5"/>
  <c r="BJ275" i="5" s="1"/>
  <c r="AA275" i="5"/>
  <c r="AD275" i="5" s="1"/>
  <c r="BA275" i="5" s="1"/>
  <c r="Z275" i="5"/>
  <c r="AZ275" i="5" s="1"/>
  <c r="BR274" i="5"/>
  <c r="BS274" i="5" s="1"/>
  <c r="BI274" i="5"/>
  <c r="BH274" i="5"/>
  <c r="BG274" i="5"/>
  <c r="BF274" i="5"/>
  <c r="BE274" i="5"/>
  <c r="BD274" i="5"/>
  <c r="BC274" i="5"/>
  <c r="BB274" i="5"/>
  <c r="AZ274" i="5"/>
  <c r="AU274" i="5"/>
  <c r="AX274" i="5" s="1"/>
  <c r="BK274" i="5" s="1"/>
  <c r="AT274" i="5"/>
  <c r="BJ274" i="5" s="1"/>
  <c r="AD274" i="5"/>
  <c r="BA274" i="5" s="1"/>
  <c r="BR273" i="5"/>
  <c r="BS273" i="5" s="1"/>
  <c r="BK273" i="5"/>
  <c r="BJ273" i="5"/>
  <c r="BI273" i="5"/>
  <c r="BH273" i="5"/>
  <c r="BG273" i="5"/>
  <c r="BF273" i="5"/>
  <c r="BE273" i="5"/>
  <c r="BD273" i="5"/>
  <c r="BB273" i="5"/>
  <c r="BA273" i="5"/>
  <c r="AZ273" i="5"/>
  <c r="AI273" i="5"/>
  <c r="BC273" i="5" s="1"/>
  <c r="BS272" i="5"/>
  <c r="BR272" i="5"/>
  <c r="BK272" i="5"/>
  <c r="BJ272" i="5"/>
  <c r="BI272" i="5"/>
  <c r="BH272" i="5"/>
  <c r="BG272" i="5"/>
  <c r="BF272" i="5"/>
  <c r="BA272" i="5"/>
  <c r="AZ272" i="5"/>
  <c r="AN272" i="5"/>
  <c r="BE272" i="5" s="1"/>
  <c r="AJ272" i="5"/>
  <c r="BD272" i="5" s="1"/>
  <c r="AI272" i="5"/>
  <c r="BC272" i="5" s="1"/>
  <c r="AE272" i="5"/>
  <c r="BB272" i="5" s="1"/>
  <c r="BR271" i="5"/>
  <c r="BS271" i="5" s="1"/>
  <c r="BJ271" i="5"/>
  <c r="BI271" i="5"/>
  <c r="BH271" i="5"/>
  <c r="BG271" i="5"/>
  <c r="BF271" i="5"/>
  <c r="BA271" i="5"/>
  <c r="AZ271" i="5"/>
  <c r="AX271" i="5"/>
  <c r="BK271" i="5" s="1"/>
  <c r="AN271" i="5"/>
  <c r="BE271" i="5" s="1"/>
  <c r="AJ271" i="5"/>
  <c r="BD271" i="5" s="1"/>
  <c r="AI271" i="5"/>
  <c r="BC271" i="5" s="1"/>
  <c r="AE271" i="5"/>
  <c r="BB271" i="5" s="1"/>
  <c r="BS270" i="5"/>
  <c r="BR270" i="5"/>
  <c r="BI270" i="5"/>
  <c r="BH270" i="5"/>
  <c r="BG270" i="5"/>
  <c r="BF270" i="5"/>
  <c r="BE270" i="5"/>
  <c r="BD270" i="5"/>
  <c r="BC270" i="5"/>
  <c r="BB270" i="5"/>
  <c r="AW270" i="5"/>
  <c r="AU270" i="5"/>
  <c r="AT270" i="5"/>
  <c r="BJ270" i="5" s="1"/>
  <c r="AD270" i="5"/>
  <c r="BA270" i="5" s="1"/>
  <c r="Z270" i="5"/>
  <c r="AZ270" i="5" s="1"/>
  <c r="BR269" i="5"/>
  <c r="BS269" i="5" s="1"/>
  <c r="BK269" i="5"/>
  <c r="BJ269" i="5"/>
  <c r="BI269" i="5"/>
  <c r="BH269" i="5"/>
  <c r="BG269" i="5"/>
  <c r="BF269" i="5"/>
  <c r="BE269" i="5"/>
  <c r="BD269" i="5"/>
  <c r="AI269" i="5"/>
  <c r="BC269" i="5" s="1"/>
  <c r="AE269" i="5"/>
  <c r="BB269" i="5" s="1"/>
  <c r="AD269" i="5"/>
  <c r="BA269" i="5" s="1"/>
  <c r="Z269" i="5"/>
  <c r="AZ269" i="5" s="1"/>
  <c r="BR268" i="5"/>
  <c r="BS268" i="5" s="1"/>
  <c r="BK268" i="5"/>
  <c r="BJ268" i="5"/>
  <c r="BI268" i="5"/>
  <c r="BH268" i="5"/>
  <c r="BG268" i="5"/>
  <c r="BF268" i="5"/>
  <c r="BE268" i="5"/>
  <c r="BD268" i="5"/>
  <c r="BA268" i="5"/>
  <c r="AZ268" i="5"/>
  <c r="AI268" i="5"/>
  <c r="BC268" i="5" s="1"/>
  <c r="AE268" i="5"/>
  <c r="BB268" i="5" s="1"/>
  <c r="BS267" i="5"/>
  <c r="BR267" i="5"/>
  <c r="BK267" i="5"/>
  <c r="BJ267" i="5"/>
  <c r="BI267" i="5"/>
  <c r="BH267" i="5"/>
  <c r="BG267" i="5"/>
  <c r="BA267" i="5"/>
  <c r="AZ267" i="5"/>
  <c r="AM267" i="5"/>
  <c r="AK267" i="5"/>
  <c r="AJ267" i="5"/>
  <c r="BD267" i="5" s="1"/>
  <c r="AH267" i="5"/>
  <c r="AF267" i="5"/>
  <c r="AE267" i="5"/>
  <c r="BB267" i="5" s="1"/>
  <c r="BS266" i="5"/>
  <c r="BR266" i="5"/>
  <c r="BK266" i="5"/>
  <c r="BJ266" i="5"/>
  <c r="BI266" i="5"/>
  <c r="BH266" i="5"/>
  <c r="BG266" i="5"/>
  <c r="BF266" i="5"/>
  <c r="BB266" i="5"/>
  <c r="AN266" i="5"/>
  <c r="BE266" i="5" s="1"/>
  <c r="AJ266" i="5"/>
  <c r="BD266" i="5" s="1"/>
  <c r="AI266" i="5"/>
  <c r="BC266" i="5" s="1"/>
  <c r="AD266" i="5"/>
  <c r="BA266" i="5" s="1"/>
  <c r="Z266" i="5"/>
  <c r="AZ266" i="5" s="1"/>
  <c r="BR265" i="5"/>
  <c r="BS265" i="5" s="1"/>
  <c r="BK265" i="5"/>
  <c r="BJ265" i="5"/>
  <c r="BI265" i="5"/>
  <c r="BH265" i="5"/>
  <c r="BG265" i="5"/>
  <c r="BF265" i="5"/>
  <c r="BE265" i="5"/>
  <c r="BD265" i="5"/>
  <c r="BC265" i="5"/>
  <c r="BB265" i="5"/>
  <c r="BA265" i="5"/>
  <c r="AZ265" i="5"/>
  <c r="BS264" i="5"/>
  <c r="BR264" i="5"/>
  <c r="BK264" i="5"/>
  <c r="BJ264" i="5"/>
  <c r="BI264" i="5"/>
  <c r="BH264" i="5"/>
  <c r="BG264" i="5"/>
  <c r="BF264" i="5"/>
  <c r="BE264" i="5"/>
  <c r="BD264" i="5"/>
  <c r="BC264" i="5"/>
  <c r="BB264" i="5"/>
  <c r="BA264" i="5"/>
  <c r="AA264" i="5"/>
  <c r="Z264" i="5"/>
  <c r="AZ264" i="5" s="1"/>
  <c r="BS263" i="5"/>
  <c r="BP263" i="5"/>
  <c r="BR263" i="5" s="1"/>
  <c r="BJ263" i="5"/>
  <c r="BI263" i="5"/>
  <c r="BH263" i="5"/>
  <c r="BG263" i="5"/>
  <c r="BF263" i="5"/>
  <c r="BE263" i="5"/>
  <c r="BD263" i="5"/>
  <c r="BC263" i="5"/>
  <c r="BB263" i="5"/>
  <c r="BA263" i="5"/>
  <c r="AZ263" i="5"/>
  <c r="AX263" i="5"/>
  <c r="BK263" i="5" s="1"/>
  <c r="BP262" i="5"/>
  <c r="BR262" i="5" s="1"/>
  <c r="BS262" i="5" s="1"/>
  <c r="BK262" i="5"/>
  <c r="BJ262" i="5"/>
  <c r="BI262" i="5"/>
  <c r="BH262" i="5"/>
  <c r="BG262" i="5"/>
  <c r="BF262" i="5"/>
  <c r="BC262" i="5"/>
  <c r="BB262" i="5"/>
  <c r="BA262" i="5"/>
  <c r="AZ262" i="5"/>
  <c r="AN262" i="5"/>
  <c r="BE262" i="5" s="1"/>
  <c r="AJ262" i="5"/>
  <c r="BD262" i="5" s="1"/>
  <c r="BP261" i="5"/>
  <c r="BR261" i="5" s="1"/>
  <c r="BS261" i="5" s="1"/>
  <c r="BK261" i="5"/>
  <c r="BJ261" i="5"/>
  <c r="BI261" i="5"/>
  <c r="BG261" i="5"/>
  <c r="BF261" i="5"/>
  <c r="BE261" i="5"/>
  <c r="BD261" i="5"/>
  <c r="BC261" i="5"/>
  <c r="BB261" i="5"/>
  <c r="BA261" i="5"/>
  <c r="AZ261" i="5"/>
  <c r="AS261" i="5"/>
  <c r="BH261" i="5" s="1"/>
  <c r="BP260" i="5"/>
  <c r="BR260" i="5" s="1"/>
  <c r="BS260" i="5" s="1"/>
  <c r="BK260" i="5"/>
  <c r="BJ260" i="5"/>
  <c r="BI260" i="5"/>
  <c r="BH260" i="5"/>
  <c r="BG260" i="5"/>
  <c r="BF260" i="5"/>
  <c r="BD260" i="5"/>
  <c r="BB260" i="5"/>
  <c r="BA260" i="5"/>
  <c r="AZ260" i="5"/>
  <c r="AN260" i="5"/>
  <c r="BE260" i="5" s="1"/>
  <c r="AI260" i="5"/>
  <c r="BC260" i="5" s="1"/>
  <c r="BP259" i="5"/>
  <c r="BR259" i="5" s="1"/>
  <c r="BS259" i="5" s="1"/>
  <c r="BJ259" i="5"/>
  <c r="BI259" i="5"/>
  <c r="BH259" i="5"/>
  <c r="BG259" i="5"/>
  <c r="BF259" i="5"/>
  <c r="BD259" i="5"/>
  <c r="BC259" i="5"/>
  <c r="BB259" i="5"/>
  <c r="AX259" i="5"/>
  <c r="BK259" i="5" s="1"/>
  <c r="AN259" i="5"/>
  <c r="BE259" i="5" s="1"/>
  <c r="AD259" i="5"/>
  <c r="BA259" i="5" s="1"/>
  <c r="Z259" i="5"/>
  <c r="AZ259" i="5" s="1"/>
  <c r="BP258" i="5"/>
  <c r="BR258" i="5" s="1"/>
  <c r="BS258" i="5" s="1"/>
  <c r="BK258" i="5"/>
  <c r="BJ258" i="5"/>
  <c r="BI258" i="5"/>
  <c r="BH258" i="5"/>
  <c r="BG258" i="5"/>
  <c r="BD258" i="5"/>
  <c r="BC258" i="5"/>
  <c r="BB258" i="5"/>
  <c r="BA258" i="5"/>
  <c r="AZ258" i="5"/>
  <c r="AM258" i="5"/>
  <c r="BF258" i="5" s="1"/>
  <c r="BP257" i="5"/>
  <c r="BR257" i="5" s="1"/>
  <c r="BS257" i="5" s="1"/>
  <c r="BK257" i="5"/>
  <c r="BJ257" i="5"/>
  <c r="BI257" i="5"/>
  <c r="BH257" i="5"/>
  <c r="BG257" i="5"/>
  <c r="BF257" i="5"/>
  <c r="BD257" i="5"/>
  <c r="BC257" i="5"/>
  <c r="BB257" i="5"/>
  <c r="BA257" i="5"/>
  <c r="AZ257" i="5"/>
  <c r="AN257" i="5"/>
  <c r="BE257" i="5" s="1"/>
  <c r="BP256" i="5"/>
  <c r="BR256" i="5" s="1"/>
  <c r="BS256" i="5" s="1"/>
  <c r="BK256" i="5"/>
  <c r="BJ256" i="5"/>
  <c r="BI256" i="5"/>
  <c r="BH256" i="5"/>
  <c r="BG256" i="5"/>
  <c r="BF256" i="5"/>
  <c r="BE256" i="5"/>
  <c r="BD256" i="5"/>
  <c r="BC256" i="5"/>
  <c r="BB256" i="5"/>
  <c r="AD256" i="5"/>
  <c r="BA256" i="5" s="1"/>
  <c r="Z256" i="5"/>
  <c r="AZ256" i="5" s="1"/>
  <c r="BP255" i="5"/>
  <c r="BR255" i="5" s="1"/>
  <c r="BS255" i="5" s="1"/>
  <c r="BJ255" i="5"/>
  <c r="BI255" i="5"/>
  <c r="BH255" i="5"/>
  <c r="BG255" i="5"/>
  <c r="BF255" i="5"/>
  <c r="BE255" i="5"/>
  <c r="BD255" i="5"/>
  <c r="BC255" i="5"/>
  <c r="BB255" i="5"/>
  <c r="BA255" i="5"/>
  <c r="AZ255" i="5"/>
  <c r="AX255" i="5"/>
  <c r="BK255" i="5" s="1"/>
  <c r="BP254" i="5"/>
  <c r="BR254" i="5" s="1"/>
  <c r="BS254" i="5" s="1"/>
  <c r="BK254" i="5"/>
  <c r="BJ254" i="5"/>
  <c r="BI254" i="5"/>
  <c r="BH254" i="5"/>
  <c r="BG254" i="5"/>
  <c r="BF254" i="5"/>
  <c r="BE254" i="5"/>
  <c r="BD254" i="5"/>
  <c r="BB254" i="5"/>
  <c r="AI254" i="5"/>
  <c r="BC254" i="5" s="1"/>
  <c r="AD254" i="5"/>
  <c r="BA254" i="5" s="1"/>
  <c r="Z254" i="5"/>
  <c r="AZ254" i="5" s="1"/>
  <c r="BS253" i="5"/>
  <c r="BP253" i="5"/>
  <c r="BR253" i="5" s="1"/>
  <c r="BJ253" i="5"/>
  <c r="BI253" i="5"/>
  <c r="BH253" i="5"/>
  <c r="BG253" i="5"/>
  <c r="BF253" i="5"/>
  <c r="BE253" i="5"/>
  <c r="BD253" i="5"/>
  <c r="BB253" i="5"/>
  <c r="AZ253" i="5"/>
  <c r="AX253" i="5"/>
  <c r="BK253" i="5" s="1"/>
  <c r="AI253" i="5"/>
  <c r="BC253" i="5" s="1"/>
  <c r="AD253" i="5"/>
  <c r="BA253" i="5" s="1"/>
  <c r="BP252" i="5"/>
  <c r="BR252" i="5" s="1"/>
  <c r="BS252" i="5" s="1"/>
  <c r="BK252" i="5"/>
  <c r="BJ252" i="5"/>
  <c r="BI252" i="5"/>
  <c r="BH252" i="5"/>
  <c r="BG252" i="5"/>
  <c r="BC252" i="5"/>
  <c r="BB252" i="5"/>
  <c r="BA252" i="5"/>
  <c r="AZ252" i="5"/>
  <c r="AM252" i="5"/>
  <c r="AK252" i="5"/>
  <c r="AJ252" i="5"/>
  <c r="BD252" i="5" s="1"/>
  <c r="O252" i="5"/>
  <c r="BP251" i="5"/>
  <c r="BR251" i="5" s="1"/>
  <c r="BS251" i="5" s="1"/>
  <c r="BK251" i="5"/>
  <c r="BJ251" i="5"/>
  <c r="BI251" i="5"/>
  <c r="BH251" i="5"/>
  <c r="BG251" i="5"/>
  <c r="BC251" i="5"/>
  <c r="BB251" i="5"/>
  <c r="BA251" i="5"/>
  <c r="AZ251" i="5"/>
  <c r="AM251" i="5"/>
  <c r="BF251" i="5" s="1"/>
  <c r="AJ251" i="5"/>
  <c r="BD251" i="5" s="1"/>
  <c r="O251" i="5"/>
  <c r="BP250" i="5"/>
  <c r="BR250" i="5" s="1"/>
  <c r="BS250" i="5" s="1"/>
  <c r="BI250" i="5"/>
  <c r="BH250" i="5"/>
  <c r="BG250" i="5"/>
  <c r="BF250" i="5"/>
  <c r="AU250" i="5"/>
  <c r="AX250" i="5" s="1"/>
  <c r="BK250" i="5" s="1"/>
  <c r="AT250" i="5"/>
  <c r="BJ250" i="5" s="1"/>
  <c r="AN250" i="5"/>
  <c r="BE250" i="5" s="1"/>
  <c r="AJ250" i="5"/>
  <c r="BD250" i="5" s="1"/>
  <c r="AI250" i="5"/>
  <c r="BC250" i="5" s="1"/>
  <c r="AE250" i="5"/>
  <c r="BB250" i="5" s="1"/>
  <c r="AA250" i="5"/>
  <c r="AD250" i="5" s="1"/>
  <c r="BA250" i="5" s="1"/>
  <c r="Z250" i="5"/>
  <c r="AZ250" i="5" s="1"/>
  <c r="BP249" i="5"/>
  <c r="BR249" i="5" s="1"/>
  <c r="BS249" i="5" s="1"/>
  <c r="BK249" i="5"/>
  <c r="BJ249" i="5"/>
  <c r="BI249" i="5"/>
  <c r="BH249" i="5"/>
  <c r="BG249" i="5"/>
  <c r="BD249" i="5"/>
  <c r="BA249" i="5"/>
  <c r="AZ249" i="5"/>
  <c r="AM249" i="5"/>
  <c r="BF249" i="5" s="1"/>
  <c r="AH249" i="5"/>
  <c r="AF249" i="5"/>
  <c r="AE249" i="5"/>
  <c r="BB249" i="5" s="1"/>
  <c r="O249" i="5"/>
  <c r="BP248" i="5"/>
  <c r="BR248" i="5" s="1"/>
  <c r="BS248" i="5" s="1"/>
  <c r="BK248" i="5"/>
  <c r="BJ248" i="5"/>
  <c r="BI248" i="5"/>
  <c r="BH248" i="5"/>
  <c r="BG248" i="5"/>
  <c r="AM248" i="5"/>
  <c r="AK248" i="5"/>
  <c r="AJ248" i="5"/>
  <c r="BD248" i="5" s="1"/>
  <c r="AH248" i="5"/>
  <c r="AF248" i="5"/>
  <c r="AE248" i="5"/>
  <c r="BB248" i="5" s="1"/>
  <c r="AC248" i="5"/>
  <c r="AA248" i="5"/>
  <c r="Z248" i="5"/>
  <c r="AZ248" i="5" s="1"/>
  <c r="O248" i="5"/>
  <c r="BP247" i="5"/>
  <c r="BR247" i="5" s="1"/>
  <c r="BS247" i="5" s="1"/>
  <c r="BK247" i="5"/>
  <c r="BJ247" i="5"/>
  <c r="BI247" i="5"/>
  <c r="BH247" i="5"/>
  <c r="BG247" i="5"/>
  <c r="BA247" i="5"/>
  <c r="AZ247" i="5"/>
  <c r="AM247" i="5"/>
  <c r="AK247" i="5"/>
  <c r="AJ247" i="5"/>
  <c r="BD247" i="5" s="1"/>
  <c r="AH247" i="5"/>
  <c r="AF247" i="5"/>
  <c r="AE247" i="5"/>
  <c r="BB247" i="5" s="1"/>
  <c r="O247" i="5"/>
  <c r="BP246" i="5"/>
  <c r="BR246" i="5" s="1"/>
  <c r="BS246" i="5" s="1"/>
  <c r="BK246" i="5"/>
  <c r="BJ246" i="5"/>
  <c r="BI246" i="5"/>
  <c r="BH246" i="5"/>
  <c r="BG246" i="5"/>
  <c r="BC246" i="5"/>
  <c r="BB246" i="5"/>
  <c r="AM246" i="5"/>
  <c r="AK246" i="5"/>
  <c r="AJ246" i="5"/>
  <c r="BD246" i="5" s="1"/>
  <c r="AC246" i="5"/>
  <c r="AA246" i="5"/>
  <c r="Z246" i="5"/>
  <c r="AZ246" i="5" s="1"/>
  <c r="O246" i="5"/>
  <c r="BP245" i="5"/>
  <c r="BR245" i="5" s="1"/>
  <c r="BS245" i="5" s="1"/>
  <c r="BK245" i="5"/>
  <c r="BJ245" i="5"/>
  <c r="BI245" i="5"/>
  <c r="BH245" i="5"/>
  <c r="BG245" i="5"/>
  <c r="BC245" i="5"/>
  <c r="BB245" i="5"/>
  <c r="AM245" i="5"/>
  <c r="AN245" i="5" s="1"/>
  <c r="BE245" i="5" s="1"/>
  <c r="AJ245" i="5"/>
  <c r="BD245" i="5" s="1"/>
  <c r="AC245" i="5"/>
  <c r="AA245" i="5"/>
  <c r="Z245" i="5"/>
  <c r="AZ245" i="5" s="1"/>
  <c r="O245" i="5"/>
  <c r="BP244" i="5"/>
  <c r="BR244" i="5" s="1"/>
  <c r="BS244" i="5" s="1"/>
  <c r="BK244" i="5"/>
  <c r="BJ244" i="5"/>
  <c r="BI244" i="5"/>
  <c r="BH244" i="5"/>
  <c r="BG244" i="5"/>
  <c r="BF244" i="5"/>
  <c r="BE244" i="5"/>
  <c r="BD244" i="5"/>
  <c r="BC244" i="5"/>
  <c r="BB244" i="5"/>
  <c r="BA244" i="5"/>
  <c r="AZ244" i="5"/>
  <c r="BP243" i="5"/>
  <c r="BR243" i="5" s="1"/>
  <c r="BS243" i="5" s="1"/>
  <c r="BK243" i="5"/>
  <c r="BJ243" i="5"/>
  <c r="BI243" i="5"/>
  <c r="BH243" i="5"/>
  <c r="BG243" i="5"/>
  <c r="BF243" i="5"/>
  <c r="BD243" i="5"/>
  <c r="BC243" i="5"/>
  <c r="BB243" i="5"/>
  <c r="AN243" i="5"/>
  <c r="BE243" i="5" s="1"/>
  <c r="AD243" i="5"/>
  <c r="BA243" i="5" s="1"/>
  <c r="Z243" i="5"/>
  <c r="AZ243" i="5" s="1"/>
  <c r="BP242" i="5"/>
  <c r="BR242" i="5" s="1"/>
  <c r="BS242" i="5" s="1"/>
  <c r="BJ242" i="5"/>
  <c r="BI242" i="5"/>
  <c r="BH242" i="5"/>
  <c r="BG242" i="5"/>
  <c r="BF242" i="5"/>
  <c r="BE242" i="5"/>
  <c r="BD242" i="5"/>
  <c r="BC242" i="5"/>
  <c r="BB242" i="5"/>
  <c r="BA242" i="5"/>
  <c r="AZ242" i="5"/>
  <c r="AX242" i="5"/>
  <c r="BK242" i="5" s="1"/>
  <c r="BP241" i="5"/>
  <c r="BR241" i="5" s="1"/>
  <c r="BS241" i="5" s="1"/>
  <c r="BK241" i="5"/>
  <c r="BJ241" i="5"/>
  <c r="BF241" i="5"/>
  <c r="BE241" i="5"/>
  <c r="BD241" i="5"/>
  <c r="BC241" i="5"/>
  <c r="BB241" i="5"/>
  <c r="AR241" i="5"/>
  <c r="AP241" i="5"/>
  <c r="AO241" i="5"/>
  <c r="BG241" i="5" s="1"/>
  <c r="AC241" i="5"/>
  <c r="AA241" i="5"/>
  <c r="Z241" i="5"/>
  <c r="AZ241" i="5" s="1"/>
  <c r="O241" i="5"/>
  <c r="BP240" i="5"/>
  <c r="BR240" i="5" s="1"/>
  <c r="BS240" i="5" s="1"/>
  <c r="BK240" i="5"/>
  <c r="BJ240" i="5"/>
  <c r="BI240" i="5"/>
  <c r="BH240" i="5"/>
  <c r="BG240" i="5"/>
  <c r="BA240" i="5"/>
  <c r="AZ240" i="5"/>
  <c r="AM240" i="5"/>
  <c r="AK240" i="5"/>
  <c r="AJ240" i="5"/>
  <c r="BD240" i="5" s="1"/>
  <c r="AH240" i="5"/>
  <c r="AF240" i="5"/>
  <c r="AE240" i="5"/>
  <c r="BB240" i="5" s="1"/>
  <c r="O240" i="5"/>
  <c r="BP239" i="5"/>
  <c r="BR239" i="5" s="1"/>
  <c r="BS239" i="5" s="1"/>
  <c r="BK239" i="5"/>
  <c r="BJ239" i="5"/>
  <c r="BI239" i="5"/>
  <c r="BH239" i="5"/>
  <c r="BG239" i="5"/>
  <c r="BF239" i="5"/>
  <c r="BE239" i="5"/>
  <c r="BD239" i="5"/>
  <c r="BC239" i="5"/>
  <c r="BB239" i="5"/>
  <c r="BA239" i="5"/>
  <c r="AZ239" i="5"/>
  <c r="BP238" i="5"/>
  <c r="BR238" i="5" s="1"/>
  <c r="BS238" i="5" s="1"/>
  <c r="BK238" i="5"/>
  <c r="BJ238" i="5"/>
  <c r="BI238" i="5"/>
  <c r="BH238" i="5"/>
  <c r="BG238" i="5"/>
  <c r="BF238" i="5"/>
  <c r="BD238" i="5"/>
  <c r="BB238" i="5"/>
  <c r="BA238" i="5"/>
  <c r="AZ238" i="5"/>
  <c r="AN238" i="5"/>
  <c r="BE238" i="5" s="1"/>
  <c r="AI238" i="5"/>
  <c r="BC238" i="5" s="1"/>
  <c r="BP237" i="5"/>
  <c r="BR237" i="5" s="1"/>
  <c r="BS237" i="5" s="1"/>
  <c r="BK237" i="5"/>
  <c r="BJ237" i="5"/>
  <c r="BI237" i="5"/>
  <c r="BH237" i="5"/>
  <c r="BG237" i="5"/>
  <c r="BF237" i="5"/>
  <c r="BD237" i="5"/>
  <c r="BB237" i="5"/>
  <c r="BA237" i="5"/>
  <c r="AZ237" i="5"/>
  <c r="AN237" i="5"/>
  <c r="BE237" i="5" s="1"/>
  <c r="AI237" i="5"/>
  <c r="BC237" i="5" s="1"/>
  <c r="BP236" i="5"/>
  <c r="BR236" i="5" s="1"/>
  <c r="BS236" i="5" s="1"/>
  <c r="BK236" i="5"/>
  <c r="BJ236" i="5"/>
  <c r="BI236" i="5"/>
  <c r="BH236" i="5"/>
  <c r="BG236" i="5"/>
  <c r="BA236" i="5"/>
  <c r="AZ236" i="5"/>
  <c r="AM236" i="5"/>
  <c r="AK236" i="5"/>
  <c r="AJ236" i="5"/>
  <c r="BD236" i="5" s="1"/>
  <c r="AH236" i="5"/>
  <c r="AF236" i="5"/>
  <c r="AE236" i="5"/>
  <c r="BB236" i="5" s="1"/>
  <c r="O236" i="5"/>
  <c r="BP235" i="5"/>
  <c r="BR235" i="5" s="1"/>
  <c r="BS235" i="5" s="1"/>
  <c r="BK235" i="5"/>
  <c r="BJ235" i="5"/>
  <c r="BI235" i="5"/>
  <c r="BH235" i="5"/>
  <c r="BG235" i="5"/>
  <c r="BF235" i="5"/>
  <c r="BD235" i="5"/>
  <c r="BC235" i="5"/>
  <c r="BB235" i="5"/>
  <c r="AZ235" i="5"/>
  <c r="AN235" i="5"/>
  <c r="BE235" i="5" s="1"/>
  <c r="AD235" i="5"/>
  <c r="BA235" i="5" s="1"/>
  <c r="BP234" i="5"/>
  <c r="BR234" i="5" s="1"/>
  <c r="BS234" i="5" s="1"/>
  <c r="BK234" i="5"/>
  <c r="BJ234" i="5"/>
  <c r="BI234" i="5"/>
  <c r="BH234" i="5"/>
  <c r="BG234" i="5"/>
  <c r="BF234" i="5"/>
  <c r="BA234" i="5"/>
  <c r="AZ234" i="5"/>
  <c r="AN234" i="5"/>
  <c r="BE234" i="5" s="1"/>
  <c r="AJ234" i="5"/>
  <c r="BD234" i="5" s="1"/>
  <c r="AI234" i="5"/>
  <c r="BC234" i="5" s="1"/>
  <c r="AE234" i="5"/>
  <c r="BB234" i="5" s="1"/>
  <c r="BP233" i="5"/>
  <c r="BR233" i="5" s="1"/>
  <c r="BS233" i="5" s="1"/>
  <c r="BK233" i="5"/>
  <c r="BJ233" i="5"/>
  <c r="BI233" i="5"/>
  <c r="BH233" i="5"/>
  <c r="BG233" i="5"/>
  <c r="BF233" i="5"/>
  <c r="BD233" i="5"/>
  <c r="AZ233" i="5"/>
  <c r="AN233" i="5"/>
  <c r="BE233" i="5" s="1"/>
  <c r="AI233" i="5"/>
  <c r="BC233" i="5" s="1"/>
  <c r="AE233" i="5"/>
  <c r="BB233" i="5" s="1"/>
  <c r="AD233" i="5"/>
  <c r="BA233" i="5" s="1"/>
  <c r="BP232" i="5"/>
  <c r="BR232" i="5" s="1"/>
  <c r="BS232" i="5" s="1"/>
  <c r="BK232" i="5"/>
  <c r="BJ232" i="5"/>
  <c r="BI232" i="5"/>
  <c r="BH232" i="5"/>
  <c r="BG232" i="5"/>
  <c r="BF232" i="5"/>
  <c r="BE232" i="5"/>
  <c r="BD232" i="5"/>
  <c r="BC232" i="5"/>
  <c r="BB232" i="5"/>
  <c r="AA232" i="5"/>
  <c r="AD232" i="5" s="1"/>
  <c r="BA232" i="5" s="1"/>
  <c r="Z232" i="5"/>
  <c r="AZ232" i="5" s="1"/>
  <c r="BP231" i="5"/>
  <c r="BR231" i="5" s="1"/>
  <c r="BS231" i="5" s="1"/>
  <c r="BK231" i="5"/>
  <c r="BJ231" i="5"/>
  <c r="BI231" i="5"/>
  <c r="BH231" i="5"/>
  <c r="BG231" i="5"/>
  <c r="BF231" i="5"/>
  <c r="BB231" i="5"/>
  <c r="BA231" i="5"/>
  <c r="AZ231" i="5"/>
  <c r="AN231" i="5"/>
  <c r="BE231" i="5" s="1"/>
  <c r="AJ231" i="5"/>
  <c r="BD231" i="5" s="1"/>
  <c r="AI231" i="5"/>
  <c r="BC231" i="5" s="1"/>
  <c r="BP230" i="5"/>
  <c r="BR230" i="5" s="1"/>
  <c r="BS230" i="5" s="1"/>
  <c r="BJ230" i="5"/>
  <c r="BI230" i="5"/>
  <c r="BH230" i="5"/>
  <c r="BG230" i="5"/>
  <c r="BF230" i="5"/>
  <c r="BE230" i="5"/>
  <c r="BD230" i="5"/>
  <c r="BC230" i="5"/>
  <c r="BB230" i="5"/>
  <c r="BA230" i="5"/>
  <c r="AZ230" i="5"/>
  <c r="AX230" i="5"/>
  <c r="BK230" i="5" s="1"/>
  <c r="BP229" i="5"/>
  <c r="BR229" i="5" s="1"/>
  <c r="BS229" i="5" s="1"/>
  <c r="BK229" i="5"/>
  <c r="BJ229" i="5"/>
  <c r="BI229" i="5"/>
  <c r="BH229" i="5"/>
  <c r="BG229" i="5"/>
  <c r="AK229" i="5"/>
  <c r="BF229" i="5" s="1"/>
  <c r="AJ229" i="5"/>
  <c r="BD229" i="5" s="1"/>
  <c r="AI229" i="5"/>
  <c r="BC229" i="5" s="1"/>
  <c r="AE229" i="5"/>
  <c r="BB229" i="5" s="1"/>
  <c r="AD229" i="5"/>
  <c r="BA229" i="5" s="1"/>
  <c r="Z229" i="5"/>
  <c r="AZ229" i="5" s="1"/>
  <c r="BP228" i="5"/>
  <c r="BR228" i="5" s="1"/>
  <c r="BS228" i="5" s="1"/>
  <c r="BI228" i="5"/>
  <c r="BH228" i="5"/>
  <c r="BG228" i="5"/>
  <c r="BF228" i="5"/>
  <c r="BE228" i="5"/>
  <c r="BD228" i="5"/>
  <c r="BC228" i="5"/>
  <c r="BB228" i="5"/>
  <c r="BA228" i="5"/>
  <c r="AZ228" i="5"/>
  <c r="AU228" i="5"/>
  <c r="AX228" i="5" s="1"/>
  <c r="BK228" i="5" s="1"/>
  <c r="AT228" i="5"/>
  <c r="BJ228" i="5" s="1"/>
  <c r="BP227" i="5"/>
  <c r="BR227" i="5" s="1"/>
  <c r="BS227" i="5" s="1"/>
  <c r="BI227" i="5"/>
  <c r="BH227" i="5"/>
  <c r="BG227" i="5"/>
  <c r="BF227" i="5"/>
  <c r="BE227" i="5"/>
  <c r="BD227" i="5"/>
  <c r="BC227" i="5"/>
  <c r="BB227" i="5"/>
  <c r="AX227" i="5"/>
  <c r="BK227" i="5" s="1"/>
  <c r="AT227" i="5"/>
  <c r="BJ227" i="5" s="1"/>
  <c r="AD227" i="5"/>
  <c r="BA227" i="5" s="1"/>
  <c r="Z227" i="5"/>
  <c r="AZ227" i="5" s="1"/>
  <c r="BP226" i="5"/>
  <c r="BR226" i="5" s="1"/>
  <c r="BS226" i="5" s="1"/>
  <c r="BJ226" i="5"/>
  <c r="BI226" i="5"/>
  <c r="BH226" i="5"/>
  <c r="BG226" i="5"/>
  <c r="BF226" i="5"/>
  <c r="BE226" i="5"/>
  <c r="BD226" i="5"/>
  <c r="BC226" i="5"/>
  <c r="BB226" i="5"/>
  <c r="AW226" i="5"/>
  <c r="AX226" i="5" s="1"/>
  <c r="BK226" i="5" s="1"/>
  <c r="AC226" i="5"/>
  <c r="AA226" i="5"/>
  <c r="Z226" i="5"/>
  <c r="AZ226" i="5" s="1"/>
  <c r="O226" i="5"/>
  <c r="BP225" i="5"/>
  <c r="BR225" i="5" s="1"/>
  <c r="BS225" i="5" s="1"/>
  <c r="BK225" i="5"/>
  <c r="BJ225" i="5"/>
  <c r="BI225" i="5"/>
  <c r="BH225" i="5"/>
  <c r="BG225" i="5"/>
  <c r="BF225" i="5"/>
  <c r="BE225" i="5"/>
  <c r="BD225" i="5"/>
  <c r="BC225" i="5"/>
  <c r="BB225" i="5"/>
  <c r="AC225" i="5"/>
  <c r="AA225" i="5"/>
  <c r="Z225" i="5"/>
  <c r="AZ225" i="5" s="1"/>
  <c r="O225" i="5"/>
  <c r="BP224" i="5"/>
  <c r="BR224" i="5" s="1"/>
  <c r="BS224" i="5" s="1"/>
  <c r="BJ224" i="5"/>
  <c r="BI224" i="5"/>
  <c r="BH224" i="5"/>
  <c r="BG224" i="5"/>
  <c r="BF224" i="5"/>
  <c r="BE224" i="5"/>
  <c r="BD224" i="5"/>
  <c r="BC224" i="5"/>
  <c r="BB224" i="5"/>
  <c r="BA224" i="5"/>
  <c r="AZ224" i="5"/>
  <c r="AW224" i="5"/>
  <c r="AX224" i="5" s="1"/>
  <c r="BK224" i="5" s="1"/>
  <c r="O224" i="5"/>
  <c r="BP223" i="5"/>
  <c r="BR223" i="5" s="1"/>
  <c r="BS223" i="5" s="1"/>
  <c r="BK223" i="5"/>
  <c r="BJ223" i="5"/>
  <c r="BI223" i="5"/>
  <c r="BH223" i="5"/>
  <c r="BG223" i="5"/>
  <c r="BF223" i="5"/>
  <c r="BD223" i="5"/>
  <c r="BB223" i="5"/>
  <c r="AN223" i="5"/>
  <c r="BE223" i="5" s="1"/>
  <c r="AI223" i="5"/>
  <c r="BC223" i="5" s="1"/>
  <c r="AC223" i="5"/>
  <c r="AD223" i="5" s="1"/>
  <c r="BA223" i="5" s="1"/>
  <c r="Z223" i="5"/>
  <c r="AZ223" i="5" s="1"/>
  <c r="BP222" i="5"/>
  <c r="BR222" i="5" s="1"/>
  <c r="BS222" i="5" s="1"/>
  <c r="BK222" i="5"/>
  <c r="BJ222" i="5"/>
  <c r="BI222" i="5"/>
  <c r="BH222" i="5"/>
  <c r="BG222" i="5"/>
  <c r="BF222" i="5"/>
  <c r="BE222" i="5"/>
  <c r="BD222" i="5"/>
  <c r="BC222" i="5"/>
  <c r="BB222" i="5"/>
  <c r="AA222" i="5"/>
  <c r="AD222" i="5" s="1"/>
  <c r="BA222" i="5" s="1"/>
  <c r="Z222" i="5"/>
  <c r="AZ222" i="5" s="1"/>
  <c r="BP221" i="5"/>
  <c r="BR221" i="5" s="1"/>
  <c r="BS221" i="5" s="1"/>
  <c r="BK221" i="5"/>
  <c r="BJ221" i="5"/>
  <c r="BI221" i="5"/>
  <c r="BH221" i="5"/>
  <c r="BG221" i="5"/>
  <c r="BF221" i="5"/>
  <c r="BD221" i="5"/>
  <c r="BC221" i="5"/>
  <c r="BB221" i="5"/>
  <c r="BA221" i="5"/>
  <c r="AZ221" i="5"/>
  <c r="AN221" i="5"/>
  <c r="BE221" i="5" s="1"/>
  <c r="BP220" i="5"/>
  <c r="BR220" i="5" s="1"/>
  <c r="BS220" i="5" s="1"/>
  <c r="BK220" i="5"/>
  <c r="BJ220" i="5"/>
  <c r="BI220" i="5"/>
  <c r="BH220" i="5"/>
  <c r="BG220" i="5"/>
  <c r="BF220" i="5"/>
  <c r="BD220" i="5"/>
  <c r="BC220" i="5"/>
  <c r="BB220" i="5"/>
  <c r="AZ220" i="5"/>
  <c r="AN220" i="5"/>
  <c r="BE220" i="5" s="1"/>
  <c r="AD220" i="5"/>
  <c r="BA220" i="5" s="1"/>
  <c r="BP219" i="5"/>
  <c r="BR219" i="5" s="1"/>
  <c r="BS219" i="5" s="1"/>
  <c r="BK219" i="5"/>
  <c r="BJ219" i="5"/>
  <c r="BI219" i="5"/>
  <c r="BH219" i="5"/>
  <c r="BG219" i="5"/>
  <c r="BF219" i="5"/>
  <c r="BE219" i="5"/>
  <c r="BD219" i="5"/>
  <c r="BB219" i="5"/>
  <c r="BA219" i="5"/>
  <c r="AZ219" i="5"/>
  <c r="AI219" i="5"/>
  <c r="BC219" i="5" s="1"/>
  <c r="BP218" i="5"/>
  <c r="BR218" i="5" s="1"/>
  <c r="BS218" i="5" s="1"/>
  <c r="BK218" i="5"/>
  <c r="BJ218" i="5"/>
  <c r="BI218" i="5"/>
  <c r="BH218" i="5"/>
  <c r="BG218" i="5"/>
  <c r="BF218" i="5"/>
  <c r="BE218" i="5"/>
  <c r="BD218" i="5"/>
  <c r="BB218" i="5"/>
  <c r="BA218" i="5"/>
  <c r="AZ218" i="5"/>
  <c r="AI218" i="5"/>
  <c r="BC218" i="5" s="1"/>
  <c r="BP217" i="5"/>
  <c r="BR217" i="5" s="1"/>
  <c r="BS217" i="5" s="1"/>
  <c r="BK217" i="5"/>
  <c r="BJ217" i="5"/>
  <c r="BI217" i="5"/>
  <c r="BH217" i="5"/>
  <c r="BG217" i="5"/>
  <c r="BC217" i="5"/>
  <c r="BB217" i="5"/>
  <c r="AM217" i="5"/>
  <c r="BF217" i="5" s="1"/>
  <c r="AJ217" i="5"/>
  <c r="BD217" i="5" s="1"/>
  <c r="AD217" i="5"/>
  <c r="BA217" i="5" s="1"/>
  <c r="Z217" i="5"/>
  <c r="AZ217" i="5" s="1"/>
  <c r="BP216" i="5"/>
  <c r="BR216" i="5" s="1"/>
  <c r="BS216" i="5" s="1"/>
  <c r="BK216" i="5"/>
  <c r="BJ216" i="5"/>
  <c r="BI216" i="5"/>
  <c r="BH216" i="5"/>
  <c r="BG216" i="5"/>
  <c r="BF216" i="5"/>
  <c r="BE216" i="5"/>
  <c r="BD216" i="5"/>
  <c r="AH216" i="5"/>
  <c r="AF216" i="5"/>
  <c r="AE216" i="5"/>
  <c r="BB216" i="5" s="1"/>
  <c r="AC216" i="5"/>
  <c r="AA216" i="5"/>
  <c r="Z216" i="5"/>
  <c r="AZ216" i="5" s="1"/>
  <c r="O216" i="5"/>
  <c r="BP215" i="5"/>
  <c r="BR215" i="5" s="1"/>
  <c r="BS215" i="5" s="1"/>
  <c r="BK215" i="5"/>
  <c r="BJ215" i="5"/>
  <c r="BI215" i="5"/>
  <c r="BH215" i="5"/>
  <c r="BG215" i="5"/>
  <c r="BF215" i="5"/>
  <c r="BC215" i="5"/>
  <c r="BB215" i="5"/>
  <c r="BA215" i="5"/>
  <c r="AZ215" i="5"/>
  <c r="AN215" i="5"/>
  <c r="BE215" i="5" s="1"/>
  <c r="AJ215" i="5"/>
  <c r="BD215" i="5" s="1"/>
  <c r="BP214" i="5"/>
  <c r="BR214" i="5" s="1"/>
  <c r="BS214" i="5" s="1"/>
  <c r="BK214" i="5"/>
  <c r="BJ214" i="5"/>
  <c r="BI214" i="5"/>
  <c r="BF214" i="5"/>
  <c r="BE214" i="5"/>
  <c r="BA214" i="5"/>
  <c r="AZ214" i="5"/>
  <c r="AS214" i="5"/>
  <c r="BH214" i="5" s="1"/>
  <c r="AO214" i="5"/>
  <c r="BG214" i="5" s="1"/>
  <c r="AJ214" i="5"/>
  <c r="BD214" i="5" s="1"/>
  <c r="AI214" i="5"/>
  <c r="BC214" i="5" s="1"/>
  <c r="AE214" i="5"/>
  <c r="BB214" i="5" s="1"/>
  <c r="BS213" i="5"/>
  <c r="BP213" i="5"/>
  <c r="BR213" i="5" s="1"/>
  <c r="BK213" i="5"/>
  <c r="BJ213" i="5"/>
  <c r="BI213" i="5"/>
  <c r="BH213" i="5"/>
  <c r="BG213" i="5"/>
  <c r="BD213" i="5"/>
  <c r="BB213" i="5"/>
  <c r="BA213" i="5"/>
  <c r="AZ213" i="5"/>
  <c r="AM213" i="5"/>
  <c r="BF213" i="5" s="1"/>
  <c r="AH213" i="5"/>
  <c r="AI213" i="5" s="1"/>
  <c r="BC213" i="5" s="1"/>
  <c r="O213" i="5"/>
  <c r="BP212" i="5"/>
  <c r="BR212" i="5" s="1"/>
  <c r="BS212" i="5" s="1"/>
  <c r="BK212" i="5"/>
  <c r="BJ212" i="5"/>
  <c r="BI212" i="5"/>
  <c r="BH212" i="5"/>
  <c r="BG212" i="5"/>
  <c r="BF212" i="5"/>
  <c r="BE212" i="5"/>
  <c r="BD212" i="5"/>
  <c r="BA212" i="5"/>
  <c r="AZ212" i="5"/>
  <c r="AI212" i="5"/>
  <c r="BC212" i="5" s="1"/>
  <c r="AE212" i="5"/>
  <c r="BB212" i="5" s="1"/>
  <c r="BP211" i="5"/>
  <c r="BR211" i="5" s="1"/>
  <c r="BS211" i="5" s="1"/>
  <c r="BK211" i="5"/>
  <c r="BJ211" i="5"/>
  <c r="BG211" i="5"/>
  <c r="BF211" i="5"/>
  <c r="BE211" i="5"/>
  <c r="BD211" i="5"/>
  <c r="BC211" i="5"/>
  <c r="BB211" i="5"/>
  <c r="AR211" i="5"/>
  <c r="AC211" i="5"/>
  <c r="AA211" i="5"/>
  <c r="Z211" i="5"/>
  <c r="AZ211" i="5" s="1"/>
  <c r="O211" i="5"/>
  <c r="BP210" i="5"/>
  <c r="BR210" i="5" s="1"/>
  <c r="BS210" i="5" s="1"/>
  <c r="BI210" i="5"/>
  <c r="BH210" i="5"/>
  <c r="BG210" i="5"/>
  <c r="BF210" i="5"/>
  <c r="BE210" i="5"/>
  <c r="BD210" i="5"/>
  <c r="BC210" i="5"/>
  <c r="BB210" i="5"/>
  <c r="AZ210" i="5"/>
  <c r="AX210" i="5"/>
  <c r="BK210" i="5" s="1"/>
  <c r="AT210" i="5"/>
  <c r="BJ210" i="5" s="1"/>
  <c r="AD210" i="5"/>
  <c r="BA210" i="5" s="1"/>
  <c r="BS209" i="5"/>
  <c r="BP209" i="5"/>
  <c r="BR209" i="5" s="1"/>
  <c r="BI209" i="5"/>
  <c r="BH209" i="5"/>
  <c r="BG209" i="5"/>
  <c r="BF209" i="5"/>
  <c r="BE209" i="5"/>
  <c r="BD209" i="5"/>
  <c r="BC209" i="5"/>
  <c r="BB209" i="5"/>
  <c r="BA209" i="5"/>
  <c r="AZ209" i="5"/>
  <c r="AW209" i="5"/>
  <c r="AU209" i="5"/>
  <c r="AT209" i="5"/>
  <c r="BJ209" i="5" s="1"/>
  <c r="BP208" i="5"/>
  <c r="BR208" i="5" s="1"/>
  <c r="BS208" i="5" s="1"/>
  <c r="BJ208" i="5"/>
  <c r="BI208" i="5"/>
  <c r="BH208" i="5"/>
  <c r="BG208" i="5"/>
  <c r="BF208" i="5"/>
  <c r="BE208" i="5"/>
  <c r="BD208" i="5"/>
  <c r="BC208" i="5"/>
  <c r="BB208" i="5"/>
  <c r="BA208" i="5"/>
  <c r="AZ208" i="5"/>
  <c r="AX208" i="5"/>
  <c r="BK208" i="5" s="1"/>
  <c r="BP207" i="5"/>
  <c r="BR207" i="5" s="1"/>
  <c r="BS207" i="5" s="1"/>
  <c r="BI207" i="5"/>
  <c r="BH207" i="5"/>
  <c r="BG207" i="5"/>
  <c r="BF207" i="5"/>
  <c r="BE207" i="5"/>
  <c r="BD207" i="5"/>
  <c r="BC207" i="5"/>
  <c r="BB207" i="5"/>
  <c r="AU207" i="5"/>
  <c r="AX207" i="5" s="1"/>
  <c r="BK207" i="5" s="1"/>
  <c r="AT207" i="5"/>
  <c r="BJ207" i="5" s="1"/>
  <c r="AA207" i="5"/>
  <c r="AD207" i="5" s="1"/>
  <c r="BA207" i="5" s="1"/>
  <c r="Z207" i="5"/>
  <c r="AZ207" i="5" s="1"/>
  <c r="BP206" i="5"/>
  <c r="BR206" i="5" s="1"/>
  <c r="BS206" i="5" s="1"/>
  <c r="BK206" i="5"/>
  <c r="BJ206" i="5"/>
  <c r="BI206" i="5"/>
  <c r="BH206" i="5"/>
  <c r="BG206" i="5"/>
  <c r="BF206" i="5"/>
  <c r="BD206" i="5"/>
  <c r="BB206" i="5"/>
  <c r="BA206" i="5"/>
  <c r="AZ206" i="5"/>
  <c r="AN206" i="5"/>
  <c r="BE206" i="5" s="1"/>
  <c r="AI206" i="5"/>
  <c r="BC206" i="5" s="1"/>
  <c r="BP205" i="5"/>
  <c r="BR205" i="5" s="1"/>
  <c r="BS205" i="5" s="1"/>
  <c r="BK205" i="5"/>
  <c r="BJ205" i="5"/>
  <c r="BI205" i="5"/>
  <c r="BH205" i="5"/>
  <c r="BG205" i="5"/>
  <c r="BF205" i="5"/>
  <c r="BC205" i="5"/>
  <c r="BB205" i="5"/>
  <c r="BA205" i="5"/>
  <c r="AZ205" i="5"/>
  <c r="AN205" i="5"/>
  <c r="BE205" i="5" s="1"/>
  <c r="AJ205" i="5"/>
  <c r="BD205" i="5" s="1"/>
  <c r="BP204" i="5"/>
  <c r="BR204" i="5" s="1"/>
  <c r="BS204" i="5" s="1"/>
  <c r="BK204" i="5"/>
  <c r="BJ204" i="5"/>
  <c r="BI204" i="5"/>
  <c r="BH204" i="5"/>
  <c r="BG204" i="5"/>
  <c r="BF204" i="5"/>
  <c r="BD204" i="5"/>
  <c r="BB204" i="5"/>
  <c r="BA204" i="5"/>
  <c r="AZ204" i="5"/>
  <c r="AN204" i="5"/>
  <c r="BE204" i="5" s="1"/>
  <c r="AI204" i="5"/>
  <c r="BC204" i="5" s="1"/>
  <c r="BP203" i="5"/>
  <c r="BR203" i="5" s="1"/>
  <c r="BS203" i="5" s="1"/>
  <c r="BK203" i="5"/>
  <c r="BJ203" i="5"/>
  <c r="BI203" i="5"/>
  <c r="BH203" i="5"/>
  <c r="BG203" i="5"/>
  <c r="BF203" i="5"/>
  <c r="BD203" i="5"/>
  <c r="BB203" i="5"/>
  <c r="AN203" i="5"/>
  <c r="BE203" i="5" s="1"/>
  <c r="AI203" i="5"/>
  <c r="BC203" i="5" s="1"/>
  <c r="AD203" i="5"/>
  <c r="BA203" i="5" s="1"/>
  <c r="Z203" i="5"/>
  <c r="AZ203" i="5" s="1"/>
  <c r="BP202" i="5"/>
  <c r="BR202" i="5" s="1"/>
  <c r="BS202" i="5" s="1"/>
  <c r="BK202" i="5"/>
  <c r="BJ202" i="5"/>
  <c r="BI202" i="5"/>
  <c r="BH202" i="5"/>
  <c r="BG202" i="5"/>
  <c r="AM202" i="5"/>
  <c r="AK202" i="5"/>
  <c r="AJ202" i="5"/>
  <c r="BD202" i="5" s="1"/>
  <c r="AH202" i="5"/>
  <c r="AF202" i="5"/>
  <c r="AE202" i="5"/>
  <c r="BB202" i="5" s="1"/>
  <c r="AC202" i="5"/>
  <c r="AA202" i="5"/>
  <c r="Z202" i="5"/>
  <c r="AZ202" i="5" s="1"/>
  <c r="O202" i="5"/>
  <c r="BP201" i="5"/>
  <c r="BR201" i="5" s="1"/>
  <c r="BS201" i="5" s="1"/>
  <c r="BK201" i="5"/>
  <c r="BJ201" i="5"/>
  <c r="BI201" i="5"/>
  <c r="BG201" i="5"/>
  <c r="BF201" i="5"/>
  <c r="BD201" i="5"/>
  <c r="BB201" i="5"/>
  <c r="BA201" i="5"/>
  <c r="AZ201" i="5"/>
  <c r="AS201" i="5"/>
  <c r="BH201" i="5" s="1"/>
  <c r="AN201" i="5"/>
  <c r="BE201" i="5" s="1"/>
  <c r="AI201" i="5"/>
  <c r="BC201" i="5" s="1"/>
  <c r="BP200" i="5"/>
  <c r="BR200" i="5" s="1"/>
  <c r="BS200" i="5" s="1"/>
  <c r="BK200" i="5"/>
  <c r="BJ200" i="5"/>
  <c r="BI200" i="5"/>
  <c r="BH200" i="5"/>
  <c r="BG200" i="5"/>
  <c r="BF200" i="5"/>
  <c r="BD200" i="5"/>
  <c r="BB200" i="5"/>
  <c r="BA200" i="5"/>
  <c r="AZ200" i="5"/>
  <c r="AN200" i="5"/>
  <c r="BE200" i="5" s="1"/>
  <c r="AI200" i="5"/>
  <c r="BC200" i="5" s="1"/>
  <c r="BP199" i="5"/>
  <c r="BR199" i="5" s="1"/>
  <c r="BS199" i="5" s="1"/>
  <c r="BK199" i="5"/>
  <c r="BJ199" i="5"/>
  <c r="BI199" i="5"/>
  <c r="BH199" i="5"/>
  <c r="BG199" i="5"/>
  <c r="BD199" i="5"/>
  <c r="BB199" i="5"/>
  <c r="BA199" i="5"/>
  <c r="AZ199" i="5"/>
  <c r="AM199" i="5"/>
  <c r="AH199" i="5"/>
  <c r="AI199" i="5" s="1"/>
  <c r="BC199" i="5" s="1"/>
  <c r="O199" i="5"/>
  <c r="BP198" i="5"/>
  <c r="BR198" i="5" s="1"/>
  <c r="BS198" i="5" s="1"/>
  <c r="BJ198" i="5"/>
  <c r="BI198" i="5"/>
  <c r="BH198" i="5"/>
  <c r="BG198" i="5"/>
  <c r="BF198" i="5"/>
  <c r="BE198" i="5"/>
  <c r="BD198" i="5"/>
  <c r="BC198" i="5"/>
  <c r="BB198" i="5"/>
  <c r="BA198" i="5"/>
  <c r="AZ198" i="5"/>
  <c r="AX198" i="5"/>
  <c r="BK198" i="5" s="1"/>
  <c r="BP197" i="5"/>
  <c r="BR197" i="5" s="1"/>
  <c r="BS197" i="5" s="1"/>
  <c r="BK197" i="5"/>
  <c r="BJ197" i="5"/>
  <c r="BI197" i="5"/>
  <c r="BH197" i="5"/>
  <c r="BG197" i="5"/>
  <c r="BF197" i="5"/>
  <c r="BC197" i="5"/>
  <c r="BB197" i="5"/>
  <c r="AN197" i="5"/>
  <c r="BE197" i="5" s="1"/>
  <c r="AJ197" i="5"/>
  <c r="BD197" i="5" s="1"/>
  <c r="AD197" i="5"/>
  <c r="BA197" i="5" s="1"/>
  <c r="Z197" i="5"/>
  <c r="AZ197" i="5" s="1"/>
  <c r="BP196" i="5"/>
  <c r="BR196" i="5" s="1"/>
  <c r="BS196" i="5" s="1"/>
  <c r="BK196" i="5"/>
  <c r="BJ196" i="5"/>
  <c r="BF196" i="5"/>
  <c r="BE196" i="5"/>
  <c r="BD196" i="5"/>
  <c r="BC196" i="5"/>
  <c r="BB196" i="5"/>
  <c r="AR196" i="5"/>
  <c r="AP196" i="5"/>
  <c r="AO196" i="5"/>
  <c r="BG196" i="5" s="1"/>
  <c r="AC196" i="5"/>
  <c r="AA196" i="5"/>
  <c r="Z196" i="5"/>
  <c r="AZ196" i="5" s="1"/>
  <c r="O196" i="5"/>
  <c r="BP195" i="5"/>
  <c r="BR195" i="5" s="1"/>
  <c r="BS195" i="5" s="1"/>
  <c r="BK195" i="5"/>
  <c r="BJ195" i="5"/>
  <c r="BI195" i="5"/>
  <c r="BG195" i="5"/>
  <c r="BF195" i="5"/>
  <c r="BD195" i="5"/>
  <c r="BA195" i="5"/>
  <c r="AZ195" i="5"/>
  <c r="AS195" i="5"/>
  <c r="BH195" i="5" s="1"/>
  <c r="AN195" i="5"/>
  <c r="BE195" i="5" s="1"/>
  <c r="AH195" i="5"/>
  <c r="AI195" i="5" s="1"/>
  <c r="BC195" i="5" s="1"/>
  <c r="AE195" i="5"/>
  <c r="BB195" i="5" s="1"/>
  <c r="BP194" i="5"/>
  <c r="BR194" i="5" s="1"/>
  <c r="BS194" i="5" s="1"/>
  <c r="BK194" i="5"/>
  <c r="BJ194" i="5"/>
  <c r="BI194" i="5"/>
  <c r="BG194" i="5"/>
  <c r="BF194" i="5"/>
  <c r="BE194" i="5"/>
  <c r="BD194" i="5"/>
  <c r="BA194" i="5"/>
  <c r="AZ194" i="5"/>
  <c r="AS194" i="5"/>
  <c r="BH194" i="5" s="1"/>
  <c r="AI194" i="5"/>
  <c r="BC194" i="5" s="1"/>
  <c r="AE194" i="5"/>
  <c r="BB194" i="5" s="1"/>
  <c r="AW193" i="5"/>
  <c r="AU193" i="5"/>
  <c r="AT193" i="5"/>
  <c r="U193" i="5"/>
  <c r="O193" i="5"/>
  <c r="BP192" i="5"/>
  <c r="BR192" i="5" s="1"/>
  <c r="BS192" i="5" s="1"/>
  <c r="BK192" i="5"/>
  <c r="BJ192" i="5"/>
  <c r="BI192" i="5"/>
  <c r="BH192" i="5"/>
  <c r="BG192" i="5"/>
  <c r="BF192" i="5"/>
  <c r="BD192" i="5"/>
  <c r="BB192" i="5"/>
  <c r="BA192" i="5"/>
  <c r="AZ192" i="5"/>
  <c r="AN192" i="5"/>
  <c r="BE192" i="5" s="1"/>
  <c r="AI192" i="5"/>
  <c r="BC192" i="5" s="1"/>
  <c r="BP191" i="5"/>
  <c r="BR191" i="5" s="1"/>
  <c r="BS191" i="5" s="1"/>
  <c r="BI191" i="5"/>
  <c r="BH191" i="5"/>
  <c r="BG191" i="5"/>
  <c r="BF191" i="5"/>
  <c r="BE191" i="5"/>
  <c r="BD191" i="5"/>
  <c r="BC191" i="5"/>
  <c r="BB191" i="5"/>
  <c r="BA191" i="5"/>
  <c r="AZ191" i="5"/>
  <c r="AW191" i="5"/>
  <c r="AU191" i="5"/>
  <c r="AT191" i="5"/>
  <c r="BJ191" i="5" s="1"/>
  <c r="O191" i="5"/>
  <c r="BS190" i="5"/>
  <c r="BP190" i="5"/>
  <c r="BR190" i="5" s="1"/>
  <c r="BK190" i="5"/>
  <c r="BJ190" i="5"/>
  <c r="BI190" i="5"/>
  <c r="BH190" i="5"/>
  <c r="BG190" i="5"/>
  <c r="BA190" i="5"/>
  <c r="AZ190" i="5"/>
  <c r="AK190" i="5"/>
  <c r="BF190" i="5" s="1"/>
  <c r="AJ190" i="5"/>
  <c r="BD190" i="5" s="1"/>
  <c r="AI190" i="5"/>
  <c r="BC190" i="5" s="1"/>
  <c r="AE190" i="5"/>
  <c r="BB190" i="5" s="1"/>
  <c r="BP189" i="5"/>
  <c r="BR189" i="5" s="1"/>
  <c r="BS189" i="5" s="1"/>
  <c r="BF189" i="5"/>
  <c r="BE189" i="5"/>
  <c r="BD189" i="5"/>
  <c r="BB189" i="5"/>
  <c r="BA189" i="5"/>
  <c r="AZ189" i="5"/>
  <c r="AU189" i="5"/>
  <c r="AX189" i="5" s="1"/>
  <c r="BK189" i="5" s="1"/>
  <c r="AT189" i="5"/>
  <c r="BJ189" i="5" s="1"/>
  <c r="AP189" i="5"/>
  <c r="AO189" i="5"/>
  <c r="BG189" i="5" s="1"/>
  <c r="AI189" i="5"/>
  <c r="BC189" i="5" s="1"/>
  <c r="BP188" i="5"/>
  <c r="BR188" i="5" s="1"/>
  <c r="BS188" i="5" s="1"/>
  <c r="BK188" i="5"/>
  <c r="BJ188" i="5"/>
  <c r="BI188" i="5"/>
  <c r="BH188" i="5"/>
  <c r="BG188" i="5"/>
  <c r="BD188" i="5"/>
  <c r="BC188" i="5"/>
  <c r="BB188" i="5"/>
  <c r="AZ188" i="5"/>
  <c r="AM188" i="5"/>
  <c r="AN188" i="5" s="1"/>
  <c r="BE188" i="5" s="1"/>
  <c r="AD188" i="5"/>
  <c r="BA188" i="5" s="1"/>
  <c r="BP187" i="5"/>
  <c r="BR187" i="5" s="1"/>
  <c r="BS187" i="5" s="1"/>
  <c r="BK187" i="5"/>
  <c r="BJ187" i="5"/>
  <c r="BI187" i="5"/>
  <c r="BH187" i="5"/>
  <c r="BF187" i="5"/>
  <c r="BE187" i="5"/>
  <c r="BD187" i="5"/>
  <c r="BC187" i="5"/>
  <c r="BA187" i="5"/>
  <c r="AZ187" i="5"/>
  <c r="AO187" i="5"/>
  <c r="BG187" i="5" s="1"/>
  <c r="AE187" i="5"/>
  <c r="BB187" i="5" s="1"/>
  <c r="BS186" i="5"/>
  <c r="BP186" i="5"/>
  <c r="BR186" i="5" s="1"/>
  <c r="BI186" i="5"/>
  <c r="BH186" i="5"/>
  <c r="BG186" i="5"/>
  <c r="BF186" i="5"/>
  <c r="BE186" i="5"/>
  <c r="BD186" i="5"/>
  <c r="BC186" i="5"/>
  <c r="BB186" i="5"/>
  <c r="BA186" i="5"/>
  <c r="AZ186" i="5"/>
  <c r="AW186" i="5"/>
  <c r="AU186" i="5"/>
  <c r="AT186" i="5"/>
  <c r="BJ186" i="5" s="1"/>
  <c r="O186" i="5"/>
  <c r="BP185" i="5"/>
  <c r="BR185" i="5" s="1"/>
  <c r="BS185" i="5" s="1"/>
  <c r="BK185" i="5"/>
  <c r="BJ185" i="5"/>
  <c r="BI185" i="5"/>
  <c r="BH185" i="5"/>
  <c r="BG185" i="5"/>
  <c r="BF185" i="5"/>
  <c r="BE185" i="5"/>
  <c r="BD185" i="5"/>
  <c r="BA185" i="5"/>
  <c r="AZ185" i="5"/>
  <c r="AF185" i="5"/>
  <c r="AI185" i="5" s="1"/>
  <c r="BC185" i="5" s="1"/>
  <c r="AE185" i="5"/>
  <c r="BB185" i="5" s="1"/>
  <c r="Y185" i="5"/>
  <c r="O185" i="5"/>
  <c r="BP184" i="5"/>
  <c r="BR184" i="5" s="1"/>
  <c r="BS184" i="5" s="1"/>
  <c r="BK184" i="5"/>
  <c r="BJ184" i="5"/>
  <c r="BI184" i="5"/>
  <c r="BH184" i="5"/>
  <c r="BG184" i="5"/>
  <c r="BF184" i="5"/>
  <c r="BE184" i="5"/>
  <c r="BD184" i="5"/>
  <c r="BC184" i="5"/>
  <c r="BB184" i="5"/>
  <c r="BA184" i="5"/>
  <c r="AZ184" i="5"/>
  <c r="BP183" i="5"/>
  <c r="BR183" i="5" s="1"/>
  <c r="BS183" i="5" s="1"/>
  <c r="BI183" i="5"/>
  <c r="BH183" i="5"/>
  <c r="BG183" i="5"/>
  <c r="BF183" i="5"/>
  <c r="BE183" i="5"/>
  <c r="BD183" i="5"/>
  <c r="BC183" i="5"/>
  <c r="BB183" i="5"/>
  <c r="BA183" i="5"/>
  <c r="AZ183" i="5"/>
  <c r="AW183" i="5"/>
  <c r="AU183" i="5"/>
  <c r="AT183" i="5"/>
  <c r="BJ183" i="5" s="1"/>
  <c r="O183" i="5"/>
  <c r="BP182" i="5"/>
  <c r="BR182" i="5" s="1"/>
  <c r="BS182" i="5" s="1"/>
  <c r="BK182" i="5"/>
  <c r="BJ182" i="5"/>
  <c r="BI182" i="5"/>
  <c r="BH182" i="5"/>
  <c r="BG182" i="5"/>
  <c r="BF182" i="5"/>
  <c r="BE182" i="5"/>
  <c r="BD182" i="5"/>
  <c r="BC182" i="5"/>
  <c r="BB182" i="5"/>
  <c r="BA182" i="5"/>
  <c r="AZ182" i="5"/>
  <c r="BP181" i="5"/>
  <c r="BR181" i="5" s="1"/>
  <c r="BS181" i="5" s="1"/>
  <c r="BK181" i="5"/>
  <c r="BJ181" i="5"/>
  <c r="BI181" i="5"/>
  <c r="BH181" i="5"/>
  <c r="BG181" i="5"/>
  <c r="BF181" i="5"/>
  <c r="BE181" i="5"/>
  <c r="BD181" i="5"/>
  <c r="BC181" i="5"/>
  <c r="BB181" i="5"/>
  <c r="BA181" i="5"/>
  <c r="AZ181" i="5"/>
  <c r="BP180" i="5"/>
  <c r="BR180" i="5" s="1"/>
  <c r="BS180" i="5" s="1"/>
  <c r="BK180" i="5"/>
  <c r="BJ180" i="5"/>
  <c r="BI180" i="5"/>
  <c r="BH180" i="5"/>
  <c r="BG180" i="5"/>
  <c r="BF180" i="5"/>
  <c r="BE180" i="5"/>
  <c r="BD180" i="5"/>
  <c r="BC180" i="5"/>
  <c r="BB180" i="5"/>
  <c r="BA180" i="5"/>
  <c r="AZ180" i="5"/>
  <c r="BP179" i="5"/>
  <c r="BR179" i="5" s="1"/>
  <c r="BS179" i="5" s="1"/>
  <c r="BK179" i="5"/>
  <c r="BJ179" i="5"/>
  <c r="BI179" i="5"/>
  <c r="BH179" i="5"/>
  <c r="BG179" i="5"/>
  <c r="BF179" i="5"/>
  <c r="BE179" i="5"/>
  <c r="BD179" i="5"/>
  <c r="BC179" i="5"/>
  <c r="BB179" i="5"/>
  <c r="BA179" i="5"/>
  <c r="AZ179" i="5"/>
  <c r="BS178" i="5"/>
  <c r="BP178" i="5"/>
  <c r="BR178" i="5" s="1"/>
  <c r="BK178" i="5"/>
  <c r="BJ178" i="5"/>
  <c r="BI178" i="5"/>
  <c r="BH178" i="5"/>
  <c r="BG178" i="5"/>
  <c r="BA178" i="5"/>
  <c r="AZ178" i="5"/>
  <c r="AM178" i="5"/>
  <c r="AK178" i="5"/>
  <c r="AJ178" i="5"/>
  <c r="BD178" i="5" s="1"/>
  <c r="AH178" i="5"/>
  <c r="AF178" i="5"/>
  <c r="AE178" i="5"/>
  <c r="BB178" i="5" s="1"/>
  <c r="BP177" i="5"/>
  <c r="BR177" i="5" s="1"/>
  <c r="BS177" i="5" s="1"/>
  <c r="BK177" i="5"/>
  <c r="BJ177" i="5"/>
  <c r="BI177" i="5"/>
  <c r="BH177" i="5"/>
  <c r="BG177" i="5"/>
  <c r="BD177" i="5"/>
  <c r="BC177" i="5"/>
  <c r="BB177" i="5"/>
  <c r="BA177" i="5"/>
  <c r="AZ177" i="5"/>
  <c r="AM177" i="5"/>
  <c r="BS176" i="5"/>
  <c r="BP176" i="5"/>
  <c r="BR176" i="5" s="1"/>
  <c r="BK176" i="5"/>
  <c r="BJ176" i="5"/>
  <c r="BI176" i="5"/>
  <c r="BH176" i="5"/>
  <c r="BC176" i="5"/>
  <c r="BB176" i="5"/>
  <c r="BA176" i="5"/>
  <c r="AZ176" i="5"/>
  <c r="AO176" i="5"/>
  <c r="BG176" i="5" s="1"/>
  <c r="AK176" i="5"/>
  <c r="AJ176" i="5"/>
  <c r="BD176" i="5" s="1"/>
  <c r="BP175" i="5"/>
  <c r="BR175" i="5" s="1"/>
  <c r="BS175" i="5" s="1"/>
  <c r="BK175" i="5"/>
  <c r="BJ175" i="5"/>
  <c r="BI175" i="5"/>
  <c r="BH175" i="5"/>
  <c r="BG175" i="5"/>
  <c r="BE175" i="5"/>
  <c r="BC175" i="5"/>
  <c r="BA175" i="5"/>
  <c r="AK175" i="5"/>
  <c r="AM175" i="5" s="1"/>
  <c r="BF175" i="5" s="1"/>
  <c r="AJ175" i="5"/>
  <c r="BD175" i="5" s="1"/>
  <c r="AF175" i="5"/>
  <c r="AE175" i="5"/>
  <c r="BB175" i="5" s="1"/>
  <c r="Z175" i="5"/>
  <c r="AZ175" i="5" s="1"/>
  <c r="BP174" i="5"/>
  <c r="BR174" i="5" s="1"/>
  <c r="BS174" i="5" s="1"/>
  <c r="BK174" i="5"/>
  <c r="BJ174" i="5"/>
  <c r="BF174" i="5"/>
  <c r="BE174" i="5"/>
  <c r="BD174" i="5"/>
  <c r="BC174" i="5"/>
  <c r="BB174" i="5"/>
  <c r="AR174" i="5"/>
  <c r="AP174" i="5"/>
  <c r="AO174" i="5"/>
  <c r="BG174" i="5" s="1"/>
  <c r="AC174" i="5"/>
  <c r="AA174" i="5"/>
  <c r="Z174" i="5"/>
  <c r="AZ174" i="5" s="1"/>
  <c r="O174" i="5"/>
  <c r="BP173" i="5"/>
  <c r="BR173" i="5" s="1"/>
  <c r="BS173" i="5" s="1"/>
  <c r="BK173" i="5"/>
  <c r="BJ173" i="5"/>
  <c r="BI173" i="5"/>
  <c r="BH173" i="5"/>
  <c r="BG173" i="5"/>
  <c r="BF173" i="5"/>
  <c r="BE173" i="5"/>
  <c r="BD173" i="5"/>
  <c r="BC173" i="5"/>
  <c r="BB173" i="5"/>
  <c r="BA173" i="5"/>
  <c r="AZ173" i="5"/>
  <c r="BP172" i="5"/>
  <c r="BR172" i="5" s="1"/>
  <c r="BS172" i="5" s="1"/>
  <c r="BK172" i="5"/>
  <c r="BJ172" i="5"/>
  <c r="BI172" i="5"/>
  <c r="BH172" i="5"/>
  <c r="BG172" i="5"/>
  <c r="BF172" i="5"/>
  <c r="BE172" i="5"/>
  <c r="BD172" i="5"/>
  <c r="BC172" i="5"/>
  <c r="BB172" i="5"/>
  <c r="BA172" i="5"/>
  <c r="AZ172" i="5"/>
  <c r="BP171" i="5"/>
  <c r="BR171" i="5" s="1"/>
  <c r="BS171" i="5" s="1"/>
  <c r="BK171" i="5"/>
  <c r="BJ171" i="5"/>
  <c r="BI171" i="5"/>
  <c r="BH171" i="5"/>
  <c r="BG171" i="5"/>
  <c r="BF171" i="5"/>
  <c r="BE171" i="5"/>
  <c r="BD171" i="5"/>
  <c r="BC171" i="5"/>
  <c r="BB171" i="5"/>
  <c r="BA171" i="5"/>
  <c r="AZ171" i="5"/>
  <c r="BP170" i="5"/>
  <c r="BR170" i="5" s="1"/>
  <c r="BS170" i="5" s="1"/>
  <c r="BK170" i="5"/>
  <c r="BJ170" i="5"/>
  <c r="BI170" i="5"/>
  <c r="BH170" i="5"/>
  <c r="BG170" i="5"/>
  <c r="BF170" i="5"/>
  <c r="BE170" i="5"/>
  <c r="BD170" i="5"/>
  <c r="BC170" i="5"/>
  <c r="BB170" i="5"/>
  <c r="BA170" i="5"/>
  <c r="AA170" i="5"/>
  <c r="Z170" i="5"/>
  <c r="AZ170" i="5" s="1"/>
  <c r="BP169" i="5"/>
  <c r="BR169" i="5" s="1"/>
  <c r="BS169" i="5" s="1"/>
  <c r="BK169" i="5"/>
  <c r="BJ169" i="5"/>
  <c r="BI169" i="5"/>
  <c r="BH169" i="5"/>
  <c r="BG169" i="5"/>
  <c r="BF169" i="5"/>
  <c r="BE169" i="5"/>
  <c r="BD169" i="5"/>
  <c r="BC169" i="5"/>
  <c r="BB169" i="5"/>
  <c r="BA169" i="5"/>
  <c r="Z169" i="5"/>
  <c r="AZ169" i="5" s="1"/>
  <c r="BP168" i="5"/>
  <c r="BR168" i="5" s="1"/>
  <c r="BS168" i="5" s="1"/>
  <c r="BJ168" i="5"/>
  <c r="BI168" i="5"/>
  <c r="BH168" i="5"/>
  <c r="BG168" i="5"/>
  <c r="BF168" i="5"/>
  <c r="BE168" i="5"/>
  <c r="BD168" i="5"/>
  <c r="BC168" i="5"/>
  <c r="BB168" i="5"/>
  <c r="BA168" i="5"/>
  <c r="AZ168" i="5"/>
  <c r="AW168" i="5"/>
  <c r="AX168" i="5" s="1"/>
  <c r="BK168" i="5" s="1"/>
  <c r="O168" i="5"/>
  <c r="BP167" i="5"/>
  <c r="BR167" i="5" s="1"/>
  <c r="BS167" i="5" s="1"/>
  <c r="BK167" i="5"/>
  <c r="BJ167" i="5"/>
  <c r="BI167" i="5"/>
  <c r="BH167" i="5"/>
  <c r="BG167" i="5"/>
  <c r="BF167" i="5"/>
  <c r="BE167" i="5"/>
  <c r="BD167" i="5"/>
  <c r="BC167" i="5"/>
  <c r="BB167" i="5"/>
  <c r="BA167" i="5"/>
  <c r="AZ167" i="5"/>
  <c r="BP166" i="5"/>
  <c r="BR166" i="5" s="1"/>
  <c r="BS166" i="5" s="1"/>
  <c r="BK166" i="5"/>
  <c r="BJ166" i="5"/>
  <c r="BI166" i="5"/>
  <c r="BH166" i="5"/>
  <c r="BG166" i="5"/>
  <c r="BF166" i="5"/>
  <c r="BE166" i="5"/>
  <c r="BD166" i="5"/>
  <c r="BC166" i="5"/>
  <c r="BB166" i="5"/>
  <c r="BA166" i="5"/>
  <c r="AZ166" i="5"/>
  <c r="BP165" i="5"/>
  <c r="BR165" i="5" s="1"/>
  <c r="BS165" i="5" s="1"/>
  <c r="BI165" i="5"/>
  <c r="BH165" i="5"/>
  <c r="BG165" i="5"/>
  <c r="BF165" i="5"/>
  <c r="BE165" i="5"/>
  <c r="BD165" i="5"/>
  <c r="BC165" i="5"/>
  <c r="BB165" i="5"/>
  <c r="BA165" i="5"/>
  <c r="AZ165" i="5"/>
  <c r="AW165" i="5"/>
  <c r="AX165" i="5" s="1"/>
  <c r="BK165" i="5" s="1"/>
  <c r="AT165" i="5"/>
  <c r="BJ165" i="5" s="1"/>
  <c r="O165" i="5"/>
  <c r="BS164" i="5"/>
  <c r="BP164" i="5"/>
  <c r="BR164" i="5" s="1"/>
  <c r="BK164" i="5"/>
  <c r="BJ164" i="5"/>
  <c r="BI164" i="5"/>
  <c r="BH164" i="5"/>
  <c r="BG164" i="5"/>
  <c r="BF164" i="5"/>
  <c r="BE164" i="5"/>
  <c r="BD164" i="5"/>
  <c r="BC164" i="5"/>
  <c r="BB164" i="5"/>
  <c r="BA164" i="5"/>
  <c r="AZ164" i="5"/>
  <c r="BP163" i="5"/>
  <c r="BR163" i="5" s="1"/>
  <c r="BS163" i="5" s="1"/>
  <c r="BK163" i="5"/>
  <c r="BJ163" i="5"/>
  <c r="BI163" i="5"/>
  <c r="BH163" i="5"/>
  <c r="BG163" i="5"/>
  <c r="BF163" i="5"/>
  <c r="BE163" i="5"/>
  <c r="BD163" i="5"/>
  <c r="BC163" i="5"/>
  <c r="BB163" i="5"/>
  <c r="BA163" i="5"/>
  <c r="AZ163" i="5"/>
  <c r="BP162" i="5"/>
  <c r="BR162" i="5" s="1"/>
  <c r="BS162" i="5" s="1"/>
  <c r="BK162" i="5"/>
  <c r="BJ162" i="5"/>
  <c r="BI162" i="5"/>
  <c r="BH162" i="5"/>
  <c r="BG162" i="5"/>
  <c r="BE162" i="5"/>
  <c r="BC162" i="5"/>
  <c r="BA162" i="5"/>
  <c r="AZ162" i="5"/>
  <c r="AK162" i="5"/>
  <c r="BF162" i="5" s="1"/>
  <c r="AJ162" i="5"/>
  <c r="BD162" i="5" s="1"/>
  <c r="AE162" i="5"/>
  <c r="BB162" i="5" s="1"/>
  <c r="BP161" i="5"/>
  <c r="BR161" i="5" s="1"/>
  <c r="BS161" i="5" s="1"/>
  <c r="BK161" i="5"/>
  <c r="BJ161" i="5"/>
  <c r="BI161" i="5"/>
  <c r="BH161" i="5"/>
  <c r="BG161" i="5"/>
  <c r="BF161" i="5"/>
  <c r="BE161" i="5"/>
  <c r="BD161" i="5"/>
  <c r="BC161" i="5"/>
  <c r="BB161" i="5"/>
  <c r="BA161" i="5"/>
  <c r="AZ161" i="5"/>
  <c r="BP160" i="5"/>
  <c r="BR160" i="5" s="1"/>
  <c r="BS160" i="5" s="1"/>
  <c r="BI160" i="5"/>
  <c r="BH160" i="5"/>
  <c r="BG160" i="5"/>
  <c r="BF160" i="5"/>
  <c r="BE160" i="5"/>
  <c r="BD160" i="5"/>
  <c r="BC160" i="5"/>
  <c r="BB160" i="5"/>
  <c r="BA160" i="5"/>
  <c r="AZ160" i="5"/>
  <c r="AW160" i="5"/>
  <c r="AU160" i="5"/>
  <c r="AT160" i="5"/>
  <c r="BJ160" i="5" s="1"/>
  <c r="O160" i="5"/>
  <c r="BP159" i="5"/>
  <c r="BR159" i="5" s="1"/>
  <c r="BS159" i="5" s="1"/>
  <c r="BI159" i="5"/>
  <c r="BH159" i="5"/>
  <c r="BG159" i="5"/>
  <c r="BF159" i="5"/>
  <c r="BE159" i="5"/>
  <c r="BD159" i="5"/>
  <c r="BC159" i="5"/>
  <c r="BB159" i="5"/>
  <c r="BA159" i="5"/>
  <c r="AZ159" i="5"/>
  <c r="AW159" i="5"/>
  <c r="AU159" i="5"/>
  <c r="AT159" i="5"/>
  <c r="BJ159" i="5" s="1"/>
  <c r="O159" i="5"/>
  <c r="BS158" i="5"/>
  <c r="BP158" i="5"/>
  <c r="BR158" i="5" s="1"/>
  <c r="BI158" i="5"/>
  <c r="BH158" i="5"/>
  <c r="BG158" i="5"/>
  <c r="BF158" i="5"/>
  <c r="BE158" i="5"/>
  <c r="BD158" i="5"/>
  <c r="BC158" i="5"/>
  <c r="BB158" i="5"/>
  <c r="BA158" i="5"/>
  <c r="AZ158" i="5"/>
  <c r="AW158" i="5"/>
  <c r="AU158" i="5"/>
  <c r="AT158" i="5"/>
  <c r="BJ158" i="5" s="1"/>
  <c r="O158" i="5"/>
  <c r="BP157" i="5"/>
  <c r="BR157" i="5" s="1"/>
  <c r="BS157" i="5" s="1"/>
  <c r="BI157" i="5"/>
  <c r="BH157" i="5"/>
  <c r="BG157" i="5"/>
  <c r="BF157" i="5"/>
  <c r="BC157" i="5"/>
  <c r="BB157" i="5"/>
  <c r="AW157" i="5"/>
  <c r="AX157" i="5" s="1"/>
  <c r="BK157" i="5" s="1"/>
  <c r="AT157" i="5"/>
  <c r="BJ157" i="5" s="1"/>
  <c r="AN157" i="5"/>
  <c r="BE157" i="5" s="1"/>
  <c r="AJ157" i="5"/>
  <c r="BD157" i="5" s="1"/>
  <c r="AC157" i="5"/>
  <c r="AA157" i="5"/>
  <c r="Z157" i="5"/>
  <c r="AZ157" i="5" s="1"/>
  <c r="BS156" i="5"/>
  <c r="BP156" i="5"/>
  <c r="BR156" i="5" s="1"/>
  <c r="BI156" i="5"/>
  <c r="BH156" i="5"/>
  <c r="BG156" i="5"/>
  <c r="BF156" i="5"/>
  <c r="BE156" i="5"/>
  <c r="BD156" i="5"/>
  <c r="BC156" i="5"/>
  <c r="BB156" i="5"/>
  <c r="BA156" i="5"/>
  <c r="AZ156" i="5"/>
  <c r="AW156" i="5"/>
  <c r="AU156" i="5"/>
  <c r="AT156" i="5"/>
  <c r="BJ156" i="5" s="1"/>
  <c r="O156" i="5"/>
  <c r="BP155" i="5"/>
  <c r="BR155" i="5" s="1"/>
  <c r="BS155" i="5" s="1"/>
  <c r="BK155" i="5"/>
  <c r="BJ155" i="5"/>
  <c r="BF155" i="5"/>
  <c r="BE155" i="5"/>
  <c r="BD155" i="5"/>
  <c r="BA155" i="5"/>
  <c r="AZ155" i="5"/>
  <c r="AR155" i="5"/>
  <c r="AP155" i="5"/>
  <c r="AO155" i="5"/>
  <c r="BG155" i="5" s="1"/>
  <c r="AH155" i="5"/>
  <c r="AF155" i="5"/>
  <c r="AE155" i="5"/>
  <c r="BB155" i="5" s="1"/>
  <c r="BP154" i="5"/>
  <c r="BR154" i="5" s="1"/>
  <c r="BS154" i="5" s="1"/>
  <c r="BJ154" i="5"/>
  <c r="BI154" i="5"/>
  <c r="BH154" i="5"/>
  <c r="BG154" i="5"/>
  <c r="BF154" i="5"/>
  <c r="BE154" i="5"/>
  <c r="BD154" i="5"/>
  <c r="BC154" i="5"/>
  <c r="BB154" i="5"/>
  <c r="BA154" i="5"/>
  <c r="AZ154" i="5"/>
  <c r="AX154" i="5"/>
  <c r="BK154" i="5" s="1"/>
  <c r="O154" i="5"/>
  <c r="BP153" i="5"/>
  <c r="BR153" i="5" s="1"/>
  <c r="BS153" i="5" s="1"/>
  <c r="BK153" i="5"/>
  <c r="BJ153" i="5"/>
  <c r="BI153" i="5"/>
  <c r="BH153" i="5"/>
  <c r="BG153" i="5"/>
  <c r="BF153" i="5"/>
  <c r="BE153" i="5"/>
  <c r="BD153" i="5"/>
  <c r="BC153" i="5"/>
  <c r="BB153" i="5"/>
  <c r="AC153" i="5"/>
  <c r="AA153" i="5"/>
  <c r="Z153" i="5"/>
  <c r="AZ153" i="5" s="1"/>
  <c r="BP152" i="5"/>
  <c r="BR152" i="5" s="1"/>
  <c r="BS152" i="5" s="1"/>
  <c r="BI152" i="5"/>
  <c r="BH152" i="5"/>
  <c r="BG152" i="5"/>
  <c r="AW152" i="5"/>
  <c r="AU152" i="5"/>
  <c r="AT152" i="5"/>
  <c r="BJ152" i="5" s="1"/>
  <c r="AM152" i="5"/>
  <c r="AK152" i="5"/>
  <c r="AJ152" i="5"/>
  <c r="BD152" i="5" s="1"/>
  <c r="AH152" i="5"/>
  <c r="AF152" i="5"/>
  <c r="AE152" i="5"/>
  <c r="BB152" i="5" s="1"/>
  <c r="AA152" i="5"/>
  <c r="AC152" i="5" s="1"/>
  <c r="AD152" i="5" s="1"/>
  <c r="BA152" i="5" s="1"/>
  <c r="Z152" i="5"/>
  <c r="AZ152" i="5" s="1"/>
  <c r="BP151" i="5"/>
  <c r="BR151" i="5" s="1"/>
  <c r="BS151" i="5" s="1"/>
  <c r="BK151" i="5"/>
  <c r="BJ151" i="5"/>
  <c r="BC151" i="5"/>
  <c r="BB151" i="5"/>
  <c r="BA151" i="5"/>
  <c r="AZ151" i="5"/>
  <c r="AR151" i="5"/>
  <c r="AP151" i="5"/>
  <c r="AO151" i="5"/>
  <c r="BG151" i="5" s="1"/>
  <c r="AM151" i="5"/>
  <c r="AK151" i="5"/>
  <c r="AJ151" i="5"/>
  <c r="BD151" i="5" s="1"/>
  <c r="BP150" i="5"/>
  <c r="BR150" i="5" s="1"/>
  <c r="BS150" i="5" s="1"/>
  <c r="BK150" i="5"/>
  <c r="BJ150" i="5"/>
  <c r="BI150" i="5"/>
  <c r="BH150" i="5"/>
  <c r="BG150" i="5"/>
  <c r="BA150" i="5"/>
  <c r="AZ150" i="5"/>
  <c r="AM150" i="5"/>
  <c r="AK150" i="5"/>
  <c r="AJ150" i="5"/>
  <c r="BD150" i="5" s="1"/>
  <c r="AH150" i="5"/>
  <c r="AF150" i="5"/>
  <c r="AE150" i="5"/>
  <c r="BB150" i="5" s="1"/>
  <c r="BP149" i="5"/>
  <c r="BR149" i="5" s="1"/>
  <c r="BS149" i="5" s="1"/>
  <c r="BI149" i="5"/>
  <c r="BH149" i="5"/>
  <c r="BG149" i="5"/>
  <c r="BA149" i="5"/>
  <c r="AZ149" i="5"/>
  <c r="AW149" i="5"/>
  <c r="AU149" i="5"/>
  <c r="AT149" i="5"/>
  <c r="BJ149" i="5" s="1"/>
  <c r="AM149" i="5"/>
  <c r="AK149" i="5"/>
  <c r="AJ149" i="5"/>
  <c r="BD149" i="5" s="1"/>
  <c r="AH149" i="5"/>
  <c r="AF149" i="5"/>
  <c r="AE149" i="5"/>
  <c r="BB149" i="5" s="1"/>
  <c r="BP148" i="5"/>
  <c r="BR148" i="5" s="1"/>
  <c r="BS148" i="5" s="1"/>
  <c r="BK148" i="5"/>
  <c r="BJ148" i="5"/>
  <c r="BI148" i="5"/>
  <c r="BF148" i="5"/>
  <c r="BE148" i="5"/>
  <c r="BD148" i="5"/>
  <c r="BC148" i="5"/>
  <c r="BB148" i="5"/>
  <c r="AS148" i="5"/>
  <c r="BH148" i="5" s="1"/>
  <c r="AO148" i="5"/>
  <c r="BG148" i="5" s="1"/>
  <c r="AA148" i="5"/>
  <c r="AD148" i="5" s="1"/>
  <c r="BA148" i="5" s="1"/>
  <c r="Z148" i="5"/>
  <c r="AZ148" i="5" s="1"/>
  <c r="BP147" i="5"/>
  <c r="BR147" i="5" s="1"/>
  <c r="BS147" i="5" s="1"/>
  <c r="BK147" i="5"/>
  <c r="BI147" i="5"/>
  <c r="BH147" i="5"/>
  <c r="BG147" i="5"/>
  <c r="BF147" i="5"/>
  <c r="AT147" i="5"/>
  <c r="BJ147" i="5" s="1"/>
  <c r="AN147" i="5"/>
  <c r="BE147" i="5" s="1"/>
  <c r="AJ147" i="5"/>
  <c r="BD147" i="5" s="1"/>
  <c r="AI147" i="5"/>
  <c r="BC147" i="5" s="1"/>
  <c r="AE147" i="5"/>
  <c r="BB147" i="5" s="1"/>
  <c r="AC147" i="5"/>
  <c r="AD147" i="5" s="1"/>
  <c r="BA147" i="5" s="1"/>
  <c r="Z147" i="5"/>
  <c r="AZ147" i="5" s="1"/>
  <c r="BP146" i="5"/>
  <c r="BR146" i="5" s="1"/>
  <c r="BS146" i="5" s="1"/>
  <c r="BK146" i="5"/>
  <c r="BJ146" i="5"/>
  <c r="BI146" i="5"/>
  <c r="BH146" i="5"/>
  <c r="BG146" i="5"/>
  <c r="BB146" i="5"/>
  <c r="AM146" i="5"/>
  <c r="AK146" i="5"/>
  <c r="AJ146" i="5"/>
  <c r="BD146" i="5" s="1"/>
  <c r="AH146" i="5"/>
  <c r="AF146" i="5"/>
  <c r="AC146" i="5"/>
  <c r="AA146" i="5"/>
  <c r="Z146" i="5"/>
  <c r="AZ146" i="5" s="1"/>
  <c r="BP145" i="5"/>
  <c r="BR145" i="5" s="1"/>
  <c r="BS145" i="5" s="1"/>
  <c r="BJ145" i="5"/>
  <c r="BI145" i="5"/>
  <c r="BH145" i="5"/>
  <c r="BG145" i="5"/>
  <c r="BF145" i="5"/>
  <c r="BE145" i="5"/>
  <c r="BD145" i="5"/>
  <c r="BC145" i="5"/>
  <c r="BB145" i="5"/>
  <c r="BA145" i="5"/>
  <c r="AZ145" i="5"/>
  <c r="AX145" i="5"/>
  <c r="BK145" i="5" s="1"/>
  <c r="O145" i="5"/>
  <c r="BP144" i="5"/>
  <c r="BR144" i="5" s="1"/>
  <c r="BS144" i="5" s="1"/>
  <c r="BK144" i="5"/>
  <c r="BJ144" i="5"/>
  <c r="BI144" i="5"/>
  <c r="BF144" i="5"/>
  <c r="BE144" i="5"/>
  <c r="BD144" i="5"/>
  <c r="BA144" i="5"/>
  <c r="AZ144" i="5"/>
  <c r="AS144" i="5"/>
  <c r="BH144" i="5" s="1"/>
  <c r="AO144" i="5"/>
  <c r="BG144" i="5" s="1"/>
  <c r="AI144" i="5"/>
  <c r="BC144" i="5" s="1"/>
  <c r="AE144" i="5"/>
  <c r="BB144" i="5" s="1"/>
  <c r="BP143" i="5"/>
  <c r="BR143" i="5" s="1"/>
  <c r="BS143" i="5" s="1"/>
  <c r="BK143" i="5"/>
  <c r="BJ143" i="5"/>
  <c r="BA143" i="5"/>
  <c r="AZ143" i="5"/>
  <c r="AR143" i="5"/>
  <c r="AP143" i="5"/>
  <c r="AO143" i="5"/>
  <c r="BG143" i="5" s="1"/>
  <c r="AM143" i="5"/>
  <c r="AK143" i="5"/>
  <c r="AJ143" i="5"/>
  <c r="BD143" i="5" s="1"/>
  <c r="AI143" i="5"/>
  <c r="BC143" i="5" s="1"/>
  <c r="AE143" i="5"/>
  <c r="BB143" i="5" s="1"/>
  <c r="BS142" i="5"/>
  <c r="BP142" i="5"/>
  <c r="BR142" i="5" s="1"/>
  <c r="BK142" i="5"/>
  <c r="BJ142" i="5"/>
  <c r="BI142" i="5"/>
  <c r="BH142" i="5"/>
  <c r="BG142" i="5"/>
  <c r="BC142" i="5"/>
  <c r="BB142" i="5"/>
  <c r="BA142" i="5"/>
  <c r="AZ142" i="5"/>
  <c r="AM142" i="5"/>
  <c r="BF142" i="5" s="1"/>
  <c r="AJ142" i="5"/>
  <c r="BD142" i="5" s="1"/>
  <c r="O142" i="5"/>
  <c r="BP141" i="5"/>
  <c r="BR141" i="5" s="1"/>
  <c r="BS141" i="5" s="1"/>
  <c r="BK141" i="5"/>
  <c r="BJ141" i="5"/>
  <c r="BI141" i="5"/>
  <c r="BH141" i="5"/>
  <c r="BG141" i="5"/>
  <c r="AM141" i="5"/>
  <c r="AK141" i="5"/>
  <c r="AJ141" i="5"/>
  <c r="BD141" i="5" s="1"/>
  <c r="AH141" i="5"/>
  <c r="AF141" i="5"/>
  <c r="AE141" i="5"/>
  <c r="BB141" i="5" s="1"/>
  <c r="AC141" i="5"/>
  <c r="AA141" i="5"/>
  <c r="Z141" i="5"/>
  <c r="AZ141" i="5" s="1"/>
  <c r="BS140" i="5"/>
  <c r="BP140" i="5"/>
  <c r="BR140" i="5" s="1"/>
  <c r="BK140" i="5"/>
  <c r="BJ140" i="5"/>
  <c r="BI140" i="5"/>
  <c r="BH140" i="5"/>
  <c r="BG140" i="5"/>
  <c r="BF140" i="5"/>
  <c r="BA140" i="5"/>
  <c r="AZ140" i="5"/>
  <c r="AN140" i="5"/>
  <c r="BE140" i="5" s="1"/>
  <c r="AJ140" i="5"/>
  <c r="BD140" i="5" s="1"/>
  <c r="AF140" i="5"/>
  <c r="AI140" i="5" s="1"/>
  <c r="BC140" i="5" s="1"/>
  <c r="AE140" i="5"/>
  <c r="BB140" i="5" s="1"/>
  <c r="BP139" i="5"/>
  <c r="BR139" i="5" s="1"/>
  <c r="BS139" i="5" s="1"/>
  <c r="BK139" i="5"/>
  <c r="BJ139" i="5"/>
  <c r="BI139" i="5"/>
  <c r="BH139" i="5"/>
  <c r="BG139" i="5"/>
  <c r="BC139" i="5"/>
  <c r="BB139" i="5"/>
  <c r="AM139" i="5"/>
  <c r="AK139" i="5"/>
  <c r="AJ139" i="5"/>
  <c r="BD139" i="5" s="1"/>
  <c r="AC139" i="5"/>
  <c r="AA139" i="5"/>
  <c r="Z139" i="5"/>
  <c r="AZ139" i="5" s="1"/>
  <c r="O139" i="5"/>
  <c r="BS138" i="5"/>
  <c r="BP138" i="5"/>
  <c r="BR138" i="5" s="1"/>
  <c r="BK138" i="5"/>
  <c r="BJ138" i="5"/>
  <c r="BI138" i="5"/>
  <c r="BG138" i="5"/>
  <c r="BF138" i="5"/>
  <c r="BE138" i="5"/>
  <c r="BD138" i="5"/>
  <c r="BC138" i="5"/>
  <c r="BB138" i="5"/>
  <c r="BA138" i="5"/>
  <c r="AZ138" i="5"/>
  <c r="AS138" i="5"/>
  <c r="BH138" i="5" s="1"/>
  <c r="BS137" i="5"/>
  <c r="BP137" i="5"/>
  <c r="BR137" i="5" s="1"/>
  <c r="BJ137" i="5"/>
  <c r="BI137" i="5"/>
  <c r="BH137" i="5"/>
  <c r="BG137" i="5"/>
  <c r="BF137" i="5"/>
  <c r="BE137" i="5"/>
  <c r="BD137" i="5"/>
  <c r="BC137" i="5"/>
  <c r="BB137" i="5"/>
  <c r="BA137" i="5"/>
  <c r="AZ137" i="5"/>
  <c r="AX137" i="5"/>
  <c r="BK137" i="5" s="1"/>
  <c r="O137" i="5"/>
  <c r="BP136" i="5"/>
  <c r="BR136" i="5" s="1"/>
  <c r="BS136" i="5" s="1"/>
  <c r="BK136" i="5"/>
  <c r="BJ136" i="5"/>
  <c r="BI136" i="5"/>
  <c r="BH136" i="5"/>
  <c r="BG136" i="5"/>
  <c r="AK136" i="5"/>
  <c r="BF136" i="5" s="1"/>
  <c r="AJ136" i="5"/>
  <c r="BD136" i="5" s="1"/>
  <c r="AH136" i="5"/>
  <c r="AF136" i="5"/>
  <c r="AE136" i="5"/>
  <c r="BB136" i="5" s="1"/>
  <c r="AC136" i="5"/>
  <c r="AA136" i="5"/>
  <c r="Z136" i="5"/>
  <c r="AZ136" i="5" s="1"/>
  <c r="BP135" i="5"/>
  <c r="BR135" i="5" s="1"/>
  <c r="BS135" i="5" s="1"/>
  <c r="BK135" i="5"/>
  <c r="BJ135" i="5"/>
  <c r="BI135" i="5"/>
  <c r="BH135" i="5"/>
  <c r="BG135" i="5"/>
  <c r="BC135" i="5"/>
  <c r="BB135" i="5"/>
  <c r="AK135" i="5"/>
  <c r="BF135" i="5" s="1"/>
  <c r="AJ135" i="5"/>
  <c r="BD135" i="5" s="1"/>
  <c r="AC135" i="5"/>
  <c r="AA135" i="5"/>
  <c r="Z135" i="5"/>
  <c r="AZ135" i="5" s="1"/>
  <c r="BP134" i="5"/>
  <c r="BR134" i="5" s="1"/>
  <c r="BS134" i="5" s="1"/>
  <c r="BI134" i="5"/>
  <c r="BH134" i="5"/>
  <c r="BG134" i="5"/>
  <c r="BF134" i="5"/>
  <c r="BE134" i="5"/>
  <c r="BD134" i="5"/>
  <c r="BC134" i="5"/>
  <c r="BB134" i="5"/>
  <c r="BA134" i="5"/>
  <c r="AZ134" i="5"/>
  <c r="AU134" i="5"/>
  <c r="AX134" i="5" s="1"/>
  <c r="BK134" i="5" s="1"/>
  <c r="AT134" i="5"/>
  <c r="BJ134" i="5" s="1"/>
  <c r="BP133" i="5"/>
  <c r="BR133" i="5" s="1"/>
  <c r="BS133" i="5" s="1"/>
  <c r="BK133" i="5"/>
  <c r="BJ133" i="5"/>
  <c r="BI133" i="5"/>
  <c r="BH133" i="5"/>
  <c r="BG133" i="5"/>
  <c r="BA133" i="5"/>
  <c r="AZ133" i="5"/>
  <c r="AK133" i="5"/>
  <c r="BF133" i="5" s="1"/>
  <c r="AJ133" i="5"/>
  <c r="BD133" i="5" s="1"/>
  <c r="AH133" i="5"/>
  <c r="AF133" i="5"/>
  <c r="AE133" i="5"/>
  <c r="BB133" i="5" s="1"/>
  <c r="BS132" i="5"/>
  <c r="BP132" i="5"/>
  <c r="BR132" i="5" s="1"/>
  <c r="BI132" i="5"/>
  <c r="BH132" i="5"/>
  <c r="BG132" i="5"/>
  <c r="BF132" i="5"/>
  <c r="BE132" i="5"/>
  <c r="BD132" i="5"/>
  <c r="BC132" i="5"/>
  <c r="BB132" i="5"/>
  <c r="BA132" i="5"/>
  <c r="AZ132" i="5"/>
  <c r="AW132" i="5"/>
  <c r="AU132" i="5"/>
  <c r="AT132" i="5"/>
  <c r="BJ132" i="5" s="1"/>
  <c r="O132" i="5"/>
  <c r="BP131" i="5"/>
  <c r="BR131" i="5" s="1"/>
  <c r="BS131" i="5" s="1"/>
  <c r="BI131" i="5"/>
  <c r="BH131" i="5"/>
  <c r="BG131" i="5"/>
  <c r="BF131" i="5"/>
  <c r="BE131" i="5"/>
  <c r="BD131" i="5"/>
  <c r="BC131" i="5"/>
  <c r="BB131" i="5"/>
  <c r="BA131" i="5"/>
  <c r="AZ131" i="5"/>
  <c r="AW131" i="5"/>
  <c r="AU131" i="5"/>
  <c r="AT131" i="5"/>
  <c r="BJ131" i="5" s="1"/>
  <c r="BP130" i="5"/>
  <c r="BR130" i="5" s="1"/>
  <c r="BS130" i="5" s="1"/>
  <c r="BJ130" i="5"/>
  <c r="BI130" i="5"/>
  <c r="BH130" i="5"/>
  <c r="BG130" i="5"/>
  <c r="BF130" i="5"/>
  <c r="BA130" i="5"/>
  <c r="AZ130" i="5"/>
  <c r="AX130" i="5"/>
  <c r="BK130" i="5" s="1"/>
  <c r="AN130" i="5"/>
  <c r="BE130" i="5" s="1"/>
  <c r="AJ130" i="5"/>
  <c r="BD130" i="5" s="1"/>
  <c r="AH130" i="5"/>
  <c r="AF130" i="5"/>
  <c r="AE130" i="5"/>
  <c r="BB130" i="5" s="1"/>
  <c r="BS129" i="5"/>
  <c r="BP129" i="5"/>
  <c r="BR129" i="5" s="1"/>
  <c r="BI129" i="5"/>
  <c r="BH129" i="5"/>
  <c r="BG129" i="5"/>
  <c r="BF129" i="5"/>
  <c r="BE129" i="5"/>
  <c r="BD129" i="5"/>
  <c r="BC129" i="5"/>
  <c r="BB129" i="5"/>
  <c r="AW129" i="5"/>
  <c r="AU129" i="5"/>
  <c r="AT129" i="5"/>
  <c r="BJ129" i="5" s="1"/>
  <c r="AC129" i="5"/>
  <c r="AA129" i="5"/>
  <c r="Z129" i="5"/>
  <c r="AZ129" i="5" s="1"/>
  <c r="BS128" i="5"/>
  <c r="BP128" i="5"/>
  <c r="BR128" i="5" s="1"/>
  <c r="BI128" i="5"/>
  <c r="BH128" i="5"/>
  <c r="BG128" i="5"/>
  <c r="BF128" i="5"/>
  <c r="BE128" i="5"/>
  <c r="BD128" i="5"/>
  <c r="BC128" i="5"/>
  <c r="BB128" i="5"/>
  <c r="AW128" i="5"/>
  <c r="AX128" i="5" s="1"/>
  <c r="BK128" i="5" s="1"/>
  <c r="AT128" i="5"/>
  <c r="BJ128" i="5" s="1"/>
  <c r="AC128" i="5"/>
  <c r="AD128" i="5" s="1"/>
  <c r="BA128" i="5" s="1"/>
  <c r="Z128" i="5"/>
  <c r="AZ128" i="5" s="1"/>
  <c r="BP127" i="5"/>
  <c r="BR127" i="5" s="1"/>
  <c r="BS127" i="5" s="1"/>
  <c r="BI127" i="5"/>
  <c r="BH127" i="5"/>
  <c r="BG127" i="5"/>
  <c r="BF127" i="5"/>
  <c r="BE127" i="5"/>
  <c r="BD127" i="5"/>
  <c r="BC127" i="5"/>
  <c r="BB127" i="5"/>
  <c r="BA127" i="5"/>
  <c r="AZ127" i="5"/>
  <c r="AW127" i="5"/>
  <c r="AU127" i="5"/>
  <c r="AT127" i="5"/>
  <c r="BJ127" i="5" s="1"/>
  <c r="BP126" i="5"/>
  <c r="BR126" i="5" s="1"/>
  <c r="BS126" i="5" s="1"/>
  <c r="BI126" i="5"/>
  <c r="BH126" i="5"/>
  <c r="BG126" i="5"/>
  <c r="BF126" i="5"/>
  <c r="BE126" i="5"/>
  <c r="BD126" i="5"/>
  <c r="BC126" i="5"/>
  <c r="BB126" i="5"/>
  <c r="BA126" i="5"/>
  <c r="AZ126" i="5"/>
  <c r="AU126" i="5"/>
  <c r="AX126" i="5" s="1"/>
  <c r="BK126" i="5" s="1"/>
  <c r="AT126" i="5"/>
  <c r="BJ126" i="5" s="1"/>
  <c r="O126" i="5"/>
  <c r="BP125" i="5"/>
  <c r="BR125" i="5" s="1"/>
  <c r="BS125" i="5" s="1"/>
  <c r="BK125" i="5"/>
  <c r="BJ125" i="5"/>
  <c r="BI125" i="5"/>
  <c r="BH125" i="5"/>
  <c r="BG125" i="5"/>
  <c r="BF125" i="5"/>
  <c r="BD125" i="5"/>
  <c r="BC125" i="5"/>
  <c r="BB125" i="5"/>
  <c r="BA125" i="5"/>
  <c r="AZ125" i="5"/>
  <c r="AN125" i="5"/>
  <c r="BE125" i="5" s="1"/>
  <c r="O125" i="5"/>
  <c r="BS124" i="5"/>
  <c r="BP124" i="5"/>
  <c r="BR124" i="5" s="1"/>
  <c r="BI124" i="5"/>
  <c r="BH124" i="5"/>
  <c r="BG124" i="5"/>
  <c r="BF124" i="5"/>
  <c r="BE124" i="5"/>
  <c r="BD124" i="5"/>
  <c r="BC124" i="5"/>
  <c r="BB124" i="5"/>
  <c r="BA124" i="5"/>
  <c r="AZ124" i="5"/>
  <c r="AX124" i="5"/>
  <c r="BK124" i="5" s="1"/>
  <c r="AT124" i="5"/>
  <c r="BJ124" i="5" s="1"/>
  <c r="O124" i="5"/>
  <c r="BS123" i="5"/>
  <c r="BP123" i="5"/>
  <c r="BR123" i="5" s="1"/>
  <c r="BI123" i="5"/>
  <c r="BH123" i="5"/>
  <c r="BG123" i="5"/>
  <c r="BF123" i="5"/>
  <c r="BE123" i="5"/>
  <c r="BD123" i="5"/>
  <c r="BC123" i="5"/>
  <c r="BB123" i="5"/>
  <c r="BA123" i="5"/>
  <c r="AZ123" i="5"/>
  <c r="AU123" i="5"/>
  <c r="AX123" i="5" s="1"/>
  <c r="BK123" i="5" s="1"/>
  <c r="AT123" i="5"/>
  <c r="BJ123" i="5" s="1"/>
  <c r="O123" i="5"/>
  <c r="BP122" i="5"/>
  <c r="BR122" i="5" s="1"/>
  <c r="BS122" i="5" s="1"/>
  <c r="BK122" i="5"/>
  <c r="BJ122" i="5"/>
  <c r="BI122" i="5"/>
  <c r="BH122" i="5"/>
  <c r="BG122" i="5"/>
  <c r="BF122" i="5"/>
  <c r="BE122" i="5"/>
  <c r="BD122" i="5"/>
  <c r="BB122" i="5"/>
  <c r="BA122" i="5"/>
  <c r="AZ122" i="5"/>
  <c r="AI122" i="5"/>
  <c r="BC122" i="5" s="1"/>
  <c r="O122" i="5"/>
  <c r="BP121" i="5"/>
  <c r="BR121" i="5" s="1"/>
  <c r="BS121" i="5" s="1"/>
  <c r="BK121" i="5"/>
  <c r="BJ121" i="5"/>
  <c r="BI121" i="5"/>
  <c r="BH121" i="5"/>
  <c r="BG121" i="5"/>
  <c r="BF121" i="5"/>
  <c r="BE121" i="5"/>
  <c r="BD121" i="5"/>
  <c r="BC121" i="5"/>
  <c r="BB121" i="5"/>
  <c r="AC121" i="5"/>
  <c r="AD121" i="5" s="1"/>
  <c r="BA121" i="5" s="1"/>
  <c r="Z121" i="5"/>
  <c r="AZ121" i="5" s="1"/>
  <c r="BP120" i="5"/>
  <c r="BR120" i="5" s="1"/>
  <c r="BS120" i="5" s="1"/>
  <c r="BI120" i="5"/>
  <c r="BH120" i="5"/>
  <c r="BG120" i="5"/>
  <c r="BF120" i="5"/>
  <c r="BE120" i="5"/>
  <c r="BD120" i="5"/>
  <c r="BC120" i="5"/>
  <c r="BB120" i="5"/>
  <c r="BA120" i="5"/>
  <c r="AZ120" i="5"/>
  <c r="AU120" i="5"/>
  <c r="AX120" i="5" s="1"/>
  <c r="BK120" i="5" s="1"/>
  <c r="AT120" i="5"/>
  <c r="BJ120" i="5" s="1"/>
  <c r="O120" i="5"/>
  <c r="BP119" i="5"/>
  <c r="BR119" i="5" s="1"/>
  <c r="BS119" i="5" s="1"/>
  <c r="BK119" i="5"/>
  <c r="BJ119" i="5"/>
  <c r="BI119" i="5"/>
  <c r="BH119" i="5"/>
  <c r="BG119" i="5"/>
  <c r="BC119" i="5"/>
  <c r="BB119" i="5"/>
  <c r="AM119" i="5"/>
  <c r="AJ119" i="5"/>
  <c r="BD119" i="5" s="1"/>
  <c r="AC119" i="5"/>
  <c r="AA119" i="5"/>
  <c r="Z119" i="5"/>
  <c r="AZ119" i="5" s="1"/>
  <c r="O119" i="5"/>
  <c r="BP118" i="5"/>
  <c r="BR118" i="5" s="1"/>
  <c r="BS118" i="5" s="1"/>
  <c r="BJ118" i="5"/>
  <c r="BI118" i="5"/>
  <c r="BH118" i="5"/>
  <c r="BG118" i="5"/>
  <c r="BF118" i="5"/>
  <c r="BE118" i="5"/>
  <c r="BD118" i="5"/>
  <c r="BC118" i="5"/>
  <c r="BB118" i="5"/>
  <c r="BA118" i="5"/>
  <c r="AZ118" i="5"/>
  <c r="AX118" i="5"/>
  <c r="BK118" i="5" s="1"/>
  <c r="O118" i="5"/>
  <c r="BP117" i="5"/>
  <c r="BR117" i="5" s="1"/>
  <c r="BS117" i="5" s="1"/>
  <c r="BK117" i="5"/>
  <c r="BJ117" i="5"/>
  <c r="BI117" i="5"/>
  <c r="BH117" i="5"/>
  <c r="BG117" i="5"/>
  <c r="BF117" i="5"/>
  <c r="BD117" i="5"/>
  <c r="BA117" i="5"/>
  <c r="AZ117" i="5"/>
  <c r="AN117" i="5"/>
  <c r="BE117" i="5" s="1"/>
  <c r="AI117" i="5"/>
  <c r="BC117" i="5" s="1"/>
  <c r="AE117" i="5"/>
  <c r="BB117" i="5" s="1"/>
  <c r="O117" i="5"/>
  <c r="BP116" i="5"/>
  <c r="BR116" i="5" s="1"/>
  <c r="BS116" i="5" s="1"/>
  <c r="BK116" i="5"/>
  <c r="BJ116" i="5"/>
  <c r="BI116" i="5"/>
  <c r="BH116" i="5"/>
  <c r="BG116" i="5"/>
  <c r="BF116" i="5"/>
  <c r="BA116" i="5"/>
  <c r="AZ116" i="5"/>
  <c r="AN116" i="5"/>
  <c r="BE116" i="5" s="1"/>
  <c r="AJ116" i="5"/>
  <c r="BD116" i="5" s="1"/>
  <c r="AI116" i="5"/>
  <c r="BC116" i="5" s="1"/>
  <c r="AE116" i="5"/>
  <c r="BB116" i="5" s="1"/>
  <c r="O116" i="5"/>
  <c r="BP115" i="5"/>
  <c r="BR115" i="5" s="1"/>
  <c r="BS115" i="5" s="1"/>
  <c r="BK115" i="5"/>
  <c r="BJ115" i="5"/>
  <c r="BI115" i="5"/>
  <c r="BF115" i="5"/>
  <c r="BE115" i="5"/>
  <c r="BD115" i="5"/>
  <c r="BA115" i="5"/>
  <c r="AZ115" i="5"/>
  <c r="AS115" i="5"/>
  <c r="BH115" i="5" s="1"/>
  <c r="AO115" i="5"/>
  <c r="BG115" i="5" s="1"/>
  <c r="AI115" i="5"/>
  <c r="BC115" i="5" s="1"/>
  <c r="AE115" i="5"/>
  <c r="BB115" i="5" s="1"/>
  <c r="O115" i="5"/>
  <c r="BP114" i="5"/>
  <c r="BR114" i="5" s="1"/>
  <c r="BS114" i="5" s="1"/>
  <c r="BK114" i="5"/>
  <c r="BJ114" i="5"/>
  <c r="BI114" i="5"/>
  <c r="BH114" i="5"/>
  <c r="BG114" i="5"/>
  <c r="BF114" i="5"/>
  <c r="BC114" i="5"/>
  <c r="BB114" i="5"/>
  <c r="BA114" i="5"/>
  <c r="AZ114" i="5"/>
  <c r="AN114" i="5"/>
  <c r="BE114" i="5" s="1"/>
  <c r="AJ114" i="5"/>
  <c r="BD114" i="5" s="1"/>
  <c r="O114" i="5"/>
  <c r="BP113" i="5"/>
  <c r="BR113" i="5" s="1"/>
  <c r="BS113" i="5" s="1"/>
  <c r="BK113" i="5"/>
  <c r="BJ113" i="5"/>
  <c r="BI113" i="5"/>
  <c r="BH113" i="5"/>
  <c r="BG113" i="5"/>
  <c r="BE113" i="5"/>
  <c r="BD113" i="5"/>
  <c r="BB113" i="5"/>
  <c r="BA113" i="5"/>
  <c r="AZ113" i="5"/>
  <c r="AM113" i="5"/>
  <c r="BF113" i="5" s="1"/>
  <c r="AI113" i="5"/>
  <c r="BC113" i="5" s="1"/>
  <c r="O113" i="5"/>
  <c r="BP112" i="5"/>
  <c r="BR112" i="5" s="1"/>
  <c r="BS112" i="5" s="1"/>
  <c r="BK112" i="5"/>
  <c r="BJ112" i="5"/>
  <c r="BI112" i="5"/>
  <c r="BH112" i="5"/>
  <c r="BG112" i="5"/>
  <c r="BC112" i="5"/>
  <c r="BB112" i="5"/>
  <c r="BA112" i="5"/>
  <c r="AZ112" i="5"/>
  <c r="AK112" i="5"/>
  <c r="AN112" i="5" s="1"/>
  <c r="BE112" i="5" s="1"/>
  <c r="AJ112" i="5"/>
  <c r="BD112" i="5" s="1"/>
  <c r="O112" i="5"/>
  <c r="BP111" i="5"/>
  <c r="BR111" i="5" s="1"/>
  <c r="BS111" i="5" s="1"/>
  <c r="BK111" i="5"/>
  <c r="BJ111" i="5"/>
  <c r="BI111" i="5"/>
  <c r="BH111" i="5"/>
  <c r="BG111" i="5"/>
  <c r="BF111" i="5"/>
  <c r="BD111" i="5"/>
  <c r="BC111" i="5"/>
  <c r="BB111" i="5"/>
  <c r="BA111" i="5"/>
  <c r="AZ111" i="5"/>
  <c r="AN111" i="5"/>
  <c r="BE111" i="5" s="1"/>
  <c r="O111" i="5"/>
  <c r="BP110" i="5"/>
  <c r="BR110" i="5" s="1"/>
  <c r="BS110" i="5" s="1"/>
  <c r="BK110" i="5"/>
  <c r="BJ110" i="5"/>
  <c r="BI110" i="5"/>
  <c r="BH110" i="5"/>
  <c r="BG110" i="5"/>
  <c r="BE110" i="5"/>
  <c r="AM110" i="5"/>
  <c r="BF110" i="5" s="1"/>
  <c r="AJ110" i="5"/>
  <c r="BD110" i="5" s="1"/>
  <c r="AI110" i="5"/>
  <c r="BC110" i="5" s="1"/>
  <c r="AE110" i="5"/>
  <c r="BB110" i="5" s="1"/>
  <c r="AD110" i="5"/>
  <c r="BA110" i="5" s="1"/>
  <c r="Z110" i="5"/>
  <c r="AZ110" i="5" s="1"/>
  <c r="O110" i="5"/>
  <c r="BP109" i="5"/>
  <c r="BR109" i="5" s="1"/>
  <c r="BS109" i="5" s="1"/>
  <c r="BK109" i="5"/>
  <c r="BJ109" i="5"/>
  <c r="BI109" i="5"/>
  <c r="BG109" i="5"/>
  <c r="BF109" i="5"/>
  <c r="BE109" i="5"/>
  <c r="BD109" i="5"/>
  <c r="BA109" i="5"/>
  <c r="AZ109" i="5"/>
  <c r="AS109" i="5"/>
  <c r="BH109" i="5" s="1"/>
  <c r="AI109" i="5"/>
  <c r="BC109" i="5" s="1"/>
  <c r="AE109" i="5"/>
  <c r="BB109" i="5" s="1"/>
  <c r="O109" i="5"/>
  <c r="BP108" i="5"/>
  <c r="BR108" i="5" s="1"/>
  <c r="BS108" i="5" s="1"/>
  <c r="BK108" i="5"/>
  <c r="BJ108" i="5"/>
  <c r="BI108" i="5"/>
  <c r="BH108" i="5"/>
  <c r="BG108" i="5"/>
  <c r="BF108" i="5"/>
  <c r="BD108" i="5"/>
  <c r="BB108" i="5"/>
  <c r="BA108" i="5"/>
  <c r="AZ108" i="5"/>
  <c r="AN108" i="5"/>
  <c r="BE108" i="5" s="1"/>
  <c r="AI108" i="5"/>
  <c r="BC108" i="5" s="1"/>
  <c r="O108" i="5"/>
  <c r="BP107" i="5"/>
  <c r="BR107" i="5" s="1"/>
  <c r="BS107" i="5" s="1"/>
  <c r="BJ107" i="5"/>
  <c r="BI107" i="5"/>
  <c r="BH107" i="5"/>
  <c r="BG107" i="5"/>
  <c r="BF107" i="5"/>
  <c r="BD107" i="5"/>
  <c r="BB107" i="5"/>
  <c r="AX107" i="5"/>
  <c r="BK107" i="5" s="1"/>
  <c r="AN107" i="5"/>
  <c r="BE107" i="5" s="1"/>
  <c r="AI107" i="5"/>
  <c r="BC107" i="5" s="1"/>
  <c r="AA107" i="5"/>
  <c r="AD107" i="5" s="1"/>
  <c r="BA107" i="5" s="1"/>
  <c r="Z107" i="5"/>
  <c r="AZ107" i="5" s="1"/>
  <c r="O107" i="5"/>
  <c r="BP106" i="5"/>
  <c r="BR106" i="5" s="1"/>
  <c r="BS106" i="5" s="1"/>
  <c r="BK106" i="5"/>
  <c r="BJ106" i="5"/>
  <c r="BI106" i="5"/>
  <c r="BH106" i="5"/>
  <c r="BG106" i="5"/>
  <c r="BF106" i="5"/>
  <c r="BD106" i="5"/>
  <c r="BB106" i="5"/>
  <c r="BA106" i="5"/>
  <c r="AZ106" i="5"/>
  <c r="AN106" i="5"/>
  <c r="BE106" i="5" s="1"/>
  <c r="AI106" i="5"/>
  <c r="BC106" i="5" s="1"/>
  <c r="O106" i="5"/>
  <c r="BP105" i="5"/>
  <c r="BR105" i="5" s="1"/>
  <c r="BS105" i="5" s="1"/>
  <c r="BK105" i="5"/>
  <c r="BJ105" i="5"/>
  <c r="BI105" i="5"/>
  <c r="BH105" i="5"/>
  <c r="BG105" i="5"/>
  <c r="BF105" i="5"/>
  <c r="AN105" i="5"/>
  <c r="BE105" i="5" s="1"/>
  <c r="AJ105" i="5"/>
  <c r="BD105" i="5" s="1"/>
  <c r="AI105" i="5"/>
  <c r="BC105" i="5" s="1"/>
  <c r="AE105" i="5"/>
  <c r="BB105" i="5" s="1"/>
  <c r="AD105" i="5"/>
  <c r="BA105" i="5" s="1"/>
  <c r="Z105" i="5"/>
  <c r="AZ105" i="5" s="1"/>
  <c r="O105" i="5"/>
  <c r="BP104" i="5"/>
  <c r="BR104" i="5" s="1"/>
  <c r="BS104" i="5" s="1"/>
  <c r="BI104" i="5"/>
  <c r="BH104" i="5"/>
  <c r="BG104" i="5"/>
  <c r="BF104" i="5"/>
  <c r="BE104" i="5"/>
  <c r="BD104" i="5"/>
  <c r="BC104" i="5"/>
  <c r="BB104" i="5"/>
  <c r="BA104" i="5"/>
  <c r="AZ104" i="5"/>
  <c r="AX104" i="5"/>
  <c r="BK104" i="5" s="1"/>
  <c r="AT104" i="5"/>
  <c r="BJ104" i="5" s="1"/>
  <c r="O104" i="5"/>
  <c r="BP103" i="5"/>
  <c r="BR103" i="5" s="1"/>
  <c r="BS103" i="5" s="1"/>
  <c r="BJ103" i="5"/>
  <c r="BI103" i="5"/>
  <c r="BH103" i="5"/>
  <c r="BG103" i="5"/>
  <c r="BF103" i="5"/>
  <c r="BE103" i="5"/>
  <c r="BD103" i="5"/>
  <c r="BC103" i="5"/>
  <c r="BB103" i="5"/>
  <c r="BA103" i="5"/>
  <c r="AZ103" i="5"/>
  <c r="AX103" i="5"/>
  <c r="BK103" i="5" s="1"/>
  <c r="O103" i="5"/>
  <c r="BP102" i="5"/>
  <c r="BR102" i="5" s="1"/>
  <c r="BS102" i="5" s="1"/>
  <c r="BJ102" i="5"/>
  <c r="BI102" i="5"/>
  <c r="BH102" i="5"/>
  <c r="BG102" i="5"/>
  <c r="BF102" i="5"/>
  <c r="BE102" i="5"/>
  <c r="BD102" i="5"/>
  <c r="BC102" i="5"/>
  <c r="BB102" i="5"/>
  <c r="BA102" i="5"/>
  <c r="AZ102" i="5"/>
  <c r="AX102" i="5"/>
  <c r="BK102" i="5" s="1"/>
  <c r="O102" i="5"/>
  <c r="BP101" i="5"/>
  <c r="BR101" i="5" s="1"/>
  <c r="BS101" i="5" s="1"/>
  <c r="BJ101" i="5"/>
  <c r="BI101" i="5"/>
  <c r="BH101" i="5"/>
  <c r="BG101" i="5"/>
  <c r="BF101" i="5"/>
  <c r="BD101" i="5"/>
  <c r="BB101" i="5"/>
  <c r="BA101" i="5"/>
  <c r="AZ101" i="5"/>
  <c r="AX101" i="5"/>
  <c r="BK101" i="5" s="1"/>
  <c r="AN101" i="5"/>
  <c r="BE101" i="5" s="1"/>
  <c r="AI101" i="5"/>
  <c r="BC101" i="5" s="1"/>
  <c r="O101" i="5"/>
  <c r="BP100" i="5"/>
  <c r="BR100" i="5" s="1"/>
  <c r="BS100" i="5" s="1"/>
  <c r="BJ100" i="5"/>
  <c r="BI100" i="5"/>
  <c r="BH100" i="5"/>
  <c r="BG100" i="5"/>
  <c r="BF100" i="5"/>
  <c r="BE100" i="5"/>
  <c r="BD100" i="5"/>
  <c r="BC100" i="5"/>
  <c r="BB100" i="5"/>
  <c r="BA100" i="5"/>
  <c r="AZ100" i="5"/>
  <c r="AX100" i="5"/>
  <c r="BK100" i="5" s="1"/>
  <c r="O100" i="5"/>
  <c r="BP99" i="5"/>
  <c r="BR99" i="5" s="1"/>
  <c r="BS99" i="5" s="1"/>
  <c r="BK99" i="5"/>
  <c r="BJ99" i="5"/>
  <c r="BI99" i="5"/>
  <c r="BH99" i="5"/>
  <c r="BG99" i="5"/>
  <c r="BF99" i="5"/>
  <c r="BA99" i="5"/>
  <c r="AZ99" i="5"/>
  <c r="AN99" i="5"/>
  <c r="BE99" i="5" s="1"/>
  <c r="AJ99" i="5"/>
  <c r="BD99" i="5" s="1"/>
  <c r="AI99" i="5"/>
  <c r="BC99" i="5" s="1"/>
  <c r="AE99" i="5"/>
  <c r="BB99" i="5" s="1"/>
  <c r="O99" i="5"/>
  <c r="BP98" i="5"/>
  <c r="BR98" i="5" s="1"/>
  <c r="BS98" i="5" s="1"/>
  <c r="BI98" i="5"/>
  <c r="BH98" i="5"/>
  <c r="BG98" i="5"/>
  <c r="BF98" i="5"/>
  <c r="BE98" i="5"/>
  <c r="BD98" i="5"/>
  <c r="BC98" i="5"/>
  <c r="BB98" i="5"/>
  <c r="BA98" i="5"/>
  <c r="AZ98" i="5"/>
  <c r="AX98" i="5"/>
  <c r="BK98" i="5" s="1"/>
  <c r="AT98" i="5"/>
  <c r="BJ98" i="5" s="1"/>
  <c r="O98" i="5"/>
  <c r="BP97" i="5"/>
  <c r="BR97" i="5" s="1"/>
  <c r="BS97" i="5" s="1"/>
  <c r="BK97" i="5"/>
  <c r="BJ97" i="5"/>
  <c r="BI97" i="5"/>
  <c r="BH97" i="5"/>
  <c r="BG97" i="5"/>
  <c r="BF97" i="5"/>
  <c r="BA97" i="5"/>
  <c r="AZ97" i="5"/>
  <c r="AN97" i="5"/>
  <c r="BE97" i="5" s="1"/>
  <c r="AJ97" i="5"/>
  <c r="BD97" i="5" s="1"/>
  <c r="AI97" i="5"/>
  <c r="BC97" i="5" s="1"/>
  <c r="AE97" i="5"/>
  <c r="BB97" i="5" s="1"/>
  <c r="O97" i="5"/>
  <c r="BP96" i="5"/>
  <c r="BR96" i="5" s="1"/>
  <c r="BS96" i="5" s="1"/>
  <c r="BK96" i="5"/>
  <c r="BJ96" i="5"/>
  <c r="BI96" i="5"/>
  <c r="BG96" i="5"/>
  <c r="BF96" i="5"/>
  <c r="BD96" i="5"/>
  <c r="BB96" i="5"/>
  <c r="BA96" i="5"/>
  <c r="AZ96" i="5"/>
  <c r="AS96" i="5"/>
  <c r="BH96" i="5" s="1"/>
  <c r="AN96" i="5"/>
  <c r="BE96" i="5" s="1"/>
  <c r="AI96" i="5"/>
  <c r="BC96" i="5" s="1"/>
  <c r="O96" i="5"/>
  <c r="BP95" i="5"/>
  <c r="BR95" i="5" s="1"/>
  <c r="BS95" i="5" s="1"/>
  <c r="BJ95" i="5"/>
  <c r="BI95" i="5"/>
  <c r="BH95" i="5"/>
  <c r="BG95" i="5"/>
  <c r="BF95" i="5"/>
  <c r="BE95" i="5"/>
  <c r="BD95" i="5"/>
  <c r="BC95" i="5"/>
  <c r="BB95" i="5"/>
  <c r="BA95" i="5"/>
  <c r="AZ95" i="5"/>
  <c r="AX95" i="5"/>
  <c r="BK95" i="5" s="1"/>
  <c r="O95" i="5"/>
  <c r="BP94" i="5"/>
  <c r="BR94" i="5" s="1"/>
  <c r="BS94" i="5" s="1"/>
  <c r="BJ94" i="5"/>
  <c r="BI94" i="5"/>
  <c r="BH94" i="5"/>
  <c r="BG94" i="5"/>
  <c r="BF94" i="5"/>
  <c r="BD94" i="5"/>
  <c r="BB94" i="5"/>
  <c r="AZ94" i="5"/>
  <c r="AX94" i="5"/>
  <c r="BK94" i="5" s="1"/>
  <c r="AN94" i="5"/>
  <c r="BE94" i="5" s="1"/>
  <c r="AI94" i="5"/>
  <c r="BC94" i="5" s="1"/>
  <c r="AD94" i="5"/>
  <c r="BA94" i="5" s="1"/>
  <c r="O94" i="5"/>
  <c r="BP93" i="5"/>
  <c r="BR93" i="5" s="1"/>
  <c r="BS93" i="5" s="1"/>
  <c r="BK93" i="5"/>
  <c r="BJ93" i="5"/>
  <c r="BI93" i="5"/>
  <c r="BG93" i="5"/>
  <c r="BF93" i="5"/>
  <c r="BE93" i="5"/>
  <c r="BD93" i="5"/>
  <c r="BB93" i="5"/>
  <c r="BA93" i="5"/>
  <c r="AZ93" i="5"/>
  <c r="AS93" i="5"/>
  <c r="BH93" i="5" s="1"/>
  <c r="AI93" i="5"/>
  <c r="BC93" i="5" s="1"/>
  <c r="O93" i="5"/>
  <c r="BP92" i="5"/>
  <c r="BR92" i="5" s="1"/>
  <c r="BS92" i="5" s="1"/>
  <c r="BK92" i="5"/>
  <c r="BJ92" i="5"/>
  <c r="BI92" i="5"/>
  <c r="BH92" i="5"/>
  <c r="BG92" i="5"/>
  <c r="BF92" i="5"/>
  <c r="BE92" i="5"/>
  <c r="BD92" i="5"/>
  <c r="BC92" i="5"/>
  <c r="BB92" i="5"/>
  <c r="AZ92" i="5"/>
  <c r="AD92" i="5"/>
  <c r="BA92" i="5" s="1"/>
  <c r="O92" i="5"/>
  <c r="BP91" i="5"/>
  <c r="BR91" i="5" s="1"/>
  <c r="BS91" i="5" s="1"/>
  <c r="BJ91" i="5"/>
  <c r="BI91" i="5"/>
  <c r="BH91" i="5"/>
  <c r="BG91" i="5"/>
  <c r="BF91" i="5"/>
  <c r="BD91" i="5"/>
  <c r="BB91" i="5"/>
  <c r="BA91" i="5"/>
  <c r="AZ91" i="5"/>
  <c r="AX91" i="5"/>
  <c r="BK91" i="5" s="1"/>
  <c r="AN91" i="5"/>
  <c r="BE91" i="5" s="1"/>
  <c r="AI91" i="5"/>
  <c r="BC91" i="5" s="1"/>
  <c r="O91" i="5"/>
  <c r="BP90" i="5"/>
  <c r="BR90" i="5" s="1"/>
  <c r="BS90" i="5" s="1"/>
  <c r="BJ90" i="5"/>
  <c r="BI90" i="5"/>
  <c r="BH90" i="5"/>
  <c r="BG90" i="5"/>
  <c r="BF90" i="5"/>
  <c r="BE90" i="5"/>
  <c r="BD90" i="5"/>
  <c r="BC90" i="5"/>
  <c r="BB90" i="5"/>
  <c r="AZ90" i="5"/>
  <c r="AX90" i="5"/>
  <c r="BK90" i="5" s="1"/>
  <c r="AD90" i="5"/>
  <c r="BA90" i="5" s="1"/>
  <c r="O90" i="5"/>
  <c r="BP89" i="5"/>
  <c r="BR89" i="5" s="1"/>
  <c r="BS89" i="5" s="1"/>
  <c r="BK89" i="5"/>
  <c r="BJ89" i="5"/>
  <c r="BI89" i="5"/>
  <c r="BH89" i="5"/>
  <c r="BG89" i="5"/>
  <c r="BF89" i="5"/>
  <c r="BD89" i="5"/>
  <c r="BB89" i="5"/>
  <c r="BA89" i="5"/>
  <c r="AZ89" i="5"/>
  <c r="AN89" i="5"/>
  <c r="BE89" i="5" s="1"/>
  <c r="AI89" i="5"/>
  <c r="BC89" i="5" s="1"/>
  <c r="O89" i="5"/>
  <c r="BS88" i="5"/>
  <c r="BP88" i="5"/>
  <c r="BR88" i="5" s="1"/>
  <c r="BJ88" i="5"/>
  <c r="BI88" i="5"/>
  <c r="BG88" i="5"/>
  <c r="BF88" i="5"/>
  <c r="BD88" i="5"/>
  <c r="BB88" i="5"/>
  <c r="BA88" i="5"/>
  <c r="AZ88" i="5"/>
  <c r="AX88" i="5"/>
  <c r="BK88" i="5" s="1"/>
  <c r="AS88" i="5"/>
  <c r="BH88" i="5" s="1"/>
  <c r="AN88" i="5"/>
  <c r="BE88" i="5" s="1"/>
  <c r="AI88" i="5"/>
  <c r="BC88" i="5" s="1"/>
  <c r="O88" i="5"/>
  <c r="BP87" i="5"/>
  <c r="BR87" i="5" s="1"/>
  <c r="BS87" i="5" s="1"/>
  <c r="BK87" i="5"/>
  <c r="BJ87" i="5"/>
  <c r="BI87" i="5"/>
  <c r="BG87" i="5"/>
  <c r="BF87" i="5"/>
  <c r="BD87" i="5"/>
  <c r="BB87" i="5"/>
  <c r="AZ87" i="5"/>
  <c r="AS87" i="5"/>
  <c r="BH87" i="5" s="1"/>
  <c r="AN87" i="5"/>
  <c r="BE87" i="5" s="1"/>
  <c r="AI87" i="5"/>
  <c r="BC87" i="5" s="1"/>
  <c r="AD87" i="5"/>
  <c r="BA87" i="5" s="1"/>
  <c r="O87" i="5"/>
  <c r="BP86" i="5"/>
  <c r="BR86" i="5" s="1"/>
  <c r="BS86" i="5" s="1"/>
  <c r="BI86" i="5"/>
  <c r="BH86" i="5"/>
  <c r="BG86" i="5"/>
  <c r="BF86" i="5"/>
  <c r="BD86" i="5"/>
  <c r="BB86" i="5"/>
  <c r="AZ86" i="5"/>
  <c r="AU86" i="5"/>
  <c r="AX86" i="5" s="1"/>
  <c r="BK86" i="5" s="1"/>
  <c r="AT86" i="5"/>
  <c r="BJ86" i="5" s="1"/>
  <c r="AN86" i="5"/>
  <c r="BE86" i="5" s="1"/>
  <c r="AI86" i="5"/>
  <c r="BC86" i="5" s="1"/>
  <c r="AD86" i="5"/>
  <c r="BA86" i="5" s="1"/>
  <c r="O86" i="5"/>
  <c r="BP85" i="5"/>
  <c r="BR85" i="5" s="1"/>
  <c r="BS85" i="5" s="1"/>
  <c r="BJ85" i="5"/>
  <c r="BI85" i="5"/>
  <c r="BH85" i="5"/>
  <c r="BG85" i="5"/>
  <c r="BF85" i="5"/>
  <c r="BE85" i="5"/>
  <c r="BD85" i="5"/>
  <c r="BC85" i="5"/>
  <c r="BB85" i="5"/>
  <c r="BA85" i="5"/>
  <c r="AZ85" i="5"/>
  <c r="AX85" i="5"/>
  <c r="BK85" i="5" s="1"/>
  <c r="O85" i="5"/>
  <c r="BP84" i="5"/>
  <c r="BR84" i="5" s="1"/>
  <c r="BS84" i="5" s="1"/>
  <c r="BJ84" i="5"/>
  <c r="BI84" i="5"/>
  <c r="BH84" i="5"/>
  <c r="BG84" i="5"/>
  <c r="BF84" i="5"/>
  <c r="BD84" i="5"/>
  <c r="BC84" i="5"/>
  <c r="BB84" i="5"/>
  <c r="AZ84" i="5"/>
  <c r="AX84" i="5"/>
  <c r="BK84" i="5" s="1"/>
  <c r="AN84" i="5"/>
  <c r="BE84" i="5" s="1"/>
  <c r="AD84" i="5"/>
  <c r="BA84" i="5" s="1"/>
  <c r="O84" i="5"/>
  <c r="BP83" i="5"/>
  <c r="BR83" i="5" s="1"/>
  <c r="BS83" i="5" s="1"/>
  <c r="BI83" i="5"/>
  <c r="BH83" i="5"/>
  <c r="BG83" i="5"/>
  <c r="BF83" i="5"/>
  <c r="BE83" i="5"/>
  <c r="BD83" i="5"/>
  <c r="BC83" i="5"/>
  <c r="BB83" i="5"/>
  <c r="BA83" i="5"/>
  <c r="AZ83" i="5"/>
  <c r="AX83" i="5"/>
  <c r="BK83" i="5" s="1"/>
  <c r="AT83" i="5"/>
  <c r="BJ83" i="5" s="1"/>
  <c r="O83" i="5"/>
  <c r="BS82" i="5"/>
  <c r="BP82" i="5"/>
  <c r="BR82" i="5" s="1"/>
  <c r="BK82" i="5"/>
  <c r="BJ82" i="5"/>
  <c r="BI82" i="5"/>
  <c r="BG82" i="5"/>
  <c r="BF82" i="5"/>
  <c r="BB82" i="5"/>
  <c r="BA82" i="5"/>
  <c r="AZ82" i="5"/>
  <c r="AS82" i="5"/>
  <c r="BH82" i="5" s="1"/>
  <c r="AN82" i="5"/>
  <c r="BE82" i="5" s="1"/>
  <c r="AJ82" i="5"/>
  <c r="BD82" i="5" s="1"/>
  <c r="AI82" i="5"/>
  <c r="BC82" i="5" s="1"/>
  <c r="O82" i="5"/>
  <c r="BP81" i="5"/>
  <c r="BR81" i="5" s="1"/>
  <c r="BS81" i="5" s="1"/>
  <c r="BI81" i="5"/>
  <c r="BH81" i="5"/>
  <c r="BG81" i="5"/>
  <c r="BF81" i="5"/>
  <c r="BE81" i="5"/>
  <c r="BD81" i="5"/>
  <c r="BC81" i="5"/>
  <c r="BB81" i="5"/>
  <c r="BA81" i="5"/>
  <c r="AZ81" i="5"/>
  <c r="AX81" i="5"/>
  <c r="BK81" i="5" s="1"/>
  <c r="AT81" i="5"/>
  <c r="BJ81" i="5" s="1"/>
  <c r="O81" i="5"/>
  <c r="BP80" i="5"/>
  <c r="BR80" i="5" s="1"/>
  <c r="BS80" i="5" s="1"/>
  <c r="BJ80" i="5"/>
  <c r="BI80" i="5"/>
  <c r="BH80" i="5"/>
  <c r="BG80" i="5"/>
  <c r="BF80" i="5"/>
  <c r="BE80" i="5"/>
  <c r="BD80" i="5"/>
  <c r="BC80" i="5"/>
  <c r="BB80" i="5"/>
  <c r="BA80" i="5"/>
  <c r="AZ80" i="5"/>
  <c r="AX80" i="5"/>
  <c r="BK80" i="5" s="1"/>
  <c r="O80" i="5"/>
  <c r="BP79" i="5"/>
  <c r="BR79" i="5" s="1"/>
  <c r="BS79" i="5" s="1"/>
  <c r="BI79" i="5"/>
  <c r="BH79" i="5"/>
  <c r="BG79" i="5"/>
  <c r="BF79" i="5"/>
  <c r="BE79" i="5"/>
  <c r="BD79" i="5"/>
  <c r="BC79" i="5"/>
  <c r="BB79" i="5"/>
  <c r="BA79" i="5"/>
  <c r="AZ79" i="5"/>
  <c r="AX79" i="5"/>
  <c r="BK79" i="5" s="1"/>
  <c r="AT79" i="5"/>
  <c r="BJ79" i="5" s="1"/>
  <c r="O79" i="5"/>
  <c r="BP78" i="5"/>
  <c r="BR78" i="5" s="1"/>
  <c r="BS78" i="5" s="1"/>
  <c r="BK78" i="5"/>
  <c r="BJ78" i="5"/>
  <c r="BI78" i="5"/>
  <c r="BH78" i="5"/>
  <c r="BG78" i="5"/>
  <c r="BF78" i="5"/>
  <c r="BD78" i="5"/>
  <c r="BC78" i="5"/>
  <c r="BB78" i="5"/>
  <c r="BA78" i="5"/>
  <c r="AZ78" i="5"/>
  <c r="AN78" i="5"/>
  <c r="BE78" i="5" s="1"/>
  <c r="O78" i="5"/>
  <c r="BP77" i="5"/>
  <c r="BR77" i="5" s="1"/>
  <c r="BS77" i="5" s="1"/>
  <c r="BK77" i="5"/>
  <c r="BJ77" i="5"/>
  <c r="BI77" i="5"/>
  <c r="BH77" i="5"/>
  <c r="BG77" i="5"/>
  <c r="BF77" i="5"/>
  <c r="BD77" i="5"/>
  <c r="BB77" i="5"/>
  <c r="BA77" i="5"/>
  <c r="AZ77" i="5"/>
  <c r="AN77" i="5"/>
  <c r="BE77" i="5" s="1"/>
  <c r="AI77" i="5"/>
  <c r="BC77" i="5" s="1"/>
  <c r="O77" i="5"/>
  <c r="BP76" i="5"/>
  <c r="BR76" i="5" s="1"/>
  <c r="BS76" i="5" s="1"/>
  <c r="BJ76" i="5"/>
  <c r="BI76" i="5"/>
  <c r="BH76" i="5"/>
  <c r="BG76" i="5"/>
  <c r="BF76" i="5"/>
  <c r="BE76" i="5"/>
  <c r="BD76" i="5"/>
  <c r="BC76" i="5"/>
  <c r="BB76" i="5"/>
  <c r="BA76" i="5"/>
  <c r="AZ76" i="5"/>
  <c r="AX76" i="5"/>
  <c r="BK76" i="5" s="1"/>
  <c r="O76" i="5"/>
  <c r="BP75" i="5"/>
  <c r="BR75" i="5" s="1"/>
  <c r="BS75" i="5" s="1"/>
  <c r="BK75" i="5"/>
  <c r="BJ75" i="5"/>
  <c r="BI75" i="5"/>
  <c r="BH75" i="5"/>
  <c r="BG75" i="5"/>
  <c r="BF75" i="5"/>
  <c r="BE75" i="5"/>
  <c r="BD75" i="5"/>
  <c r="BC75" i="5"/>
  <c r="BB75" i="5"/>
  <c r="BA75" i="5"/>
  <c r="AZ75" i="5"/>
  <c r="O75" i="5"/>
  <c r="BP74" i="5"/>
  <c r="BR74" i="5" s="1"/>
  <c r="BS74" i="5" s="1"/>
  <c r="BK74" i="5"/>
  <c r="BJ74" i="5"/>
  <c r="BI74" i="5"/>
  <c r="BH74" i="5"/>
  <c r="BG74" i="5"/>
  <c r="BF74" i="5"/>
  <c r="BE74" i="5"/>
  <c r="BD74" i="5"/>
  <c r="BC74" i="5"/>
  <c r="BB74" i="5"/>
  <c r="BA74" i="5"/>
  <c r="AZ74" i="5"/>
  <c r="O74" i="5"/>
  <c r="BP73" i="5"/>
  <c r="BR73" i="5" s="1"/>
  <c r="BS73" i="5" s="1"/>
  <c r="BK73" i="5"/>
  <c r="BJ73" i="5"/>
  <c r="BI73" i="5"/>
  <c r="BH73" i="5"/>
  <c r="BG73" i="5"/>
  <c r="BF73" i="5"/>
  <c r="BE73" i="5"/>
  <c r="BD73" i="5"/>
  <c r="BC73" i="5"/>
  <c r="BB73" i="5"/>
  <c r="BA73" i="5"/>
  <c r="AZ73" i="5"/>
  <c r="O73" i="5"/>
  <c r="BP72" i="5"/>
  <c r="BR72" i="5" s="1"/>
  <c r="BS72" i="5" s="1"/>
  <c r="BK72" i="5"/>
  <c r="BJ72" i="5"/>
  <c r="BI72" i="5"/>
  <c r="BH72" i="5"/>
  <c r="BG72" i="5"/>
  <c r="BF72" i="5"/>
  <c r="BE72" i="5"/>
  <c r="BD72" i="5"/>
  <c r="BC72" i="5"/>
  <c r="BB72" i="5"/>
  <c r="BA72" i="5"/>
  <c r="AZ72" i="5"/>
  <c r="O72" i="5"/>
  <c r="BP71" i="5"/>
  <c r="BR71" i="5" s="1"/>
  <c r="BS71" i="5" s="1"/>
  <c r="BI71" i="5"/>
  <c r="BH71" i="5"/>
  <c r="BG71" i="5"/>
  <c r="BF71" i="5"/>
  <c r="BE71" i="5"/>
  <c r="BD71" i="5"/>
  <c r="BC71" i="5"/>
  <c r="BB71" i="5"/>
  <c r="BA71" i="5"/>
  <c r="AZ71" i="5"/>
  <c r="AX71" i="5"/>
  <c r="BK71" i="5" s="1"/>
  <c r="AT71" i="5"/>
  <c r="BJ71" i="5" s="1"/>
  <c r="O71" i="5"/>
  <c r="BP70" i="5"/>
  <c r="BR70" i="5" s="1"/>
  <c r="BS70" i="5" s="1"/>
  <c r="BK70" i="5"/>
  <c r="BJ70" i="5"/>
  <c r="BI70" i="5"/>
  <c r="BH70" i="5"/>
  <c r="BG70" i="5"/>
  <c r="BF70" i="5"/>
  <c r="BE70" i="5"/>
  <c r="BD70" i="5"/>
  <c r="BC70" i="5"/>
  <c r="BB70" i="5"/>
  <c r="BA70" i="5"/>
  <c r="AZ70" i="5"/>
  <c r="O70" i="5"/>
  <c r="BP69" i="5"/>
  <c r="BR69" i="5" s="1"/>
  <c r="BS69" i="5" s="1"/>
  <c r="BI69" i="5"/>
  <c r="BH69" i="5"/>
  <c r="BG69" i="5"/>
  <c r="BF69" i="5"/>
  <c r="BE69" i="5"/>
  <c r="BD69" i="5"/>
  <c r="BC69" i="5"/>
  <c r="BB69" i="5"/>
  <c r="BA69" i="5"/>
  <c r="AZ69" i="5"/>
  <c r="AU69" i="5"/>
  <c r="AX69" i="5" s="1"/>
  <c r="BK69" i="5" s="1"/>
  <c r="AT69" i="5"/>
  <c r="BJ69" i="5" s="1"/>
  <c r="O69" i="5"/>
  <c r="BP68" i="5"/>
  <c r="BR68" i="5" s="1"/>
  <c r="BS68" i="5" s="1"/>
  <c r="BK68" i="5"/>
  <c r="BJ68" i="5"/>
  <c r="BI68" i="5"/>
  <c r="BH68" i="5"/>
  <c r="BG68" i="5"/>
  <c r="BF68" i="5"/>
  <c r="BE68" i="5"/>
  <c r="BD68" i="5"/>
  <c r="BC68" i="5"/>
  <c r="BB68" i="5"/>
  <c r="BA68" i="5"/>
  <c r="AZ68" i="5"/>
  <c r="O68" i="5"/>
  <c r="BP67" i="5"/>
  <c r="BR67" i="5" s="1"/>
  <c r="BS67" i="5" s="1"/>
  <c r="BK67" i="5"/>
  <c r="BJ67" i="5"/>
  <c r="BI67" i="5"/>
  <c r="BH67" i="5"/>
  <c r="BG67" i="5"/>
  <c r="AK67" i="5"/>
  <c r="AN67" i="5" s="1"/>
  <c r="BE67" i="5" s="1"/>
  <c r="AJ67" i="5"/>
  <c r="BD67" i="5" s="1"/>
  <c r="AI67" i="5"/>
  <c r="BC67" i="5" s="1"/>
  <c r="AE67" i="5"/>
  <c r="BB67" i="5" s="1"/>
  <c r="AD67" i="5"/>
  <c r="BA67" i="5" s="1"/>
  <c r="Z67" i="5"/>
  <c r="AZ67" i="5" s="1"/>
  <c r="O67" i="5"/>
  <c r="BP66" i="5"/>
  <c r="BR66" i="5" s="1"/>
  <c r="BS66" i="5" s="1"/>
  <c r="BI66" i="5"/>
  <c r="BH66" i="5"/>
  <c r="BG66" i="5"/>
  <c r="BF66" i="5"/>
  <c r="BE66" i="5"/>
  <c r="BD66" i="5"/>
  <c r="BC66" i="5"/>
  <c r="BB66" i="5"/>
  <c r="BA66" i="5"/>
  <c r="AZ66" i="5"/>
  <c r="AU66" i="5"/>
  <c r="AX66" i="5" s="1"/>
  <c r="BK66" i="5" s="1"/>
  <c r="AT66" i="5"/>
  <c r="BJ66" i="5" s="1"/>
  <c r="O66" i="5"/>
  <c r="BP65" i="5"/>
  <c r="BR65" i="5" s="1"/>
  <c r="BS65" i="5" s="1"/>
  <c r="BJ65" i="5"/>
  <c r="BI65" i="5"/>
  <c r="BH65" i="5"/>
  <c r="BG65" i="5"/>
  <c r="BF65" i="5"/>
  <c r="BE65" i="5"/>
  <c r="BD65" i="5"/>
  <c r="BC65" i="5"/>
  <c r="BB65" i="5"/>
  <c r="BA65" i="5"/>
  <c r="AZ65" i="5"/>
  <c r="AX65" i="5"/>
  <c r="BK65" i="5" s="1"/>
  <c r="O65" i="5"/>
  <c r="BP64" i="5"/>
  <c r="BR64" i="5" s="1"/>
  <c r="BS64" i="5" s="1"/>
  <c r="BK64" i="5"/>
  <c r="BJ64" i="5"/>
  <c r="BI64" i="5"/>
  <c r="BH64" i="5"/>
  <c r="BG64" i="5"/>
  <c r="BF64" i="5"/>
  <c r="BD64" i="5"/>
  <c r="BB64" i="5"/>
  <c r="AN64" i="5"/>
  <c r="BE64" i="5" s="1"/>
  <c r="AH64" i="5"/>
  <c r="AI64" i="5" s="1"/>
  <c r="BC64" i="5" s="1"/>
  <c r="AD64" i="5"/>
  <c r="BA64" i="5" s="1"/>
  <c r="Z64" i="5"/>
  <c r="AZ64" i="5" s="1"/>
  <c r="O64" i="5"/>
  <c r="BP63" i="5"/>
  <c r="BR63" i="5" s="1"/>
  <c r="BS63" i="5" s="1"/>
  <c r="BJ63" i="5"/>
  <c r="BI63" i="5"/>
  <c r="BH63" i="5"/>
  <c r="BG63" i="5"/>
  <c r="BF63" i="5"/>
  <c r="BE63" i="5"/>
  <c r="BD63" i="5"/>
  <c r="BC63" i="5"/>
  <c r="BB63" i="5"/>
  <c r="BA63" i="5"/>
  <c r="AZ63" i="5"/>
  <c r="AW63" i="5"/>
  <c r="AU63" i="5"/>
  <c r="O63" i="5"/>
  <c r="BP62" i="5"/>
  <c r="BR62" i="5" s="1"/>
  <c r="BS62" i="5" s="1"/>
  <c r="BK62" i="5"/>
  <c r="BJ62" i="5"/>
  <c r="BI62" i="5"/>
  <c r="BH62" i="5"/>
  <c r="BG62" i="5"/>
  <c r="BF62" i="5"/>
  <c r="BC62" i="5"/>
  <c r="BB62" i="5"/>
  <c r="BA62" i="5"/>
  <c r="AZ62" i="5"/>
  <c r="AN62" i="5"/>
  <c r="BE62" i="5" s="1"/>
  <c r="AJ62" i="5"/>
  <c r="BD62" i="5" s="1"/>
  <c r="O62" i="5"/>
  <c r="BP61" i="5"/>
  <c r="BR61" i="5" s="1"/>
  <c r="BS61" i="5" s="1"/>
  <c r="BK61" i="5"/>
  <c r="BJ61" i="5"/>
  <c r="BI61" i="5"/>
  <c r="BH61" i="5"/>
  <c r="BG61" i="5"/>
  <c r="BF61" i="5"/>
  <c r="BA61" i="5"/>
  <c r="AZ61" i="5"/>
  <c r="AN61" i="5"/>
  <c r="BE61" i="5" s="1"/>
  <c r="AJ61" i="5"/>
  <c r="BD61" i="5" s="1"/>
  <c r="AI61" i="5"/>
  <c r="BC61" i="5" s="1"/>
  <c r="AE61" i="5"/>
  <c r="BB61" i="5" s="1"/>
  <c r="O61" i="5"/>
  <c r="BP60" i="5"/>
  <c r="BR60" i="5" s="1"/>
  <c r="BS60" i="5" s="1"/>
  <c r="BJ60" i="5"/>
  <c r="BI60" i="5"/>
  <c r="BH60" i="5"/>
  <c r="BG60" i="5"/>
  <c r="BF60" i="5"/>
  <c r="BE60" i="5"/>
  <c r="BD60" i="5"/>
  <c r="BC60" i="5"/>
  <c r="BB60" i="5"/>
  <c r="BA60" i="5"/>
  <c r="AZ60" i="5"/>
  <c r="AX60" i="5"/>
  <c r="BK60" i="5" s="1"/>
  <c r="O60" i="5"/>
  <c r="BP59" i="5"/>
  <c r="BR59" i="5" s="1"/>
  <c r="BS59" i="5" s="1"/>
  <c r="BK59" i="5"/>
  <c r="BJ59" i="5"/>
  <c r="BI59" i="5"/>
  <c r="BH59" i="5"/>
  <c r="BG59" i="5"/>
  <c r="AM59" i="5"/>
  <c r="AJ59" i="5"/>
  <c r="AH59" i="5"/>
  <c r="AE59" i="5"/>
  <c r="AF59" i="5" s="1"/>
  <c r="AC59" i="5"/>
  <c r="AA59" i="5"/>
  <c r="Z59" i="5"/>
  <c r="AZ59" i="5" s="1"/>
  <c r="O59" i="5"/>
  <c r="BP58" i="5"/>
  <c r="BR58" i="5" s="1"/>
  <c r="BS58" i="5" s="1"/>
  <c r="BI58" i="5"/>
  <c r="BH58" i="5"/>
  <c r="BG58" i="5"/>
  <c r="BF58" i="5"/>
  <c r="BE58" i="5"/>
  <c r="BD58" i="5"/>
  <c r="BC58" i="5"/>
  <c r="BB58" i="5"/>
  <c r="BA58" i="5"/>
  <c r="AZ58" i="5"/>
  <c r="AW58" i="5"/>
  <c r="AU58" i="5"/>
  <c r="AT58" i="5"/>
  <c r="BJ58" i="5" s="1"/>
  <c r="O58" i="5"/>
  <c r="BP57" i="5"/>
  <c r="BR57" i="5" s="1"/>
  <c r="BS57" i="5" s="1"/>
  <c r="BI57" i="5"/>
  <c r="BH57" i="5"/>
  <c r="BG57" i="5"/>
  <c r="BF57" i="5"/>
  <c r="BE57" i="5"/>
  <c r="BD57" i="5"/>
  <c r="BC57" i="5"/>
  <c r="BB57" i="5"/>
  <c r="BA57" i="5"/>
  <c r="AZ57" i="5"/>
  <c r="AW57" i="5"/>
  <c r="AU57" i="5"/>
  <c r="AT57" i="5"/>
  <c r="BJ57" i="5" s="1"/>
  <c r="O57" i="5"/>
  <c r="BS56" i="5"/>
  <c r="BP56" i="5"/>
  <c r="BR56" i="5" s="1"/>
  <c r="BI56" i="5"/>
  <c r="BH56" i="5"/>
  <c r="BG56" i="5"/>
  <c r="BF56" i="5"/>
  <c r="BE56" i="5"/>
  <c r="BD56" i="5"/>
  <c r="BC56" i="5"/>
  <c r="BB56" i="5"/>
  <c r="BA56" i="5"/>
  <c r="AZ56" i="5"/>
  <c r="AW56" i="5"/>
  <c r="AU56" i="5"/>
  <c r="AT56" i="5"/>
  <c r="BJ56" i="5" s="1"/>
  <c r="Y56" i="5"/>
  <c r="O56" i="5"/>
  <c r="BP55" i="5"/>
  <c r="BR55" i="5" s="1"/>
  <c r="BS55" i="5" s="1"/>
  <c r="BI55" i="5"/>
  <c r="BH55" i="5"/>
  <c r="BG55" i="5"/>
  <c r="BF55" i="5"/>
  <c r="BE55" i="5"/>
  <c r="BD55" i="5"/>
  <c r="BC55" i="5"/>
  <c r="BB55" i="5"/>
  <c r="BA55" i="5"/>
  <c r="AZ55" i="5"/>
  <c r="AW55" i="5"/>
  <c r="AU55" i="5"/>
  <c r="AT55" i="5"/>
  <c r="BJ55" i="5" s="1"/>
  <c r="O55" i="5"/>
  <c r="BP54" i="5"/>
  <c r="BR54" i="5" s="1"/>
  <c r="BS54" i="5" s="1"/>
  <c r="BK54" i="5"/>
  <c r="BJ54" i="5"/>
  <c r="BI54" i="5"/>
  <c r="BH54" i="5"/>
  <c r="BG54" i="5"/>
  <c r="BA54" i="5"/>
  <c r="AZ54" i="5"/>
  <c r="AM54" i="5"/>
  <c r="AK54" i="5"/>
  <c r="AJ54" i="5"/>
  <c r="BD54" i="5" s="1"/>
  <c r="AH54" i="5"/>
  <c r="AF54" i="5"/>
  <c r="AE54" i="5"/>
  <c r="BB54" i="5" s="1"/>
  <c r="O54" i="5"/>
  <c r="BP53" i="5"/>
  <c r="BR53" i="5" s="1"/>
  <c r="BS53" i="5" s="1"/>
  <c r="BI53" i="5"/>
  <c r="BH53" i="5"/>
  <c r="BG53" i="5"/>
  <c r="BF53" i="5"/>
  <c r="BE53" i="5"/>
  <c r="BD53" i="5"/>
  <c r="BC53" i="5"/>
  <c r="BB53" i="5"/>
  <c r="BA53" i="5"/>
  <c r="AZ53" i="5"/>
  <c r="AW53" i="5"/>
  <c r="AU53" i="5"/>
  <c r="AT53" i="5"/>
  <c r="BJ53" i="5" s="1"/>
  <c r="O53" i="5"/>
  <c r="BP52" i="5"/>
  <c r="BR52" i="5" s="1"/>
  <c r="BS52" i="5" s="1"/>
  <c r="BK52" i="5"/>
  <c r="BJ52" i="5"/>
  <c r="BI52" i="5"/>
  <c r="BH52" i="5"/>
  <c r="BG52" i="5"/>
  <c r="BF52" i="5"/>
  <c r="AN52" i="5"/>
  <c r="BE52" i="5" s="1"/>
  <c r="AJ52" i="5"/>
  <c r="BD52" i="5" s="1"/>
  <c r="AI52" i="5"/>
  <c r="BC52" i="5" s="1"/>
  <c r="AE52" i="5"/>
  <c r="BB52" i="5" s="1"/>
  <c r="AC52" i="5"/>
  <c r="AA52" i="5"/>
  <c r="Z52" i="5"/>
  <c r="AZ52" i="5" s="1"/>
  <c r="O52" i="5"/>
  <c r="BP51" i="5"/>
  <c r="BR51" i="5" s="1"/>
  <c r="BS51" i="5" s="1"/>
  <c r="BI51" i="5"/>
  <c r="BH51" i="5"/>
  <c r="BG51" i="5"/>
  <c r="BF51" i="5"/>
  <c r="BE51" i="5"/>
  <c r="BD51" i="5"/>
  <c r="BC51" i="5"/>
  <c r="BB51" i="5"/>
  <c r="BA51" i="5"/>
  <c r="AZ51" i="5"/>
  <c r="AW51" i="5"/>
  <c r="AU51" i="5"/>
  <c r="AT51" i="5"/>
  <c r="BJ51" i="5" s="1"/>
  <c r="O51" i="5"/>
  <c r="BP50" i="5"/>
  <c r="BR50" i="5" s="1"/>
  <c r="BS50" i="5" s="1"/>
  <c r="BK50" i="5"/>
  <c r="BJ50" i="5"/>
  <c r="BI50" i="5"/>
  <c r="BH50" i="5"/>
  <c r="BG50" i="5"/>
  <c r="AM50" i="5"/>
  <c r="AK50" i="5"/>
  <c r="AJ50" i="5"/>
  <c r="BD50" i="5" s="1"/>
  <c r="AH50" i="5"/>
  <c r="AF50" i="5"/>
  <c r="AE50" i="5"/>
  <c r="BB50" i="5" s="1"/>
  <c r="AC50" i="5"/>
  <c r="AA50" i="5"/>
  <c r="Z50" i="5"/>
  <c r="AZ50" i="5" s="1"/>
  <c r="O50" i="5"/>
  <c r="BP49" i="5"/>
  <c r="BR49" i="5" s="1"/>
  <c r="BS49" i="5" s="1"/>
  <c r="BI49" i="5"/>
  <c r="BH49" i="5"/>
  <c r="BG49" i="5"/>
  <c r="BF49" i="5"/>
  <c r="BE49" i="5"/>
  <c r="BD49" i="5"/>
  <c r="BC49" i="5"/>
  <c r="BB49" i="5"/>
  <c r="BA49" i="5"/>
  <c r="AZ49" i="5"/>
  <c r="AW49" i="5"/>
  <c r="AU49" i="5"/>
  <c r="AT49" i="5"/>
  <c r="BJ49" i="5" s="1"/>
  <c r="O49" i="5"/>
  <c r="BP48" i="5"/>
  <c r="BR48" i="5" s="1"/>
  <c r="BS48" i="5" s="1"/>
  <c r="BK48" i="5"/>
  <c r="BJ48" i="5"/>
  <c r="BH48" i="5"/>
  <c r="BG48" i="5"/>
  <c r="BF48" i="5"/>
  <c r="BE48" i="5"/>
  <c r="BD48" i="5"/>
  <c r="BC48" i="5"/>
  <c r="BB48" i="5"/>
  <c r="BA48" i="5"/>
  <c r="AZ48" i="5"/>
  <c r="AR48" i="5"/>
  <c r="BI48" i="5" s="1"/>
  <c r="O48" i="5"/>
  <c r="BP47" i="5"/>
  <c r="BR47" i="5" s="1"/>
  <c r="BS47" i="5" s="1"/>
  <c r="BJ47" i="5"/>
  <c r="BI47" i="5"/>
  <c r="BH47" i="5"/>
  <c r="BG47" i="5"/>
  <c r="AX47" i="5"/>
  <c r="BK47" i="5" s="1"/>
  <c r="AM47" i="5"/>
  <c r="AK47" i="5"/>
  <c r="AJ47" i="5"/>
  <c r="BD47" i="5" s="1"/>
  <c r="AH47" i="5"/>
  <c r="AF47" i="5"/>
  <c r="AE47" i="5"/>
  <c r="BB47" i="5" s="1"/>
  <c r="AC47" i="5"/>
  <c r="AD47" i="5" s="1"/>
  <c r="BA47" i="5" s="1"/>
  <c r="Z47" i="5"/>
  <c r="AZ47" i="5" s="1"/>
  <c r="O47" i="5"/>
  <c r="BP46" i="5"/>
  <c r="BR46" i="5" s="1"/>
  <c r="BS46" i="5" s="1"/>
  <c r="BI46" i="5"/>
  <c r="BH46" i="5"/>
  <c r="BG46" i="5"/>
  <c r="BC46" i="5"/>
  <c r="BB46" i="5"/>
  <c r="BA46" i="5"/>
  <c r="AZ46" i="5"/>
  <c r="AW46" i="5"/>
  <c r="AX46" i="5" s="1"/>
  <c r="BK46" i="5" s="1"/>
  <c r="AT46" i="5"/>
  <c r="BJ46" i="5" s="1"/>
  <c r="AM46" i="5"/>
  <c r="BF46" i="5" s="1"/>
  <c r="AJ46" i="5"/>
  <c r="BD46" i="5" s="1"/>
  <c r="O46" i="5"/>
  <c r="BP45" i="5"/>
  <c r="BR45" i="5" s="1"/>
  <c r="BS45" i="5" s="1"/>
  <c r="BK45" i="5"/>
  <c r="BJ45" i="5"/>
  <c r="BI45" i="5"/>
  <c r="BH45" i="5"/>
  <c r="BG45" i="5"/>
  <c r="AM45" i="5"/>
  <c r="AJ45" i="5"/>
  <c r="BD45" i="5" s="1"/>
  <c r="AH45" i="5"/>
  <c r="AI45" i="5" s="1"/>
  <c r="BC45" i="5" s="1"/>
  <c r="AE45" i="5"/>
  <c r="BB45" i="5" s="1"/>
  <c r="AD45" i="5"/>
  <c r="BA45" i="5" s="1"/>
  <c r="Z45" i="5"/>
  <c r="AZ45" i="5" s="1"/>
  <c r="O45" i="5"/>
  <c r="BP44" i="5"/>
  <c r="BR44" i="5" s="1"/>
  <c r="BS44" i="5" s="1"/>
  <c r="BK44" i="5"/>
  <c r="BJ44" i="5"/>
  <c r="BI44" i="5"/>
  <c r="BH44" i="5"/>
  <c r="BG44" i="5"/>
  <c r="BA44" i="5"/>
  <c r="AZ44" i="5"/>
  <c r="AM44" i="5"/>
  <c r="AK44" i="5"/>
  <c r="AJ44" i="5"/>
  <c r="BD44" i="5" s="1"/>
  <c r="AH44" i="5"/>
  <c r="AF44" i="5"/>
  <c r="AE44" i="5"/>
  <c r="BB44" i="5" s="1"/>
  <c r="O44" i="5"/>
  <c r="BP43" i="5"/>
  <c r="BR43" i="5" s="1"/>
  <c r="BS43" i="5" s="1"/>
  <c r="BI43" i="5"/>
  <c r="BH43" i="5"/>
  <c r="BG43" i="5"/>
  <c r="AW43" i="5"/>
  <c r="AU43" i="5"/>
  <c r="AT43" i="5"/>
  <c r="BJ43" i="5" s="1"/>
  <c r="AM43" i="5"/>
  <c r="AK43" i="5"/>
  <c r="AJ43" i="5"/>
  <c r="BD43" i="5" s="1"/>
  <c r="AH43" i="5"/>
  <c r="AF43" i="5"/>
  <c r="AE43" i="5"/>
  <c r="BB43" i="5" s="1"/>
  <c r="AC43" i="5"/>
  <c r="Z43" i="5"/>
  <c r="AA43" i="5" s="1"/>
  <c r="O43" i="5"/>
  <c r="BP42" i="5"/>
  <c r="BR42" i="5" s="1"/>
  <c r="BS42" i="5" s="1"/>
  <c r="BK42" i="5"/>
  <c r="BJ42" i="5"/>
  <c r="BI42" i="5"/>
  <c r="BH42" i="5"/>
  <c r="BG42" i="5"/>
  <c r="BF42" i="5"/>
  <c r="BE42" i="5"/>
  <c r="BD42" i="5"/>
  <c r="BA42" i="5"/>
  <c r="AZ42" i="5"/>
  <c r="AH42" i="5"/>
  <c r="AF42" i="5"/>
  <c r="AE42" i="5"/>
  <c r="BB42" i="5" s="1"/>
  <c r="O42" i="5"/>
  <c r="BP41" i="5"/>
  <c r="BR41" i="5" s="1"/>
  <c r="BS41" i="5" s="1"/>
  <c r="BK41" i="5"/>
  <c r="BJ41" i="5"/>
  <c r="BI41" i="5"/>
  <c r="BH41" i="5"/>
  <c r="BG41" i="5"/>
  <c r="BA41" i="5"/>
  <c r="AZ41" i="5"/>
  <c r="AM41" i="5"/>
  <c r="AK41" i="5"/>
  <c r="AJ41" i="5"/>
  <c r="BD41" i="5" s="1"/>
  <c r="AH41" i="5"/>
  <c r="AF41" i="5"/>
  <c r="AE41" i="5"/>
  <c r="BB41" i="5" s="1"/>
  <c r="O41" i="5"/>
  <c r="BS40" i="5"/>
  <c r="BP40" i="5"/>
  <c r="BR40" i="5" s="1"/>
  <c r="BI40" i="5"/>
  <c r="BH40" i="5"/>
  <c r="BG40" i="5"/>
  <c r="BF40" i="5"/>
  <c r="BE40" i="5"/>
  <c r="BD40" i="5"/>
  <c r="BC40" i="5"/>
  <c r="BB40" i="5"/>
  <c r="AW40" i="5"/>
  <c r="AU40" i="5"/>
  <c r="AT40" i="5"/>
  <c r="BJ40" i="5" s="1"/>
  <c r="AC40" i="5"/>
  <c r="AA40" i="5"/>
  <c r="Z40" i="5"/>
  <c r="AZ40" i="5" s="1"/>
  <c r="O40" i="5"/>
  <c r="BP39" i="5"/>
  <c r="BR39" i="5" s="1"/>
  <c r="BS39" i="5" s="1"/>
  <c r="BK39" i="5"/>
  <c r="BJ39" i="5"/>
  <c r="BI39" i="5"/>
  <c r="BH39" i="5"/>
  <c r="BG39" i="5"/>
  <c r="AZ39" i="5"/>
  <c r="AM39" i="5"/>
  <c r="AK39" i="5"/>
  <c r="AJ39" i="5"/>
  <c r="BD39" i="5" s="1"/>
  <c r="AH39" i="5"/>
  <c r="AI39" i="5" s="1"/>
  <c r="BC39" i="5" s="1"/>
  <c r="AE39" i="5"/>
  <c r="BB39" i="5" s="1"/>
  <c r="AC39" i="5"/>
  <c r="AD39" i="5" s="1"/>
  <c r="BA39" i="5" s="1"/>
  <c r="O39" i="5"/>
  <c r="BP38" i="5"/>
  <c r="BR38" i="5" s="1"/>
  <c r="BS38" i="5" s="1"/>
  <c r="BK38" i="5"/>
  <c r="BJ38" i="5"/>
  <c r="BI38" i="5"/>
  <c r="BH38" i="5"/>
  <c r="BG38" i="5"/>
  <c r="BA38" i="5"/>
  <c r="AZ38" i="5"/>
  <c r="AM38" i="5"/>
  <c r="AK38" i="5"/>
  <c r="AJ38" i="5"/>
  <c r="BD38" i="5" s="1"/>
  <c r="AH38" i="5"/>
  <c r="AF38" i="5"/>
  <c r="AE38" i="5"/>
  <c r="BB38" i="5" s="1"/>
  <c r="O38" i="5"/>
  <c r="BP37" i="5"/>
  <c r="BR37" i="5" s="1"/>
  <c r="BS37" i="5" s="1"/>
  <c r="BK37" i="5"/>
  <c r="BJ37" i="5"/>
  <c r="BI37" i="5"/>
  <c r="BH37" i="5"/>
  <c r="BG37" i="5"/>
  <c r="BC37" i="5"/>
  <c r="BB37" i="5"/>
  <c r="AM37" i="5"/>
  <c r="BF37" i="5" s="1"/>
  <c r="AJ37" i="5"/>
  <c r="BD37" i="5" s="1"/>
  <c r="AC37" i="5"/>
  <c r="AD37" i="5" s="1"/>
  <c r="BA37" i="5" s="1"/>
  <c r="Z37" i="5"/>
  <c r="AZ37" i="5" s="1"/>
  <c r="O37" i="5"/>
  <c r="BP36" i="5"/>
  <c r="BR36" i="5" s="1"/>
  <c r="BS36" i="5" s="1"/>
  <c r="BI36" i="5"/>
  <c r="BH36" i="5"/>
  <c r="BG36" i="5"/>
  <c r="BF36" i="5"/>
  <c r="BE36" i="5"/>
  <c r="BD36" i="5"/>
  <c r="BC36" i="5"/>
  <c r="BB36" i="5"/>
  <c r="BA36" i="5"/>
  <c r="AZ36" i="5"/>
  <c r="AW36" i="5"/>
  <c r="AX36" i="5" s="1"/>
  <c r="BK36" i="5" s="1"/>
  <c r="AT36" i="5"/>
  <c r="BJ36" i="5" s="1"/>
  <c r="O36" i="5"/>
  <c r="BP35" i="5"/>
  <c r="BR35" i="5" s="1"/>
  <c r="BS35" i="5" s="1"/>
  <c r="BI35" i="5"/>
  <c r="BH35" i="5"/>
  <c r="BG35" i="5"/>
  <c r="BF35" i="5"/>
  <c r="BE35" i="5"/>
  <c r="BD35" i="5"/>
  <c r="BC35" i="5"/>
  <c r="BB35" i="5"/>
  <c r="BA35" i="5"/>
  <c r="AZ35" i="5"/>
  <c r="AU35" i="5"/>
  <c r="AX35" i="5" s="1"/>
  <c r="BK35" i="5" s="1"/>
  <c r="AT35" i="5"/>
  <c r="BJ35" i="5" s="1"/>
  <c r="O35" i="5"/>
  <c r="BP34" i="5"/>
  <c r="BR34" i="5" s="1"/>
  <c r="BS34" i="5" s="1"/>
  <c r="BK34" i="5"/>
  <c r="BJ34" i="5"/>
  <c r="BI34" i="5"/>
  <c r="BH34" i="5"/>
  <c r="BG34" i="5"/>
  <c r="BA34" i="5"/>
  <c r="AZ34" i="5"/>
  <c r="AK34" i="5"/>
  <c r="AJ34" i="5"/>
  <c r="BD34" i="5" s="1"/>
  <c r="AF34" i="5"/>
  <c r="AI34" i="5" s="1"/>
  <c r="BC34" i="5" s="1"/>
  <c r="AE34" i="5"/>
  <c r="BB34" i="5" s="1"/>
  <c r="O34" i="5"/>
  <c r="BP33" i="5"/>
  <c r="BR33" i="5" s="1"/>
  <c r="BS33" i="5" s="1"/>
  <c r="BK33" i="5"/>
  <c r="BJ33" i="5"/>
  <c r="BI33" i="5"/>
  <c r="BH33" i="5"/>
  <c r="BG33" i="5"/>
  <c r="BD33" i="5"/>
  <c r="BC33" i="5"/>
  <c r="BB33" i="5"/>
  <c r="BA33" i="5"/>
  <c r="AZ33" i="5"/>
  <c r="AM33" i="5"/>
  <c r="O33" i="5"/>
  <c r="BP32" i="5"/>
  <c r="BR32" i="5" s="1"/>
  <c r="BS32" i="5" s="1"/>
  <c r="BJ32" i="5"/>
  <c r="BI32" i="5"/>
  <c r="BH32" i="5"/>
  <c r="BG32" i="5"/>
  <c r="BF32" i="5"/>
  <c r="BE32" i="5"/>
  <c r="BD32" i="5"/>
  <c r="BC32" i="5"/>
  <c r="BB32" i="5"/>
  <c r="BA32" i="5"/>
  <c r="AZ32" i="5"/>
  <c r="AU32" i="5"/>
  <c r="AX32" i="5" s="1"/>
  <c r="BK32" i="5" s="1"/>
  <c r="O32" i="5"/>
  <c r="BP31" i="5"/>
  <c r="BR31" i="5" s="1"/>
  <c r="BS31" i="5" s="1"/>
  <c r="BK31" i="5"/>
  <c r="BJ31" i="5"/>
  <c r="BI31" i="5"/>
  <c r="BH31" i="5"/>
  <c r="BG31" i="5"/>
  <c r="BF31" i="5"/>
  <c r="BE31" i="5"/>
  <c r="BD31" i="5"/>
  <c r="BB31" i="5"/>
  <c r="BA31" i="5"/>
  <c r="AZ31" i="5"/>
  <c r="AI31" i="5"/>
  <c r="BC31" i="5" s="1"/>
  <c r="O31" i="5"/>
  <c r="BP30" i="5"/>
  <c r="BR30" i="5" s="1"/>
  <c r="BS30" i="5" s="1"/>
  <c r="BK30" i="5"/>
  <c r="BJ30" i="5"/>
  <c r="BI30" i="5"/>
  <c r="BH30" i="5"/>
  <c r="BG30" i="5"/>
  <c r="BF30" i="5"/>
  <c r="AN30" i="5"/>
  <c r="BE30" i="5" s="1"/>
  <c r="AJ30" i="5"/>
  <c r="BD30" i="5" s="1"/>
  <c r="AI30" i="5"/>
  <c r="BC30" i="5" s="1"/>
  <c r="AE30" i="5"/>
  <c r="BB30" i="5" s="1"/>
  <c r="AA30" i="5"/>
  <c r="AD30" i="5" s="1"/>
  <c r="BA30" i="5" s="1"/>
  <c r="Z30" i="5"/>
  <c r="AZ30" i="5" s="1"/>
  <c r="O30" i="5"/>
  <c r="BP29" i="5"/>
  <c r="BR29" i="5" s="1"/>
  <c r="BS29" i="5" s="1"/>
  <c r="BK29" i="5"/>
  <c r="BJ29" i="5"/>
  <c r="BI29" i="5"/>
  <c r="BH29" i="5"/>
  <c r="BG29" i="5"/>
  <c r="BD29" i="5"/>
  <c r="BB29" i="5"/>
  <c r="BA29" i="5"/>
  <c r="AZ29" i="5"/>
  <c r="AM29" i="5"/>
  <c r="AN29" i="5" s="1"/>
  <c r="BE29" i="5" s="1"/>
  <c r="AH29" i="5"/>
  <c r="AI29" i="5" s="1"/>
  <c r="BC29" i="5" s="1"/>
  <c r="O29" i="5"/>
  <c r="BP28" i="5"/>
  <c r="BR28" i="5" s="1"/>
  <c r="BS28" i="5" s="1"/>
  <c r="BI28" i="5"/>
  <c r="BH28" i="5"/>
  <c r="BG28" i="5"/>
  <c r="BA28" i="5"/>
  <c r="AZ28" i="5"/>
  <c r="AW28" i="5"/>
  <c r="AU28" i="5"/>
  <c r="AT28" i="5"/>
  <c r="BJ28" i="5" s="1"/>
  <c r="AM28" i="5"/>
  <c r="AK28" i="5"/>
  <c r="AJ28" i="5"/>
  <c r="BD28" i="5" s="1"/>
  <c r="AH28" i="5"/>
  <c r="AF28" i="5"/>
  <c r="AE28" i="5"/>
  <c r="BB28" i="5" s="1"/>
  <c r="O28" i="5"/>
  <c r="BP27" i="5"/>
  <c r="BR27" i="5" s="1"/>
  <c r="BS27" i="5" s="1"/>
  <c r="BK27" i="5"/>
  <c r="BJ27" i="5"/>
  <c r="BI27" i="5"/>
  <c r="BH27" i="5"/>
  <c r="BG27" i="5"/>
  <c r="BA27" i="5"/>
  <c r="AZ27" i="5"/>
  <c r="AM27" i="5"/>
  <c r="AK27" i="5"/>
  <c r="AJ27" i="5"/>
  <c r="BD27" i="5" s="1"/>
  <c r="AH27" i="5"/>
  <c r="AF27" i="5"/>
  <c r="AE27" i="5"/>
  <c r="BB27" i="5" s="1"/>
  <c r="O27" i="5"/>
  <c r="BP26" i="5"/>
  <c r="BR26" i="5" s="1"/>
  <c r="BS26" i="5" s="1"/>
  <c r="BJ26" i="5"/>
  <c r="BI26" i="5"/>
  <c r="BH26" i="5"/>
  <c r="BG26" i="5"/>
  <c r="BF26" i="5"/>
  <c r="BE26" i="5"/>
  <c r="BD26" i="5"/>
  <c r="BC26" i="5"/>
  <c r="BB26" i="5"/>
  <c r="BA26" i="5"/>
  <c r="AZ26" i="5"/>
  <c r="AW26" i="5"/>
  <c r="AX26" i="5" s="1"/>
  <c r="BK26" i="5" s="1"/>
  <c r="O26" i="5"/>
  <c r="BP25" i="5"/>
  <c r="BR25" i="5" s="1"/>
  <c r="BS25" i="5" s="1"/>
  <c r="BJ25" i="5"/>
  <c r="BI25" i="5"/>
  <c r="BH25" i="5"/>
  <c r="BG25" i="5"/>
  <c r="BF25" i="5"/>
  <c r="BE25" i="5"/>
  <c r="BD25" i="5"/>
  <c r="BC25" i="5"/>
  <c r="BB25" i="5"/>
  <c r="BA25" i="5"/>
  <c r="AZ25" i="5"/>
  <c r="AW25" i="5"/>
  <c r="AX25" i="5" s="1"/>
  <c r="BK25" i="5" s="1"/>
  <c r="O25" i="5"/>
  <c r="BP24" i="5"/>
  <c r="BR24" i="5" s="1"/>
  <c r="BS24" i="5" s="1"/>
  <c r="BI24" i="5"/>
  <c r="BH24" i="5"/>
  <c r="BG24" i="5"/>
  <c r="BF24" i="5"/>
  <c r="BE24" i="5"/>
  <c r="BD24" i="5"/>
  <c r="BC24" i="5"/>
  <c r="BB24" i="5"/>
  <c r="BA24" i="5"/>
  <c r="AZ24" i="5"/>
  <c r="AW24" i="5"/>
  <c r="AU24" i="5"/>
  <c r="AT24" i="5"/>
  <c r="BJ24" i="5" s="1"/>
  <c r="O24" i="5"/>
  <c r="BP23" i="5"/>
  <c r="BR23" i="5" s="1"/>
  <c r="BS23" i="5" s="1"/>
  <c r="BK23" i="5"/>
  <c r="BJ23" i="5"/>
  <c r="BI23" i="5"/>
  <c r="BH23" i="5"/>
  <c r="BG23" i="5"/>
  <c r="BA23" i="5"/>
  <c r="AZ23" i="5"/>
  <c r="AM23" i="5"/>
  <c r="AK23" i="5"/>
  <c r="AJ23" i="5"/>
  <c r="BD23" i="5" s="1"/>
  <c r="AH23" i="5"/>
  <c r="AF23" i="5"/>
  <c r="AE23" i="5"/>
  <c r="BB23" i="5" s="1"/>
  <c r="O23" i="5"/>
  <c r="BP22" i="5"/>
  <c r="BR22" i="5" s="1"/>
  <c r="BS22" i="5" s="1"/>
  <c r="BK22" i="5"/>
  <c r="BJ22" i="5"/>
  <c r="BI22" i="5"/>
  <c r="BH22" i="5"/>
  <c r="BG22" i="5"/>
  <c r="BF22" i="5"/>
  <c r="BE22" i="5"/>
  <c r="BD22" i="5"/>
  <c r="BC22" i="5"/>
  <c r="BB22" i="5"/>
  <c r="AC22" i="5"/>
  <c r="AA22" i="5"/>
  <c r="Z22" i="5"/>
  <c r="AZ22" i="5" s="1"/>
  <c r="O22" i="5"/>
  <c r="BP21" i="5"/>
  <c r="BR21" i="5" s="1"/>
  <c r="BS21" i="5" s="1"/>
  <c r="BF21" i="5"/>
  <c r="BE21" i="5"/>
  <c r="BD21" i="5"/>
  <c r="BC21" i="5"/>
  <c r="BB21" i="5"/>
  <c r="BA21" i="5"/>
  <c r="AZ21" i="5"/>
  <c r="AW21" i="5"/>
  <c r="AX21" i="5" s="1"/>
  <c r="BK21" i="5" s="1"/>
  <c r="AT21" i="5"/>
  <c r="BJ21" i="5" s="1"/>
  <c r="AR21" i="5"/>
  <c r="BI21" i="5" s="1"/>
  <c r="AO21" i="5"/>
  <c r="BG21" i="5" s="1"/>
  <c r="O21" i="5"/>
  <c r="BP20" i="5"/>
  <c r="BR20" i="5" s="1"/>
  <c r="BS20" i="5" s="1"/>
  <c r="BJ20" i="5"/>
  <c r="BI20" i="5"/>
  <c r="BH20" i="5"/>
  <c r="BG20" i="5"/>
  <c r="BF20" i="5"/>
  <c r="BE20" i="5"/>
  <c r="BD20" i="5"/>
  <c r="BC20" i="5"/>
  <c r="BB20" i="5"/>
  <c r="BA20" i="5"/>
  <c r="AZ20" i="5"/>
  <c r="AW20" i="5"/>
  <c r="AX20" i="5" s="1"/>
  <c r="BK20" i="5" s="1"/>
  <c r="O20" i="5"/>
  <c r="BP19" i="5"/>
  <c r="BR19" i="5" s="1"/>
  <c r="BS19" i="5" s="1"/>
  <c r="BK19" i="5"/>
  <c r="BJ19" i="5"/>
  <c r="BI19" i="5"/>
  <c r="BH19" i="5"/>
  <c r="BG19" i="5"/>
  <c r="AM19" i="5"/>
  <c r="AK19" i="5"/>
  <c r="AJ19" i="5"/>
  <c r="BD19" i="5" s="1"/>
  <c r="AH19" i="5"/>
  <c r="AF19" i="5"/>
  <c r="AE19" i="5"/>
  <c r="BB19" i="5" s="1"/>
  <c r="AC19" i="5"/>
  <c r="AA19" i="5"/>
  <c r="Z19" i="5"/>
  <c r="AZ19" i="5" s="1"/>
  <c r="O19" i="5"/>
  <c r="BP18" i="5"/>
  <c r="BR18" i="5" s="1"/>
  <c r="BS18" i="5" s="1"/>
  <c r="BK18" i="5"/>
  <c r="BJ18" i="5"/>
  <c r="BI18" i="5"/>
  <c r="BH18" i="5"/>
  <c r="BG18" i="5"/>
  <c r="BA18" i="5"/>
  <c r="AZ18" i="5"/>
  <c r="AM18" i="5"/>
  <c r="AN18" i="5" s="1"/>
  <c r="BE18" i="5" s="1"/>
  <c r="AJ18" i="5"/>
  <c r="BD18" i="5" s="1"/>
  <c r="AH18" i="5"/>
  <c r="AI18" i="5" s="1"/>
  <c r="BC18" i="5" s="1"/>
  <c r="AE18" i="5"/>
  <c r="BB18" i="5" s="1"/>
  <c r="O18" i="5"/>
  <c r="BP17" i="5"/>
  <c r="BR17" i="5" s="1"/>
  <c r="BS17" i="5" s="1"/>
  <c r="BK17" i="5"/>
  <c r="BJ17" i="5"/>
  <c r="BI17" i="5"/>
  <c r="BH17" i="5"/>
  <c r="BG17" i="5"/>
  <c r="BF17" i="5"/>
  <c r="BE17" i="5"/>
  <c r="BD17" i="5"/>
  <c r="BA17" i="5"/>
  <c r="AZ17" i="5"/>
  <c r="AH17" i="5"/>
  <c r="AF17" i="5"/>
  <c r="AE17" i="5"/>
  <c r="BB17" i="5" s="1"/>
  <c r="O17" i="5"/>
  <c r="BP16" i="5"/>
  <c r="BR16" i="5" s="1"/>
  <c r="BS16" i="5" s="1"/>
  <c r="BK16" i="5"/>
  <c r="BJ16" i="5"/>
  <c r="BI16" i="5"/>
  <c r="BH16" i="5"/>
  <c r="BG16" i="5"/>
  <c r="BC16" i="5"/>
  <c r="BB16" i="5"/>
  <c r="BA16" i="5"/>
  <c r="AZ16" i="5"/>
  <c r="AM16" i="5"/>
  <c r="AK16" i="5"/>
  <c r="AJ16" i="5"/>
  <c r="BD16" i="5" s="1"/>
  <c r="O16" i="5"/>
  <c r="BP15" i="5"/>
  <c r="BR15" i="5" s="1"/>
  <c r="BS15" i="5" s="1"/>
  <c r="BJ15" i="5"/>
  <c r="BI15" i="5"/>
  <c r="BH15" i="5"/>
  <c r="BG15" i="5"/>
  <c r="BF15" i="5"/>
  <c r="BE15" i="5"/>
  <c r="BD15" i="5"/>
  <c r="BC15" i="5"/>
  <c r="BB15" i="5"/>
  <c r="BA15" i="5"/>
  <c r="AZ15" i="5"/>
  <c r="AW15" i="5"/>
  <c r="AX15" i="5" s="1"/>
  <c r="BK15" i="5" s="1"/>
  <c r="O15" i="5"/>
  <c r="BP14" i="5"/>
  <c r="BR14" i="5" s="1"/>
  <c r="BS14" i="5" s="1"/>
  <c r="BJ14" i="5"/>
  <c r="BI14" i="5"/>
  <c r="BH14" i="5"/>
  <c r="BG14" i="5"/>
  <c r="BB14" i="5"/>
  <c r="BA14" i="5"/>
  <c r="AZ14" i="5"/>
  <c r="AM14" i="5"/>
  <c r="AN14" i="5" s="1"/>
  <c r="BE14" i="5" s="1"/>
  <c r="AJ14" i="5"/>
  <c r="BD14" i="5" s="1"/>
  <c r="AH14" i="5"/>
  <c r="AI14" i="5" s="1"/>
  <c r="BC14" i="5" s="1"/>
  <c r="AE14" i="5"/>
  <c r="O14" i="5"/>
  <c r="BP13" i="5"/>
  <c r="BR13" i="5" s="1"/>
  <c r="BS13" i="5" s="1"/>
  <c r="BK13" i="5"/>
  <c r="BJ13" i="5"/>
  <c r="BI13" i="5"/>
  <c r="BH13" i="5"/>
  <c r="BG13" i="5"/>
  <c r="BA13" i="5"/>
  <c r="AZ13" i="5"/>
  <c r="AM13" i="5"/>
  <c r="AN13" i="5" s="1"/>
  <c r="BE13" i="5" s="1"/>
  <c r="AJ13" i="5"/>
  <c r="BD13" i="5" s="1"/>
  <c r="AH13" i="5"/>
  <c r="AI13" i="5" s="1"/>
  <c r="BC13" i="5" s="1"/>
  <c r="AE13" i="5"/>
  <c r="BB13" i="5" s="1"/>
  <c r="O13" i="5"/>
  <c r="BK12" i="5"/>
  <c r="BJ12" i="5"/>
  <c r="BI12" i="5"/>
  <c r="BH12" i="5"/>
  <c r="BG12" i="5"/>
  <c r="BF12" i="5"/>
  <c r="BD12" i="5"/>
  <c r="BA12" i="5"/>
  <c r="AZ12" i="5"/>
  <c r="BK11" i="5"/>
  <c r="BJ11" i="5"/>
  <c r="BI11" i="5"/>
  <c r="BH11" i="5"/>
  <c r="BG11" i="5"/>
  <c r="BF11" i="5"/>
  <c r="BD11" i="5"/>
  <c r="BB11" i="5"/>
  <c r="BA11" i="5"/>
  <c r="AZ11" i="5"/>
  <c r="BK10" i="5"/>
  <c r="BJ10" i="5"/>
  <c r="BI10" i="5"/>
  <c r="BH10" i="5"/>
  <c r="BG10" i="5"/>
  <c r="BD10" i="5"/>
  <c r="BB10" i="5"/>
  <c r="BA10" i="5"/>
  <c r="AZ10" i="5"/>
  <c r="BJ8" i="5"/>
  <c r="BI8" i="5"/>
  <c r="BH8" i="5"/>
  <c r="BG8" i="5"/>
  <c r="BF8" i="5"/>
  <c r="BE8" i="5"/>
  <c r="BD8" i="5"/>
  <c r="BC8" i="5"/>
  <c r="BB8" i="5"/>
  <c r="BA8" i="5"/>
  <c r="AZ8" i="5"/>
  <c r="BK9" i="5"/>
  <c r="BJ9" i="5"/>
  <c r="BI9" i="5"/>
  <c r="BH9" i="5"/>
  <c r="BG9" i="5"/>
  <c r="BF9" i="5"/>
  <c r="BE9" i="5"/>
  <c r="BD9" i="5"/>
  <c r="BC9" i="5"/>
  <c r="BB9" i="5"/>
  <c r="BA9" i="5"/>
  <c r="AZ9" i="5"/>
  <c r="BK6" i="5"/>
  <c r="BJ6" i="5"/>
  <c r="BI6" i="5"/>
  <c r="BH6" i="5"/>
  <c r="BG6" i="5"/>
  <c r="BF6" i="5"/>
  <c r="BE6" i="5"/>
  <c r="BD6" i="5"/>
  <c r="BC6" i="5"/>
  <c r="BB6" i="5"/>
  <c r="BA6" i="5"/>
  <c r="AZ6" i="5"/>
  <c r="BK5" i="5"/>
  <c r="BJ5" i="5"/>
  <c r="BI5" i="5"/>
  <c r="BH5" i="5"/>
  <c r="BG5" i="5"/>
  <c r="BF5" i="5"/>
  <c r="BE5" i="5"/>
  <c r="BD5" i="5"/>
  <c r="BC5" i="5"/>
  <c r="BB5" i="5"/>
  <c r="BA5" i="5"/>
  <c r="AZ5" i="5"/>
  <c r="BN292" i="5" l="1"/>
  <c r="AX58" i="5"/>
  <c r="BK58" i="5" s="1"/>
  <c r="AI10" i="5"/>
  <c r="BC10" i="5" s="1"/>
  <c r="BN125" i="5"/>
  <c r="BN126" i="5"/>
  <c r="BN182" i="5"/>
  <c r="BN295" i="5"/>
  <c r="BN153" i="5"/>
  <c r="BN172" i="5"/>
  <c r="AN10" i="5"/>
  <c r="BE10" i="5" s="1"/>
  <c r="BN121" i="5"/>
  <c r="AX149" i="5"/>
  <c r="BK149" i="5" s="1"/>
  <c r="AD129" i="5"/>
  <c r="BA129" i="5" s="1"/>
  <c r="BN281" i="5"/>
  <c r="AN251" i="5"/>
  <c r="BE251" i="5" s="1"/>
  <c r="BN103" i="5"/>
  <c r="BN254" i="5"/>
  <c r="AN281" i="5"/>
  <c r="BE281" i="5" s="1"/>
  <c r="AD174" i="5"/>
  <c r="BA174" i="5" s="1"/>
  <c r="BN213" i="5"/>
  <c r="AN37" i="5"/>
  <c r="BE37" i="5" s="1"/>
  <c r="BM37" i="5" s="1"/>
  <c r="AX55" i="5"/>
  <c r="BK55" i="5" s="1"/>
  <c r="BM55" i="5" s="1"/>
  <c r="AI12" i="5"/>
  <c r="BC12" i="5" s="1"/>
  <c r="BM12" i="5" s="1"/>
  <c r="BN250" i="5"/>
  <c r="AN54" i="5"/>
  <c r="BE54" i="5" s="1"/>
  <c r="AI149" i="5"/>
  <c r="BC149" i="5" s="1"/>
  <c r="AI150" i="5"/>
  <c r="BC150" i="5" s="1"/>
  <c r="BF236" i="5"/>
  <c r="BN236" i="5" s="1"/>
  <c r="BN102" i="5"/>
  <c r="BN271" i="5"/>
  <c r="BN36" i="5"/>
  <c r="AI17" i="5"/>
  <c r="BC17" i="5" s="1"/>
  <c r="BM17" i="5" s="1"/>
  <c r="AD119" i="5"/>
  <c r="BA119" i="5" s="1"/>
  <c r="BN194" i="5"/>
  <c r="AD216" i="5"/>
  <c r="BA216" i="5" s="1"/>
  <c r="BN217" i="5"/>
  <c r="AI141" i="5"/>
  <c r="BC141" i="5" s="1"/>
  <c r="BI196" i="5"/>
  <c r="BN196" i="5" s="1"/>
  <c r="BN200" i="5"/>
  <c r="BN249" i="5"/>
  <c r="BN46" i="5"/>
  <c r="AN50" i="5"/>
  <c r="BE50" i="5" s="1"/>
  <c r="BN138" i="5"/>
  <c r="BN190" i="5"/>
  <c r="BL285" i="5"/>
  <c r="AN12" i="5"/>
  <c r="BE12" i="5" s="1"/>
  <c r="AN240" i="5"/>
  <c r="BE240" i="5" s="1"/>
  <c r="BI241" i="5"/>
  <c r="BN241" i="5" s="1"/>
  <c r="AN282" i="5"/>
  <c r="BE282" i="5" s="1"/>
  <c r="BM282" i="5" s="1"/>
  <c r="BN76" i="5"/>
  <c r="BN99" i="5"/>
  <c r="BF141" i="5"/>
  <c r="AN143" i="5"/>
  <c r="BE143" i="5" s="1"/>
  <c r="BN226" i="5"/>
  <c r="BN237" i="5"/>
  <c r="BN244" i="5"/>
  <c r="BN286" i="5"/>
  <c r="BL100" i="5"/>
  <c r="BM192" i="5"/>
  <c r="AD202" i="5"/>
  <c r="BA202" i="5" s="1"/>
  <c r="BL225" i="5"/>
  <c r="AI50" i="5"/>
  <c r="BC50" i="5" s="1"/>
  <c r="BN273" i="5"/>
  <c r="BN56" i="5"/>
  <c r="BN116" i="5"/>
  <c r="BF267" i="5"/>
  <c r="BN267" i="5" s="1"/>
  <c r="BN268" i="5"/>
  <c r="AX270" i="5"/>
  <c r="BK270" i="5" s="1"/>
  <c r="BN278" i="5"/>
  <c r="BN30" i="5"/>
  <c r="AN28" i="5"/>
  <c r="BE28" i="5" s="1"/>
  <c r="BN88" i="5"/>
  <c r="BN107" i="5"/>
  <c r="BL122" i="5"/>
  <c r="BN204" i="5"/>
  <c r="BN220" i="5"/>
  <c r="AD241" i="5"/>
  <c r="BA241" i="5" s="1"/>
  <c r="BN276" i="5"/>
  <c r="AX284" i="5"/>
  <c r="BK284" i="5" s="1"/>
  <c r="AI19" i="5"/>
  <c r="BC19" i="5" s="1"/>
  <c r="BN22" i="5"/>
  <c r="AN27" i="5"/>
  <c r="BE27" i="5" s="1"/>
  <c r="BF54" i="5"/>
  <c r="BN54" i="5" s="1"/>
  <c r="AX63" i="5"/>
  <c r="BK63" i="5" s="1"/>
  <c r="BN115" i="5"/>
  <c r="BN128" i="5"/>
  <c r="BM170" i="5"/>
  <c r="AS174" i="5"/>
  <c r="BH174" i="5" s="1"/>
  <c r="BM174" i="5" s="1"/>
  <c r="BF188" i="5"/>
  <c r="BN188" i="5" s="1"/>
  <c r="AX193" i="5"/>
  <c r="BL197" i="5"/>
  <c r="AI202" i="5"/>
  <c r="BC202" i="5" s="1"/>
  <c r="BN228" i="5"/>
  <c r="BN242" i="5"/>
  <c r="BM251" i="5"/>
  <c r="BN266" i="5"/>
  <c r="BL296" i="5"/>
  <c r="AD153" i="5"/>
  <c r="BA153" i="5" s="1"/>
  <c r="BM153" i="5" s="1"/>
  <c r="AX160" i="5"/>
  <c r="BK160" i="5" s="1"/>
  <c r="BN181" i="5"/>
  <c r="BL231" i="5"/>
  <c r="BN259" i="5"/>
  <c r="AI267" i="5"/>
  <c r="BC267" i="5" s="1"/>
  <c r="BM267" i="5" s="1"/>
  <c r="BL289" i="5"/>
  <c r="AI23" i="5"/>
  <c r="BC23" i="5" s="1"/>
  <c r="BN66" i="5"/>
  <c r="BN130" i="5"/>
  <c r="BN184" i="5"/>
  <c r="BN185" i="5"/>
  <c r="BN191" i="5"/>
  <c r="BL210" i="5"/>
  <c r="BN285" i="5"/>
  <c r="BL25" i="5"/>
  <c r="BL26" i="5"/>
  <c r="BN168" i="5"/>
  <c r="AI178" i="5"/>
  <c r="BC178" i="5" s="1"/>
  <c r="BN238" i="5"/>
  <c r="BN255" i="5"/>
  <c r="BL257" i="5"/>
  <c r="AN289" i="5"/>
  <c r="BE289" i="5" s="1"/>
  <c r="BM289" i="5" s="1"/>
  <c r="BF18" i="5"/>
  <c r="BN18" i="5" s="1"/>
  <c r="AN23" i="5"/>
  <c r="BE23" i="5" s="1"/>
  <c r="BN52" i="5"/>
  <c r="AI54" i="5"/>
  <c r="BC54" i="5" s="1"/>
  <c r="BM72" i="5"/>
  <c r="BN96" i="5"/>
  <c r="BN113" i="5"/>
  <c r="BN117" i="5"/>
  <c r="AI133" i="5"/>
  <c r="BC133" i="5" s="1"/>
  <c r="BL134" i="5"/>
  <c r="AX156" i="5"/>
  <c r="BK156" i="5" s="1"/>
  <c r="BN156" i="5"/>
  <c r="BN167" i="5"/>
  <c r="AX186" i="5"/>
  <c r="BK186" i="5" s="1"/>
  <c r="BM186" i="5" s="1"/>
  <c r="BN186" i="5"/>
  <c r="BN198" i="5"/>
  <c r="BN221" i="5"/>
  <c r="BN231" i="5"/>
  <c r="BM232" i="5"/>
  <c r="AD246" i="5"/>
  <c r="BA246" i="5" s="1"/>
  <c r="AN252" i="5"/>
  <c r="BE252" i="5" s="1"/>
  <c r="BM252" i="5" s="1"/>
  <c r="BM147" i="5"/>
  <c r="AD52" i="5"/>
  <c r="BA52" i="5" s="1"/>
  <c r="BM52" i="5" s="1"/>
  <c r="AX53" i="5"/>
  <c r="BK53" i="5" s="1"/>
  <c r="BM53" i="5" s="1"/>
  <c r="BN57" i="5"/>
  <c r="AD59" i="5"/>
  <c r="BA59" i="5" s="1"/>
  <c r="AX132" i="5"/>
  <c r="BK132" i="5" s="1"/>
  <c r="BN142" i="5"/>
  <c r="BM164" i="5"/>
  <c r="BN175" i="5"/>
  <c r="AN178" i="5"/>
  <c r="BE178" i="5" s="1"/>
  <c r="BM178" i="5" s="1"/>
  <c r="BN197" i="5"/>
  <c r="BL198" i="5"/>
  <c r="AI216" i="5"/>
  <c r="BC216" i="5" s="1"/>
  <c r="AD226" i="5"/>
  <c r="BA226" i="5" s="1"/>
  <c r="AI248" i="5"/>
  <c r="BC248" i="5" s="1"/>
  <c r="AN258" i="5"/>
  <c r="BE258" i="5" s="1"/>
  <c r="BM258" i="5" s="1"/>
  <c r="BL297" i="5"/>
  <c r="BL41" i="5"/>
  <c r="BM14" i="5"/>
  <c r="BL104" i="5"/>
  <c r="BL106" i="5"/>
  <c r="BN109" i="5"/>
  <c r="AN142" i="5"/>
  <c r="BE142" i="5" s="1"/>
  <c r="BN145" i="5"/>
  <c r="BF149" i="5"/>
  <c r="BN149" i="5" s="1"/>
  <c r="BL158" i="5"/>
  <c r="BM175" i="5"/>
  <c r="BN192" i="5"/>
  <c r="BM201" i="5"/>
  <c r="BN212" i="5"/>
  <c r="BM262" i="5"/>
  <c r="BN300" i="5"/>
  <c r="BN21" i="5"/>
  <c r="BM71" i="5"/>
  <c r="BM75" i="5"/>
  <c r="BN20" i="5"/>
  <c r="AI28" i="5"/>
  <c r="BC28" i="5" s="1"/>
  <c r="AX49" i="5"/>
  <c r="BK49" i="5" s="1"/>
  <c r="AD50" i="5"/>
  <c r="BA50" i="5" s="1"/>
  <c r="BL60" i="5"/>
  <c r="BN65" i="5"/>
  <c r="BL69" i="5"/>
  <c r="BL93" i="5"/>
  <c r="BN106" i="5"/>
  <c r="BM112" i="5"/>
  <c r="BN118" i="5"/>
  <c r="AX127" i="5"/>
  <c r="BK127" i="5" s="1"/>
  <c r="BM127" i="5" s="1"/>
  <c r="AD136" i="5"/>
  <c r="BA136" i="5" s="1"/>
  <c r="BL137" i="5"/>
  <c r="BI155" i="5"/>
  <c r="BN155" i="5" s="1"/>
  <c r="BN206" i="5"/>
  <c r="BN227" i="5"/>
  <c r="BL228" i="5"/>
  <c r="BN232" i="5"/>
  <c r="BN235" i="5"/>
  <c r="BN243" i="5"/>
  <c r="BN261" i="5"/>
  <c r="BL262" i="5"/>
  <c r="BN270" i="5"/>
  <c r="BL278" i="5"/>
  <c r="BM285" i="5"/>
  <c r="BL81" i="5"/>
  <c r="BL189" i="5"/>
  <c r="BM227" i="5"/>
  <c r="BN230" i="5"/>
  <c r="AN247" i="5"/>
  <c r="BE247" i="5" s="1"/>
  <c r="BN257" i="5"/>
  <c r="BN283" i="5"/>
  <c r="BN291" i="5"/>
  <c r="BL298" i="5"/>
  <c r="BN299" i="5"/>
  <c r="BF16" i="5"/>
  <c r="BN16" i="5" s="1"/>
  <c r="BN17" i="5"/>
  <c r="AX24" i="5"/>
  <c r="BK24" i="5" s="1"/>
  <c r="BM24" i="5" s="1"/>
  <c r="BN35" i="5"/>
  <c r="AI41" i="5"/>
  <c r="BC41" i="5" s="1"/>
  <c r="AX43" i="5"/>
  <c r="BK43" i="5" s="1"/>
  <c r="AN46" i="5"/>
  <c r="BE46" i="5" s="1"/>
  <c r="AX51" i="5"/>
  <c r="BK51" i="5" s="1"/>
  <c r="BM51" i="5" s="1"/>
  <c r="BN53" i="5"/>
  <c r="BL65" i="5"/>
  <c r="BL80" i="5"/>
  <c r="AI136" i="5"/>
  <c r="BC136" i="5" s="1"/>
  <c r="BI143" i="5"/>
  <c r="BN144" i="5"/>
  <c r="AI146" i="5"/>
  <c r="BC146" i="5" s="1"/>
  <c r="BN165" i="5"/>
  <c r="AN202" i="5"/>
  <c r="BE202" i="5" s="1"/>
  <c r="BM202" i="5" s="1"/>
  <c r="BN205" i="5"/>
  <c r="BL213" i="5"/>
  <c r="BN215" i="5"/>
  <c r="BN225" i="5"/>
  <c r="BL226" i="5"/>
  <c r="BL232" i="5"/>
  <c r="BL237" i="5"/>
  <c r="AN246" i="5"/>
  <c r="BE246" i="5" s="1"/>
  <c r="BM246" i="5" s="1"/>
  <c r="AN267" i="5"/>
  <c r="BE267" i="5" s="1"/>
  <c r="BL276" i="5"/>
  <c r="BN287" i="5"/>
  <c r="BM26" i="5"/>
  <c r="BL17" i="5"/>
  <c r="BL45" i="5"/>
  <c r="BM73" i="5"/>
  <c r="BN86" i="5"/>
  <c r="BN135" i="5"/>
  <c r="BM210" i="5"/>
  <c r="BM226" i="5"/>
  <c r="BM287" i="5"/>
  <c r="AN292" i="5"/>
  <c r="BE292" i="5" s="1"/>
  <c r="BM292" i="5" s="1"/>
  <c r="BN12" i="5"/>
  <c r="AN19" i="5"/>
  <c r="BE19" i="5" s="1"/>
  <c r="AD22" i="5"/>
  <c r="BA22" i="5" s="1"/>
  <c r="BM22" i="5" s="1"/>
  <c r="BM35" i="5"/>
  <c r="BN37" i="5"/>
  <c r="AN38" i="5"/>
  <c r="BE38" i="5" s="1"/>
  <c r="BF39" i="5"/>
  <c r="BN39" i="5" s="1"/>
  <c r="AX40" i="5"/>
  <c r="BK40" i="5" s="1"/>
  <c r="AI44" i="5"/>
  <c r="BC44" i="5" s="1"/>
  <c r="BN55" i="5"/>
  <c r="BN71" i="5"/>
  <c r="BF112" i="5"/>
  <c r="BN112" i="5" s="1"/>
  <c r="BN114" i="5"/>
  <c r="AD157" i="5"/>
  <c r="BA157" i="5" s="1"/>
  <c r="BM157" i="5" s="1"/>
  <c r="AX159" i="5"/>
  <c r="BK159" i="5" s="1"/>
  <c r="BM159" i="5" s="1"/>
  <c r="BL160" i="5"/>
  <c r="BN169" i="5"/>
  <c r="BL182" i="5"/>
  <c r="BL203" i="5"/>
  <c r="BN209" i="5"/>
  <c r="AD211" i="5"/>
  <c r="BA211" i="5" s="1"/>
  <c r="BL223" i="5"/>
  <c r="BN223" i="5"/>
  <c r="BN224" i="5"/>
  <c r="BM231" i="5"/>
  <c r="BF252" i="5"/>
  <c r="BN252" i="5" s="1"/>
  <c r="BM288" i="5"/>
  <c r="AX56" i="5"/>
  <c r="BK56" i="5" s="1"/>
  <c r="BM56" i="5" s="1"/>
  <c r="BL61" i="5"/>
  <c r="BL123" i="5"/>
  <c r="BL148" i="5"/>
  <c r="BL156" i="5"/>
  <c r="BN233" i="5"/>
  <c r="BM239" i="5"/>
  <c r="BL275" i="5"/>
  <c r="BM286" i="5"/>
  <c r="BM84" i="5"/>
  <c r="BN98" i="5"/>
  <c r="BL105" i="5"/>
  <c r="BM115" i="5"/>
  <c r="BL116" i="5"/>
  <c r="BL127" i="5"/>
  <c r="AX131" i="5"/>
  <c r="BK131" i="5" s="1"/>
  <c r="BM131" i="5" s="1"/>
  <c r="BN133" i="5"/>
  <c r="AN136" i="5"/>
  <c r="BE136" i="5" s="1"/>
  <c r="AD139" i="5"/>
  <c r="BA139" i="5" s="1"/>
  <c r="BN148" i="5"/>
  <c r="BL153" i="5"/>
  <c r="BM160" i="5"/>
  <c r="BN171" i="5"/>
  <c r="BM197" i="5"/>
  <c r="AN217" i="5"/>
  <c r="BE217" i="5" s="1"/>
  <c r="BM217" i="5" s="1"/>
  <c r="BF245" i="5"/>
  <c r="BN245" i="5" s="1"/>
  <c r="AI247" i="5"/>
  <c r="BC247" i="5" s="1"/>
  <c r="AN248" i="5"/>
  <c r="BE248" i="5" s="1"/>
  <c r="BN289" i="5"/>
  <c r="AN295" i="5"/>
  <c r="BE295" i="5" s="1"/>
  <c r="BM295" i="5" s="1"/>
  <c r="BF177" i="5"/>
  <c r="BN177" i="5" s="1"/>
  <c r="AN177" i="5"/>
  <c r="BE177" i="5" s="1"/>
  <c r="BM177" i="5" s="1"/>
  <c r="BN5" i="5"/>
  <c r="BL6" i="5"/>
  <c r="BN9" i="5"/>
  <c r="BN10" i="5"/>
  <c r="BL11" i="5"/>
  <c r="BF14" i="5"/>
  <c r="BN14" i="5" s="1"/>
  <c r="AD19" i="5"/>
  <c r="BA19" i="5" s="1"/>
  <c r="BL21" i="5"/>
  <c r="BL22" i="5"/>
  <c r="BM31" i="5"/>
  <c r="BM36" i="5"/>
  <c r="AI38" i="5"/>
  <c r="BC38" i="5" s="1"/>
  <c r="BL39" i="5"/>
  <c r="BL44" i="5"/>
  <c r="BM60" i="5"/>
  <c r="BM67" i="5"/>
  <c r="BM82" i="5"/>
  <c r="BM121" i="5"/>
  <c r="BL136" i="5"/>
  <c r="BL32" i="5"/>
  <c r="AS21" i="5"/>
  <c r="BH21" i="5" s="1"/>
  <c r="BM21" i="5" s="1"/>
  <c r="AN44" i="5"/>
  <c r="BE44" i="5" s="1"/>
  <c r="BF44" i="5"/>
  <c r="BN44" i="5" s="1"/>
  <c r="BD59" i="5"/>
  <c r="AK59" i="5"/>
  <c r="BF59" i="5" s="1"/>
  <c r="BN59" i="5" s="1"/>
  <c r="BM107" i="5"/>
  <c r="BF34" i="5"/>
  <c r="BN34" i="5" s="1"/>
  <c r="AN34" i="5"/>
  <c r="BE34" i="5" s="1"/>
  <c r="BM34" i="5" s="1"/>
  <c r="BM11" i="5"/>
  <c r="BL35" i="5"/>
  <c r="BN40" i="5"/>
  <c r="BF45" i="5"/>
  <c r="BN45" i="5" s="1"/>
  <c r="AN45" i="5"/>
  <c r="BE45" i="5" s="1"/>
  <c r="BM45" i="5" s="1"/>
  <c r="BM46" i="5"/>
  <c r="BM58" i="5"/>
  <c r="BM99" i="5"/>
  <c r="BL108" i="5"/>
  <c r="BM156" i="5"/>
  <c r="BM6" i="5"/>
  <c r="BM8" i="5"/>
  <c r="BM5" i="5"/>
  <c r="AN16" i="5"/>
  <c r="BE16" i="5" s="1"/>
  <c r="BM16" i="5" s="1"/>
  <c r="BN15" i="5"/>
  <c r="BL24" i="5"/>
  <c r="BF33" i="5"/>
  <c r="BN33" i="5" s="1"/>
  <c r="AN33" i="5"/>
  <c r="BE33" i="5" s="1"/>
  <c r="BM33" i="5" s="1"/>
  <c r="BL112" i="5"/>
  <c r="BM9" i="5"/>
  <c r="BM30" i="5"/>
  <c r="AI43" i="5"/>
  <c r="BC43" i="5" s="1"/>
  <c r="BL48" i="5"/>
  <c r="BM76" i="5"/>
  <c r="BM114" i="5"/>
  <c r="BL5" i="5"/>
  <c r="BL9" i="5"/>
  <c r="BL8" i="5"/>
  <c r="BL10" i="5"/>
  <c r="BL14" i="5"/>
  <c r="BN26" i="5"/>
  <c r="AI27" i="5"/>
  <c r="BC27" i="5" s="1"/>
  <c r="AX28" i="5"/>
  <c r="BK28" i="5" s="1"/>
  <c r="BN32" i="5"/>
  <c r="BL34" i="5"/>
  <c r="BF38" i="5"/>
  <c r="BN38" i="5" s="1"/>
  <c r="AD40" i="5"/>
  <c r="BA40" i="5" s="1"/>
  <c r="AN41" i="5"/>
  <c r="BE41" i="5" s="1"/>
  <c r="AI42" i="5"/>
  <c r="BC42" i="5" s="1"/>
  <c r="BM42" i="5" s="1"/>
  <c r="BM48" i="5"/>
  <c r="BN49" i="5"/>
  <c r="BB59" i="5"/>
  <c r="BM62" i="5"/>
  <c r="BL79" i="5"/>
  <c r="BL92" i="5"/>
  <c r="BL107" i="5"/>
  <c r="BL110" i="5"/>
  <c r="BM113" i="5"/>
  <c r="BL129" i="5"/>
  <c r="BL131" i="5"/>
  <c r="BL132" i="5"/>
  <c r="BN136" i="5"/>
  <c r="BL138" i="5"/>
  <c r="BN147" i="5"/>
  <c r="BM161" i="5"/>
  <c r="BM166" i="5"/>
  <c r="BL167" i="5"/>
  <c r="BL177" i="5"/>
  <c r="BM194" i="5"/>
  <c r="BN78" i="5"/>
  <c r="BM79" i="5"/>
  <c r="BM80" i="5"/>
  <c r="BL83" i="5"/>
  <c r="BL84" i="5"/>
  <c r="BL87" i="5"/>
  <c r="BM92" i="5"/>
  <c r="BM93" i="5"/>
  <c r="BL98" i="5"/>
  <c r="BN105" i="5"/>
  <c r="BM110" i="5"/>
  <c r="BN110" i="5"/>
  <c r="BM116" i="5"/>
  <c r="BN122" i="5"/>
  <c r="BL130" i="5"/>
  <c r="BM140" i="5"/>
  <c r="BM142" i="5"/>
  <c r="AS143" i="5"/>
  <c r="BH143" i="5" s="1"/>
  <c r="AD146" i="5"/>
  <c r="BA146" i="5" s="1"/>
  <c r="AN149" i="5"/>
  <c r="BE149" i="5" s="1"/>
  <c r="BM154" i="5"/>
  <c r="AS155" i="5"/>
  <c r="BH155" i="5" s="1"/>
  <c r="BN157" i="5"/>
  <c r="BN161" i="5"/>
  <c r="BM163" i="5"/>
  <c r="BM171" i="5"/>
  <c r="BM179" i="5"/>
  <c r="BM65" i="5"/>
  <c r="BL68" i="5"/>
  <c r="BL72" i="5"/>
  <c r="BN6" i="5"/>
  <c r="BN8" i="5"/>
  <c r="BN11" i="5"/>
  <c r="BL13" i="5"/>
  <c r="BL19" i="5"/>
  <c r="BF19" i="5"/>
  <c r="BN19" i="5" s="1"/>
  <c r="BN25" i="5"/>
  <c r="BL28" i="5"/>
  <c r="BL37" i="5"/>
  <c r="AN39" i="5"/>
  <c r="BE39" i="5" s="1"/>
  <c r="BM39" i="5" s="1"/>
  <c r="AZ43" i="5"/>
  <c r="BL43" i="5" s="1"/>
  <c r="AN47" i="5"/>
  <c r="BE47" i="5" s="1"/>
  <c r="BL49" i="5"/>
  <c r="BF50" i="5"/>
  <c r="BN50" i="5" s="1"/>
  <c r="AX57" i="5"/>
  <c r="BK57" i="5" s="1"/>
  <c r="BM57" i="5" s="1"/>
  <c r="BM63" i="5"/>
  <c r="BM74" i="5"/>
  <c r="BN79" i="5"/>
  <c r="BN80" i="5"/>
  <c r="BN81" i="5"/>
  <c r="BL88" i="5"/>
  <c r="BN91" i="5"/>
  <c r="BN92" i="5"/>
  <c r="BN93" i="5"/>
  <c r="BN95" i="5"/>
  <c r="BL96" i="5"/>
  <c r="BM98" i="5"/>
  <c r="BN100" i="5"/>
  <c r="BN101" i="5"/>
  <c r="BM118" i="5"/>
  <c r="BN120" i="5"/>
  <c r="BN123" i="5"/>
  <c r="BN124" i="5"/>
  <c r="BM125" i="5"/>
  <c r="AD135" i="5"/>
  <c r="BA135" i="5" s="1"/>
  <c r="BL139" i="5"/>
  <c r="BM144" i="5"/>
  <c r="BL171" i="5"/>
  <c r="BL172" i="5"/>
  <c r="BL196" i="5"/>
  <c r="BF199" i="5"/>
  <c r="BN199" i="5" s="1"/>
  <c r="AN199" i="5"/>
  <c r="BE199" i="5" s="1"/>
  <c r="BM199" i="5" s="1"/>
  <c r="BM233" i="5"/>
  <c r="BL240" i="5"/>
  <c r="BN64" i="5"/>
  <c r="BN70" i="5"/>
  <c r="BN73" i="5"/>
  <c r="BN74" i="5"/>
  <c r="BN77" i="5"/>
  <c r="BN82" i="5"/>
  <c r="BN83" i="5"/>
  <c r="BN84" i="5"/>
  <c r="BN85" i="5"/>
  <c r="BM86" i="5"/>
  <c r="BM87" i="5"/>
  <c r="BN87" i="5"/>
  <c r="BM88" i="5"/>
  <c r="BN89" i="5"/>
  <c r="BM94" i="5"/>
  <c r="BN94" i="5"/>
  <c r="BL97" i="5"/>
  <c r="BN97" i="5"/>
  <c r="BL99" i="5"/>
  <c r="BN104" i="5"/>
  <c r="BN129" i="5"/>
  <c r="BN134" i="5"/>
  <c r="BM137" i="5"/>
  <c r="BL141" i="5"/>
  <c r="BL145" i="5"/>
  <c r="AX158" i="5"/>
  <c r="BK158" i="5" s="1"/>
  <c r="BM158" i="5" s="1"/>
  <c r="BL162" i="5"/>
  <c r="BL166" i="5"/>
  <c r="BM169" i="5"/>
  <c r="BL175" i="5"/>
  <c r="BL186" i="5"/>
  <c r="BL217" i="5"/>
  <c r="BN131" i="5"/>
  <c r="BN132" i="5"/>
  <c r="BN137" i="5"/>
  <c r="BN141" i="5"/>
  <c r="BN159" i="5"/>
  <c r="BL163" i="5"/>
  <c r="BN164" i="5"/>
  <c r="BL194" i="5"/>
  <c r="BM32" i="5"/>
  <c r="BL33" i="5"/>
  <c r="BF41" i="5"/>
  <c r="BN41" i="5" s="1"/>
  <c r="BN42" i="5"/>
  <c r="BL55" i="5"/>
  <c r="BN58" i="5"/>
  <c r="BN62" i="5"/>
  <c r="BN63" i="5"/>
  <c r="BL64" i="5"/>
  <c r="BN69" i="5"/>
  <c r="BL70" i="5"/>
  <c r="BN72" i="5"/>
  <c r="BL73" i="5"/>
  <c r="BM77" i="5"/>
  <c r="BM78" i="5"/>
  <c r="BM89" i="5"/>
  <c r="BL90" i="5"/>
  <c r="BL91" i="5"/>
  <c r="BM104" i="5"/>
  <c r="BL113" i="5"/>
  <c r="BL118" i="5"/>
  <c r="BM120" i="5"/>
  <c r="BM122" i="5"/>
  <c r="BL125" i="5"/>
  <c r="AX129" i="5"/>
  <c r="BK129" i="5" s="1"/>
  <c r="BM129" i="5" s="1"/>
  <c r="AI130" i="5"/>
  <c r="BC130" i="5" s="1"/>
  <c r="BM130" i="5" s="1"/>
  <c r="BL142" i="5"/>
  <c r="BL150" i="5"/>
  <c r="BL157" i="5"/>
  <c r="BL161" i="5"/>
  <c r="AN190" i="5"/>
  <c r="BE190" i="5" s="1"/>
  <c r="BM190" i="5" s="1"/>
  <c r="AD225" i="5"/>
  <c r="BA225" i="5" s="1"/>
  <c r="BM225" i="5" s="1"/>
  <c r="BL42" i="5"/>
  <c r="AI47" i="5"/>
  <c r="BC47" i="5" s="1"/>
  <c r="BL52" i="5"/>
  <c r="BN61" i="5"/>
  <c r="BL76" i="5"/>
  <c r="BL77" i="5"/>
  <c r="BM90" i="5"/>
  <c r="BL94" i="5"/>
  <c r="BM101" i="5"/>
  <c r="BL102" i="5"/>
  <c r="BL103" i="5"/>
  <c r="BL120" i="5"/>
  <c r="BL121" i="5"/>
  <c r="BL124" i="5"/>
  <c r="BM134" i="5"/>
  <c r="AN139" i="5"/>
  <c r="BE139" i="5" s="1"/>
  <c r="AX152" i="5"/>
  <c r="BK152" i="5" s="1"/>
  <c r="AI155" i="5"/>
  <c r="BC155" i="5" s="1"/>
  <c r="BF178" i="5"/>
  <c r="BN178" i="5" s="1"/>
  <c r="BM181" i="5"/>
  <c r="AD196" i="5"/>
  <c r="BA196" i="5" s="1"/>
  <c r="BL201" i="5"/>
  <c r="BL204" i="5"/>
  <c r="AN213" i="5"/>
  <c r="BE213" i="5" s="1"/>
  <c r="BM213" i="5" s="1"/>
  <c r="BL219" i="5"/>
  <c r="BL227" i="5"/>
  <c r="U232" i="5"/>
  <c r="BM235" i="5"/>
  <c r="AI236" i="5"/>
  <c r="BC236" i="5" s="1"/>
  <c r="BL256" i="5"/>
  <c r="BM290" i="5"/>
  <c r="BL291" i="5"/>
  <c r="BN140" i="5"/>
  <c r="AN141" i="5"/>
  <c r="BE141" i="5" s="1"/>
  <c r="BF143" i="5"/>
  <c r="BL144" i="5"/>
  <c r="BL152" i="5"/>
  <c r="BF152" i="5"/>
  <c r="BN152" i="5" s="1"/>
  <c r="BL155" i="5"/>
  <c r="BN162" i="5"/>
  <c r="BL170" i="5"/>
  <c r="BM172" i="5"/>
  <c r="BI174" i="5"/>
  <c r="BN174" i="5" s="1"/>
  <c r="BL176" i="5"/>
  <c r="BN179" i="5"/>
  <c r="BM180" i="5"/>
  <c r="BN219" i="5"/>
  <c r="BL239" i="5"/>
  <c r="BN253" i="5"/>
  <c r="BM254" i="5"/>
  <c r="BM256" i="5"/>
  <c r="BN258" i="5"/>
  <c r="BL263" i="5"/>
  <c r="BL264" i="5"/>
  <c r="BM266" i="5"/>
  <c r="BM283" i="5"/>
  <c r="BL288" i="5"/>
  <c r="BM294" i="5"/>
  <c r="BN294" i="5"/>
  <c r="BN296" i="5"/>
  <c r="BN297" i="5"/>
  <c r="BM298" i="5"/>
  <c r="BL181" i="5"/>
  <c r="BL188" i="5"/>
  <c r="AX191" i="5"/>
  <c r="BK191" i="5" s="1"/>
  <c r="BM191" i="5" s="1"/>
  <c r="AS196" i="5"/>
  <c r="BH196" i="5" s="1"/>
  <c r="BM212" i="5"/>
  <c r="BL214" i="5"/>
  <c r="AN229" i="5"/>
  <c r="BE229" i="5" s="1"/>
  <c r="BM229" i="5" s="1"/>
  <c r="BM230" i="5"/>
  <c r="BL238" i="5"/>
  <c r="BN239" i="5"/>
  <c r="AI240" i="5"/>
  <c r="BC240" i="5" s="1"/>
  <c r="BL242" i="5"/>
  <c r="BL245" i="5"/>
  <c r="BL246" i="5"/>
  <c r="AD248" i="5"/>
  <c r="BA248" i="5" s="1"/>
  <c r="BF248" i="5"/>
  <c r="BN248" i="5" s="1"/>
  <c r="BM253" i="5"/>
  <c r="BL260" i="5"/>
  <c r="BM260" i="5"/>
  <c r="BL271" i="5"/>
  <c r="BM275" i="5"/>
  <c r="BM278" i="5"/>
  <c r="BL283" i="5"/>
  <c r="BN290" i="5"/>
  <c r="BN293" i="5"/>
  <c r="BM203" i="5"/>
  <c r="BN218" i="5"/>
  <c r="BL224" i="5"/>
  <c r="BM234" i="5"/>
  <c r="BL243" i="5"/>
  <c r="BM255" i="5"/>
  <c r="BN260" i="5"/>
  <c r="BL261" i="5"/>
  <c r="BN263" i="5"/>
  <c r="BN264" i="5"/>
  <c r="BM272" i="5"/>
  <c r="BN274" i="5"/>
  <c r="BL277" i="5"/>
  <c r="BN282" i="5"/>
  <c r="BM291" i="5"/>
  <c r="BM293" i="5"/>
  <c r="BL299" i="5"/>
  <c r="AS300" i="5"/>
  <c r="BH300" i="5" s="1"/>
  <c r="BM300" i="5" s="1"/>
  <c r="BN201" i="5"/>
  <c r="BF202" i="5"/>
  <c r="BN202" i="5" s="1"/>
  <c r="BL209" i="5"/>
  <c r="BN210" i="5"/>
  <c r="BL216" i="5"/>
  <c r="BN222" i="5"/>
  <c r="BL244" i="5"/>
  <c r="BN256" i="5"/>
  <c r="BM265" i="5"/>
  <c r="BL268" i="5"/>
  <c r="BM276" i="5"/>
  <c r="BL279" i="5"/>
  <c r="BL286" i="5"/>
  <c r="BL290" i="5"/>
  <c r="BL293" i="5"/>
  <c r="BL294" i="5"/>
  <c r="AN146" i="5"/>
  <c r="BE146" i="5" s="1"/>
  <c r="AN150" i="5"/>
  <c r="BE150" i="5" s="1"/>
  <c r="BM150" i="5" s="1"/>
  <c r="AI152" i="5"/>
  <c r="BC152" i="5" s="1"/>
  <c r="BL154" i="5"/>
  <c r="BL159" i="5"/>
  <c r="BN163" i="5"/>
  <c r="BN166" i="5"/>
  <c r="BM167" i="5"/>
  <c r="BL168" i="5"/>
  <c r="BL173" i="5"/>
  <c r="BL174" i="5"/>
  <c r="BL179" i="5"/>
  <c r="BM182" i="5"/>
  <c r="AX183" i="5"/>
  <c r="BK183" i="5" s="1"/>
  <c r="BM183" i="5" s="1"/>
  <c r="BN183" i="5"/>
  <c r="BL184" i="5"/>
  <c r="BN187" i="5"/>
  <c r="BL195" i="5"/>
  <c r="BM198" i="5"/>
  <c r="BL199" i="5"/>
  <c r="BL206" i="5"/>
  <c r="BL212" i="5"/>
  <c r="BM214" i="5"/>
  <c r="BN216" i="5"/>
  <c r="BL218" i="5"/>
  <c r="BN234" i="5"/>
  <c r="BL241" i="5"/>
  <c r="BM242" i="5"/>
  <c r="BL249" i="5"/>
  <c r="BN251" i="5"/>
  <c r="BL258" i="5"/>
  <c r="BN262" i="5"/>
  <c r="BL265" i="5"/>
  <c r="BM268" i="5"/>
  <c r="BN269" i="5"/>
  <c r="BN280" i="5"/>
  <c r="BN288" i="5"/>
  <c r="BL191" i="5"/>
  <c r="BL200" i="5"/>
  <c r="BM207" i="5"/>
  <c r="BN214" i="5"/>
  <c r="BL221" i="5"/>
  <c r="BL222" i="5"/>
  <c r="BM223" i="5"/>
  <c r="BM224" i="5"/>
  <c r="BL229" i="5"/>
  <c r="BL234" i="5"/>
  <c r="BL253" i="5"/>
  <c r="BL254" i="5"/>
  <c r="BM264" i="5"/>
  <c r="BL272" i="5"/>
  <c r="BL274" i="5"/>
  <c r="BN279" i="5"/>
  <c r="BM280" i="5"/>
  <c r="BL295" i="5"/>
  <c r="BN298" i="5"/>
  <c r="BL300" i="5"/>
  <c r="BM18" i="5"/>
  <c r="BM25" i="5"/>
  <c r="BM29" i="5"/>
  <c r="BL18" i="5"/>
  <c r="BM20" i="5"/>
  <c r="BL30" i="5"/>
  <c r="BL40" i="5"/>
  <c r="BM15" i="5"/>
  <c r="BM13" i="5"/>
  <c r="BL15" i="5"/>
  <c r="BF23" i="5"/>
  <c r="BN23" i="5" s="1"/>
  <c r="BF28" i="5"/>
  <c r="BN28" i="5" s="1"/>
  <c r="BL29" i="5"/>
  <c r="AD43" i="5"/>
  <c r="BA43" i="5" s="1"/>
  <c r="BF43" i="5"/>
  <c r="BN43" i="5" s="1"/>
  <c r="AN43" i="5"/>
  <c r="BE43" i="5" s="1"/>
  <c r="BF47" i="5"/>
  <c r="BN47" i="5" s="1"/>
  <c r="BM61" i="5"/>
  <c r="BF27" i="5"/>
  <c r="BN27" i="5" s="1"/>
  <c r="BN48" i="5"/>
  <c r="BM49" i="5"/>
  <c r="BL62" i="5"/>
  <c r="BL23" i="5"/>
  <c r="BN24" i="5"/>
  <c r="BF13" i="5"/>
  <c r="BN13" i="5" s="1"/>
  <c r="BL27" i="5"/>
  <c r="BL46" i="5"/>
  <c r="BL53" i="5"/>
  <c r="BL58" i="5"/>
  <c r="BL12" i="5"/>
  <c r="BN31" i="5"/>
  <c r="BN51" i="5"/>
  <c r="BL74" i="5"/>
  <c r="BL38" i="5"/>
  <c r="BL47" i="5"/>
  <c r="BL50" i="5"/>
  <c r="BL16" i="5"/>
  <c r="BL20" i="5"/>
  <c r="BL31" i="5"/>
  <c r="BL36" i="5"/>
  <c r="BL51" i="5"/>
  <c r="BM64" i="5"/>
  <c r="BM69" i="5"/>
  <c r="BL78" i="5"/>
  <c r="BL85" i="5"/>
  <c r="BL89" i="5"/>
  <c r="BM96" i="5"/>
  <c r="BF67" i="5"/>
  <c r="BN67" i="5" s="1"/>
  <c r="BM91" i="5"/>
  <c r="BM108" i="5"/>
  <c r="BL109" i="5"/>
  <c r="BF151" i="5"/>
  <c r="AN151" i="5"/>
  <c r="BE151" i="5" s="1"/>
  <c r="BN75" i="5"/>
  <c r="BM85" i="5"/>
  <c r="BM97" i="5"/>
  <c r="BM109" i="5"/>
  <c r="BF29" i="5"/>
  <c r="BN29" i="5" s="1"/>
  <c r="BL54" i="5"/>
  <c r="BL57" i="5"/>
  <c r="BN60" i="5"/>
  <c r="BN68" i="5"/>
  <c r="BM70" i="5"/>
  <c r="BM81" i="5"/>
  <c r="BL95" i="5"/>
  <c r="BM100" i="5"/>
  <c r="BM105" i="5"/>
  <c r="BM111" i="5"/>
  <c r="BM123" i="5"/>
  <c r="BL146" i="5"/>
  <c r="BL63" i="5"/>
  <c r="BL66" i="5"/>
  <c r="BL75" i="5"/>
  <c r="BL82" i="5"/>
  <c r="BM83" i="5"/>
  <c r="BM95" i="5"/>
  <c r="BL101" i="5"/>
  <c r="BM103" i="5"/>
  <c r="BM106" i="5"/>
  <c r="BN108" i="5"/>
  <c r="BL143" i="5"/>
  <c r="BL147" i="5"/>
  <c r="BM66" i="5"/>
  <c r="BL67" i="5"/>
  <c r="BL86" i="5"/>
  <c r="BN90" i="5"/>
  <c r="BL56" i="5"/>
  <c r="AI59" i="5"/>
  <c r="BC59" i="5" s="1"/>
  <c r="BM68" i="5"/>
  <c r="BL71" i="5"/>
  <c r="BF119" i="5"/>
  <c r="BN119" i="5" s="1"/>
  <c r="AN119" i="5"/>
  <c r="BE119" i="5" s="1"/>
  <c r="BL111" i="5"/>
  <c r="BM168" i="5"/>
  <c r="BL135" i="5"/>
  <c r="BF139" i="5"/>
  <c r="BN139" i="5" s="1"/>
  <c r="BF146" i="5"/>
  <c r="BN146" i="5" s="1"/>
  <c r="BL114" i="5"/>
  <c r="BM148" i="5"/>
  <c r="BN154" i="5"/>
  <c r="BL117" i="5"/>
  <c r="BM124" i="5"/>
  <c r="BL126" i="5"/>
  <c r="BN127" i="5"/>
  <c r="BM128" i="5"/>
  <c r="BM132" i="5"/>
  <c r="BL140" i="5"/>
  <c r="AD141" i="5"/>
  <c r="BA141" i="5" s="1"/>
  <c r="BM145" i="5"/>
  <c r="BL149" i="5"/>
  <c r="BM117" i="5"/>
  <c r="AS151" i="5"/>
  <c r="BH151" i="5" s="1"/>
  <c r="BI151" i="5"/>
  <c r="BM102" i="5"/>
  <c r="BN111" i="5"/>
  <c r="BL119" i="5"/>
  <c r="BM138" i="5"/>
  <c r="BL169" i="5"/>
  <c r="BL115" i="5"/>
  <c r="BM126" i="5"/>
  <c r="BL128" i="5"/>
  <c r="BL133" i="5"/>
  <c r="BL165" i="5"/>
  <c r="AN133" i="5"/>
  <c r="BE133" i="5" s="1"/>
  <c r="AN135" i="5"/>
  <c r="BE135" i="5" s="1"/>
  <c r="BL151" i="5"/>
  <c r="BM184" i="5"/>
  <c r="BN195" i="5"/>
  <c r="BL208" i="5"/>
  <c r="BI211" i="5"/>
  <c r="BN211" i="5" s="1"/>
  <c r="AS211" i="5"/>
  <c r="BH211" i="5" s="1"/>
  <c r="BN158" i="5"/>
  <c r="BN170" i="5"/>
  <c r="BN173" i="5"/>
  <c r="BL180" i="5"/>
  <c r="BL185" i="5"/>
  <c r="BL187" i="5"/>
  <c r="BF150" i="5"/>
  <c r="BN150" i="5" s="1"/>
  <c r="BM185" i="5"/>
  <c r="BI189" i="5"/>
  <c r="BN189" i="5" s="1"/>
  <c r="AS189" i="5"/>
  <c r="BH189" i="5" s="1"/>
  <c r="BM189" i="5" s="1"/>
  <c r="BM200" i="5"/>
  <c r="BL202" i="5"/>
  <c r="AN152" i="5"/>
  <c r="BE152" i="5" s="1"/>
  <c r="BN160" i="5"/>
  <c r="BM188" i="5"/>
  <c r="BM162" i="5"/>
  <c r="BM173" i="5"/>
  <c r="BL178" i="5"/>
  <c r="BL183" i="5"/>
  <c r="BM187" i="5"/>
  <c r="BM195" i="5"/>
  <c r="BM208" i="5"/>
  <c r="BM165" i="5"/>
  <c r="BN180" i="5"/>
  <c r="BL164" i="5"/>
  <c r="BF176" i="5"/>
  <c r="BN176" i="5" s="1"/>
  <c r="AN176" i="5"/>
  <c r="BE176" i="5" s="1"/>
  <c r="BM176" i="5" s="1"/>
  <c r="BL190" i="5"/>
  <c r="BL207" i="5"/>
  <c r="AX209" i="5"/>
  <c r="BK209" i="5" s="1"/>
  <c r="BM209" i="5" s="1"/>
  <c r="BM215" i="5"/>
  <c r="BM218" i="5"/>
  <c r="BM220" i="5"/>
  <c r="BM221" i="5"/>
  <c r="BM250" i="5"/>
  <c r="BM261" i="5"/>
  <c r="BM274" i="5"/>
  <c r="BL220" i="5"/>
  <c r="BM228" i="5"/>
  <c r="BL235" i="5"/>
  <c r="BM259" i="5"/>
  <c r="BL192" i="5"/>
  <c r="BL205" i="5"/>
  <c r="BM206" i="5"/>
  <c r="BM222" i="5"/>
  <c r="BM237" i="5"/>
  <c r="BL267" i="5"/>
  <c r="BM204" i="5"/>
  <c r="BM205" i="5"/>
  <c r="BL211" i="5"/>
  <c r="BL215" i="5"/>
  <c r="BM219" i="5"/>
  <c r="BN203" i="5"/>
  <c r="BN207" i="5"/>
  <c r="BN208" i="5"/>
  <c r="BL250" i="5"/>
  <c r="BN229" i="5"/>
  <c r="BF246" i="5"/>
  <c r="BN246" i="5" s="1"/>
  <c r="BL247" i="5"/>
  <c r="AN249" i="5"/>
  <c r="BE249" i="5" s="1"/>
  <c r="BL251" i="5"/>
  <c r="BL259" i="5"/>
  <c r="BM263" i="5"/>
  <c r="BL266" i="5"/>
  <c r="BL270" i="5"/>
  <c r="BL230" i="5"/>
  <c r="BM244" i="5"/>
  <c r="BM277" i="5"/>
  <c r="BL284" i="5"/>
  <c r="AS241" i="5"/>
  <c r="BH241" i="5" s="1"/>
  <c r="BM243" i="5"/>
  <c r="BL248" i="5"/>
  <c r="BL252" i="5"/>
  <c r="BM257" i="5"/>
  <c r="BM269" i="5"/>
  <c r="BL233" i="5"/>
  <c r="BF247" i="5"/>
  <c r="BN247" i="5" s="1"/>
  <c r="BM271" i="5"/>
  <c r="BM273" i="5"/>
  <c r="BM279" i="5"/>
  <c r="BF284" i="5"/>
  <c r="BN284" i="5" s="1"/>
  <c r="AN284" i="5"/>
  <c r="BE284" i="5" s="1"/>
  <c r="AN236" i="5"/>
  <c r="BE236" i="5" s="1"/>
  <c r="BM238" i="5"/>
  <c r="BF240" i="5"/>
  <c r="BN240" i="5" s="1"/>
  <c r="AD245" i="5"/>
  <c r="BA245" i="5" s="1"/>
  <c r="BM245" i="5" s="1"/>
  <c r="AI249" i="5"/>
  <c r="BC249" i="5" s="1"/>
  <c r="BL273" i="5"/>
  <c r="BL280" i="5"/>
  <c r="AX281" i="5"/>
  <c r="BK281" i="5" s="1"/>
  <c r="BM296" i="5"/>
  <c r="BM297" i="5"/>
  <c r="BM299" i="5"/>
  <c r="BN265" i="5"/>
  <c r="BM270" i="5"/>
  <c r="BN275" i="5"/>
  <c r="BL282" i="5"/>
  <c r="BL236" i="5"/>
  <c r="BL255" i="5"/>
  <c r="BL269" i="5"/>
  <c r="BN272" i="5"/>
  <c r="BN277" i="5"/>
  <c r="BL281" i="5"/>
  <c r="BL287" i="5"/>
  <c r="BL292" i="5"/>
  <c r="BM241" i="5" l="1"/>
  <c r="U182" i="5"/>
  <c r="BM143" i="5"/>
  <c r="BM216" i="5"/>
  <c r="U216" i="5" s="1"/>
  <c r="U65" i="5"/>
  <c r="U113" i="5"/>
  <c r="BM284" i="5"/>
  <c r="U284" i="5" s="1"/>
  <c r="U71" i="5"/>
  <c r="U103" i="5"/>
  <c r="BM54" i="5"/>
  <c r="U197" i="5"/>
  <c r="U148" i="5"/>
  <c r="BM119" i="5"/>
  <c r="U192" i="5"/>
  <c r="U289" i="5"/>
  <c r="BM248" i="5"/>
  <c r="U248" i="5" s="1"/>
  <c r="U9" i="5"/>
  <c r="U91" i="5"/>
  <c r="U121" i="5"/>
  <c r="U48" i="5"/>
  <c r="U203" i="5"/>
  <c r="U162" i="5"/>
  <c r="U63" i="5"/>
  <c r="U206" i="5"/>
  <c r="BM10" i="5"/>
  <c r="U10" i="5" s="1"/>
  <c r="BM135" i="5"/>
  <c r="U161" i="5"/>
  <c r="U275" i="5"/>
  <c r="U257" i="5"/>
  <c r="U213" i="5"/>
  <c r="U178" i="5"/>
  <c r="U210" i="5"/>
  <c r="U217" i="5"/>
  <c r="U285" i="5"/>
  <c r="BM23" i="5"/>
  <c r="U23" i="5" s="1"/>
  <c r="U184" i="5"/>
  <c r="U104" i="5"/>
  <c r="U200" i="5"/>
  <c r="U286" i="5"/>
  <c r="U296" i="5"/>
  <c r="BM236" i="5"/>
  <c r="U236" i="5" s="1"/>
  <c r="U258" i="5"/>
  <c r="U198" i="5"/>
  <c r="BM133" i="5"/>
  <c r="U133" i="5" s="1"/>
  <c r="U168" i="5"/>
  <c r="U101" i="5"/>
  <c r="BM28" i="5"/>
  <c r="U28" i="5" s="1"/>
  <c r="BM27" i="5"/>
  <c r="U27" i="5" s="1"/>
  <c r="U122" i="5"/>
  <c r="U221" i="5"/>
  <c r="U69" i="5"/>
  <c r="U125" i="5"/>
  <c r="BM155" i="5"/>
  <c r="U155" i="5" s="1"/>
  <c r="U87" i="5"/>
  <c r="U271" i="5"/>
  <c r="U251" i="5"/>
  <c r="U83" i="5"/>
  <c r="U224" i="5"/>
  <c r="U294" i="5"/>
  <c r="BM196" i="5"/>
  <c r="U196" i="5" s="1"/>
  <c r="U138" i="5"/>
  <c r="U105" i="5"/>
  <c r="U137" i="5"/>
  <c r="U92" i="5"/>
  <c r="U46" i="5"/>
  <c r="U171" i="5"/>
  <c r="U8" i="5"/>
  <c r="U194" i="5"/>
  <c r="U84" i="5"/>
  <c r="U226" i="5"/>
  <c r="BM281" i="5"/>
  <c r="U281" i="5" s="1"/>
  <c r="U244" i="5"/>
  <c r="U215" i="5"/>
  <c r="U112" i="5"/>
  <c r="U17" i="5"/>
  <c r="BM139" i="5"/>
  <c r="U139" i="5" s="1"/>
  <c r="U129" i="5"/>
  <c r="U78" i="5"/>
  <c r="BM38" i="5"/>
  <c r="U38" i="5" s="1"/>
  <c r="U287" i="5"/>
  <c r="U263" i="5"/>
  <c r="U228" i="5"/>
  <c r="U299" i="5"/>
  <c r="U118" i="5"/>
  <c r="U173" i="5"/>
  <c r="U189" i="5"/>
  <c r="U93" i="5"/>
  <c r="BL59" i="5"/>
  <c r="U132" i="5"/>
  <c r="U106" i="5"/>
  <c r="U278" i="5"/>
  <c r="U225" i="5"/>
  <c r="U245" i="5"/>
  <c r="U272" i="5"/>
  <c r="U114" i="5"/>
  <c r="U90" i="5"/>
  <c r="U70" i="5"/>
  <c r="U45" i="5"/>
  <c r="U62" i="5"/>
  <c r="BM149" i="5"/>
  <c r="U149" i="5" s="1"/>
  <c r="U26" i="5"/>
  <c r="U34" i="5"/>
  <c r="U231" i="5"/>
  <c r="BM211" i="5"/>
  <c r="U211" i="5" s="1"/>
  <c r="U76" i="5"/>
  <c r="BM41" i="5"/>
  <c r="U41" i="5" s="1"/>
  <c r="U153" i="5"/>
  <c r="BN143" i="5"/>
  <c r="U102" i="5"/>
  <c r="U25" i="5"/>
  <c r="U116" i="5"/>
  <c r="BM44" i="5"/>
  <c r="U44" i="5" s="1"/>
  <c r="BM136" i="5"/>
  <c r="U136" i="5" s="1"/>
  <c r="BM50" i="5"/>
  <c r="U50" i="5" s="1"/>
  <c r="U252" i="5"/>
  <c r="U56" i="5"/>
  <c r="U35" i="5"/>
  <c r="U295" i="5"/>
  <c r="U186" i="5"/>
  <c r="U242" i="5"/>
  <c r="U293" i="5"/>
  <c r="U254" i="5"/>
  <c r="U94" i="5"/>
  <c r="U49" i="5"/>
  <c r="U144" i="5"/>
  <c r="U222" i="5"/>
  <c r="U86" i="5"/>
  <c r="U274" i="5"/>
  <c r="U12" i="5"/>
  <c r="U30" i="5"/>
  <c r="U156" i="5"/>
  <c r="BM40" i="5"/>
  <c r="U40" i="5" s="1"/>
  <c r="U73" i="5"/>
  <c r="U241" i="5"/>
  <c r="U261" i="5"/>
  <c r="U68" i="5"/>
  <c r="U96" i="5"/>
  <c r="U24" i="5"/>
  <c r="U61" i="5"/>
  <c r="BM47" i="5"/>
  <c r="U47" i="5" s="1"/>
  <c r="U175" i="5"/>
  <c r="U297" i="5"/>
  <c r="U238" i="5"/>
  <c r="U169" i="5"/>
  <c r="BM141" i="5"/>
  <c r="U141" i="5" s="1"/>
  <c r="U55" i="5"/>
  <c r="U253" i="5"/>
  <c r="U276" i="5"/>
  <c r="U99" i="5"/>
  <c r="U188" i="5"/>
  <c r="U32" i="5"/>
  <c r="U134" i="5"/>
  <c r="U81" i="5"/>
  <c r="U288" i="5"/>
  <c r="BM240" i="5"/>
  <c r="U240" i="5" s="1"/>
  <c r="U256" i="5"/>
  <c r="U11" i="5"/>
  <c r="U89" i="5"/>
  <c r="U223" i="5"/>
  <c r="U159" i="5"/>
  <c r="U39" i="5"/>
  <c r="U127" i="5"/>
  <c r="U262" i="5"/>
  <c r="U67" i="5"/>
  <c r="U227" i="5"/>
  <c r="U33" i="5"/>
  <c r="U22" i="5"/>
  <c r="BM247" i="5"/>
  <c r="U247" i="5" s="1"/>
  <c r="U177" i="5"/>
  <c r="U115" i="5"/>
  <c r="U36" i="5"/>
  <c r="U15" i="5"/>
  <c r="U268" i="5"/>
  <c r="U260" i="5"/>
  <c r="U181" i="5"/>
  <c r="U239" i="5"/>
  <c r="AN59" i="5"/>
  <c r="BE59" i="5" s="1"/>
  <c r="BM59" i="5" s="1"/>
  <c r="U160" i="5"/>
  <c r="U130" i="5"/>
  <c r="U31" i="5"/>
  <c r="U214" i="5"/>
  <c r="U298" i="5"/>
  <c r="U291" i="5"/>
  <c r="U52" i="5"/>
  <c r="U88" i="5"/>
  <c r="BM146" i="5"/>
  <c r="U146" i="5" s="1"/>
  <c r="U110" i="5"/>
  <c r="U80" i="5"/>
  <c r="U107" i="5"/>
  <c r="U14" i="5"/>
  <c r="BM19" i="5"/>
  <c r="U19" i="5" s="1"/>
  <c r="U60" i="5"/>
  <c r="U218" i="5"/>
  <c r="U264" i="5"/>
  <c r="U290" i="5"/>
  <c r="U246" i="5"/>
  <c r="U191" i="5"/>
  <c r="U16" i="5"/>
  <c r="U150" i="5"/>
  <c r="U233" i="5"/>
  <c r="U243" i="5"/>
  <c r="U204" i="5"/>
  <c r="U190" i="5"/>
  <c r="U147" i="5"/>
  <c r="U123" i="5"/>
  <c r="U266" i="5"/>
  <c r="U154" i="5"/>
  <c r="U82" i="5"/>
  <c r="U79" i="5"/>
  <c r="U280" i="5"/>
  <c r="U250" i="5"/>
  <c r="U195" i="5"/>
  <c r="U42" i="5"/>
  <c r="BM43" i="5"/>
  <c r="U43" i="5" s="1"/>
  <c r="U300" i="5"/>
  <c r="U37" i="5"/>
  <c r="U292" i="5"/>
  <c r="U277" i="5"/>
  <c r="U237" i="5"/>
  <c r="U158" i="5"/>
  <c r="BM249" i="5"/>
  <c r="U249" i="5" s="1"/>
  <c r="U279" i="5"/>
  <c r="U235" i="5"/>
  <c r="U209" i="5"/>
  <c r="U187" i="5"/>
  <c r="U18" i="5"/>
  <c r="U100" i="5"/>
  <c r="U51" i="5"/>
  <c r="U20" i="5"/>
  <c r="U179" i="5"/>
  <c r="U283" i="5"/>
  <c r="U157" i="5"/>
  <c r="U163" i="5"/>
  <c r="U172" i="5"/>
  <c r="U72" i="5"/>
  <c r="U259" i="5"/>
  <c r="U176" i="5"/>
  <c r="U199" i="5"/>
  <c r="U64" i="5"/>
  <c r="U74" i="5"/>
  <c r="U234" i="5"/>
  <c r="U131" i="5"/>
  <c r="U174" i="5"/>
  <c r="U111" i="5"/>
  <c r="U212" i="5"/>
  <c r="U201" i="5"/>
  <c r="U142" i="5"/>
  <c r="U167" i="5"/>
  <c r="U58" i="5"/>
  <c r="U282" i="5"/>
  <c r="U230" i="5"/>
  <c r="U164" i="5"/>
  <c r="U145" i="5"/>
  <c r="U124" i="5"/>
  <c r="U97" i="5"/>
  <c r="U21" i="5"/>
  <c r="U219" i="5"/>
  <c r="U207" i="5"/>
  <c r="U183" i="5"/>
  <c r="BM152" i="5"/>
  <c r="U152" i="5" s="1"/>
  <c r="U170" i="5"/>
  <c r="U128" i="5"/>
  <c r="U75" i="5"/>
  <c r="U108" i="5"/>
  <c r="U77" i="5"/>
  <c r="U166" i="5"/>
  <c r="U95" i="5"/>
  <c r="BM151" i="5"/>
  <c r="U98" i="5"/>
  <c r="U255" i="5"/>
  <c r="U265" i="5"/>
  <c r="U229" i="5"/>
  <c r="U140" i="5"/>
  <c r="U120" i="5"/>
  <c r="U54" i="5"/>
  <c r="U119" i="5"/>
  <c r="U85" i="5"/>
  <c r="U180" i="5"/>
  <c r="U208" i="5"/>
  <c r="U165" i="5"/>
  <c r="U126" i="5"/>
  <c r="U267" i="5"/>
  <c r="U202" i="5"/>
  <c r="U117" i="5"/>
  <c r="U66" i="5"/>
  <c r="U53" i="5"/>
  <c r="U13" i="5"/>
  <c r="BN151" i="5"/>
  <c r="U269" i="5"/>
  <c r="U273" i="5"/>
  <c r="U205" i="5"/>
  <c r="U57" i="5"/>
  <c r="U270" i="5"/>
  <c r="U220" i="5"/>
  <c r="U185" i="5"/>
  <c r="U135" i="5"/>
  <c r="U109" i="5"/>
  <c r="U29" i="5"/>
  <c r="U143" i="5" l="1"/>
  <c r="U59" i="5"/>
  <c r="U15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LXR</author>
    <author>elzat</author>
  </authors>
  <commentList>
    <comment ref="X79" authorId="0" shapeId="0" xr:uid="{00000000-0006-0000-0100-000001000000}">
      <text>
        <r>
          <rPr>
            <sz val="9"/>
            <rFont val="宋体"/>
            <family val="3"/>
            <charset val="134"/>
          </rPr>
          <t>LXR:
该案仅对实控人进行罚款，并未对公司进行处罚</t>
        </r>
      </text>
    </comment>
    <comment ref="AT147" authorId="0" shapeId="0" xr:uid="{00000000-0006-0000-0100-000002000000}">
      <text>
        <r>
          <rPr>
            <sz val="9"/>
            <rFont val="宋体"/>
            <family val="3"/>
            <charset val="134"/>
          </rPr>
          <t>LXR:
处罚书只告知了资金占用的合计金额，并未列示单独年份金额，因此但单年金额无法填写</t>
        </r>
      </text>
    </comment>
    <comment ref="AT148" authorId="0" shapeId="0" xr:uid="{00000000-0006-0000-0100-000003000000}">
      <text>
        <r>
          <rPr>
            <sz val="9"/>
            <rFont val="宋体"/>
            <family val="3"/>
            <charset val="134"/>
          </rPr>
          <t>LXR:
处罚书只告知了资金占用的合计金额，并未列示单独年份金额，因此但单年金额无法填写</t>
        </r>
      </text>
    </comment>
    <comment ref="AT164" authorId="0" shapeId="0" xr:uid="{00000000-0006-0000-0100-000004000000}">
      <text>
        <r>
          <rPr>
            <sz val="9"/>
            <rFont val="宋体"/>
            <family val="3"/>
            <charset val="134"/>
          </rPr>
          <t>LXR:
处罚书只告知了资金占用的合计金额，并未列示单独年份金额，因此但单年金额无法填写</t>
        </r>
      </text>
    </comment>
    <comment ref="AT166" authorId="0" shapeId="0" xr:uid="{00000000-0006-0000-0100-000005000000}">
      <text>
        <r>
          <rPr>
            <sz val="9"/>
            <rFont val="宋体"/>
            <family val="3"/>
            <charset val="134"/>
          </rPr>
          <t>LXR:
处罚书只告知了资金占用的合计金额，并未列示单独年份金额，因此但单年金额无法填写</t>
        </r>
      </text>
    </comment>
    <comment ref="AT175" authorId="0" shapeId="0" xr:uid="{00000000-0006-0000-0100-000006000000}">
      <text>
        <r>
          <rPr>
            <sz val="9"/>
            <rFont val="宋体"/>
            <family val="3"/>
            <charset val="134"/>
          </rPr>
          <t>LXR:
处罚书只告知了资金占用的合计金额，并未列示单独年份金额，因此但单年金额无法填写</t>
        </r>
      </text>
    </comment>
    <comment ref="C264" authorId="0" shapeId="0" xr:uid="{00000000-0006-0000-0100-000007000000}">
      <text>
        <r>
          <rPr>
            <sz val="9"/>
            <rFont val="宋体"/>
            <family val="3"/>
            <charset val="134"/>
          </rPr>
          <t>LXR:
IPO失败</t>
        </r>
      </text>
    </comment>
    <comment ref="C267" authorId="1" shapeId="0" xr:uid="{00000000-0006-0000-0100-000008000000}">
      <text>
        <r>
          <rPr>
            <sz val="9"/>
            <rFont val="宋体"/>
            <family val="3"/>
            <charset val="134"/>
          </rPr>
          <t>elzat:
IPO失败</t>
        </r>
      </text>
    </comment>
  </commentList>
</comments>
</file>

<file path=xl/sharedStrings.xml><?xml version="1.0" encoding="utf-8"?>
<sst xmlns="http://schemas.openxmlformats.org/spreadsheetml/2006/main" count="6041" uniqueCount="2629">
  <si>
    <t>序号</t>
  </si>
  <si>
    <t>列号</t>
  </si>
  <si>
    <t>错误类型</t>
  </si>
  <si>
    <t>提示</t>
  </si>
  <si>
    <t>综合方面的提示</t>
  </si>
  <si>
    <t>C</t>
  </si>
  <si>
    <t>证券名称出错</t>
  </si>
  <si>
    <r>
      <rPr>
        <sz val="11"/>
        <color theme="1"/>
        <rFont val="微软雅黑"/>
        <family val="2"/>
        <charset val="134"/>
      </rPr>
      <t>应是公司</t>
    </r>
    <r>
      <rPr>
        <b/>
        <sz val="11"/>
        <color theme="1"/>
        <rFont val="微软雅黑"/>
        <family val="2"/>
        <charset val="134"/>
      </rPr>
      <t>造假最后一年</t>
    </r>
    <r>
      <rPr>
        <sz val="11"/>
        <color theme="1"/>
        <rFont val="微软雅黑"/>
        <family val="2"/>
        <charset val="134"/>
      </rPr>
      <t>对应的名称，有可能与处罚决定书里的名字不一致。</t>
    </r>
  </si>
  <si>
    <t xml:space="preserve"> </t>
  </si>
  <si>
    <t>D、E</t>
  </si>
  <si>
    <t>省份城市填错</t>
  </si>
  <si>
    <t>地址信息为公司的注册地址，且直辖市（例如北京）省份为北京，城市为北京市的格式。</t>
  </si>
  <si>
    <t>如果对于左列说明有不理解的，可以借鉴之前填过的信息进行学习或者询问</t>
  </si>
  <si>
    <t>G</t>
  </si>
  <si>
    <t>公司属性出错</t>
  </si>
  <si>
    <t>直接在wind里公司资料里查找“公司属性”即可</t>
  </si>
  <si>
    <t>H</t>
  </si>
  <si>
    <t>事件标签填写不全</t>
  </si>
  <si>
    <t>应包含处罚报告中的所有事项，尤其不能遗漏“违规担保”事项。且仅从“财报粉饰；其他信息披露违规；违规担保；交易违规；经营不当”中选填。
·财报粉饰就是违规的具体信息里如果涉及了三表项目（如银行贷款、收入、费用等），以及资金占用（公司资金被他人（如公司实控人、关联方、股东、高管等）无偿占用（如果是资金被拿走又带息偿还，则不属于资金占用）），这种都算财报粉饰；
·交易违规指公司的某项交易不合法不合规，如利用他人账户买卖股票获益，内幕交易等（一般不涉及）；
·违规担保是本来不具备担保的资格但是还是担保了，比如公司未经股东大会或董事会批准就对外担保，就是违规担保；
·经营不当，就是自己业务经营的出了问题，常见的就说事务所、保荐机构等中介机构因为客户公司违法而受的连带处罚，公司未经股东大会/董事会/监事会批准就做出某项决策等；
·其他信息披露违法违规，就是虚假披露或者未披露的信息，除了财报粉饰的其他信息，常见的是未披露对外担保（但是担保本身没问题，就是没有披露），未及时披露关联交易事项。</t>
  </si>
  <si>
    <t>I\J\K</t>
  </si>
  <si>
    <t>出现偏差</t>
  </si>
  <si>
    <t>一般在“巨潮网”下载的处罚决定书中列式这三个日期，以此为准（故第L列也尽量附上“巨潮网”下载的处罚决定书，相比证监会的通知更加清晰明了）；若没列式，就需要按如下方法手动搜报告日期。
1.立案调查开始时间，搜索公司公告关键字“立案”或“调查”等字眼，查看公告内容（不是直接看发布公告的时间，可能存在时间偏差）；
2.立案调查结束时间，搜索公司公告关键字“事先告知”或“行政处罚”等字眼，查看“行政处罚事先告知书”公告内容（不是直接看发布公告的时间，可能存在时间偏差）；如果没有搜到或者排查公告列表后没有事先告知书的公告，则按照“行政处罚决定书时间”列示；
3.行政处罚日期，搜索公司公告关键字“行政”或“处罚”等字眼，查看公告内容（不是直接看发布公告的时间，可能存在时间偏差）。</t>
  </si>
  <si>
    <t>M</t>
  </si>
  <si>
    <t>造假年份不精确</t>
  </si>
  <si>
    <t>这里的造假年份仅包括发生会计处理粉饰、业务凭证造假以及资金占用发生的年份，不包括违法担保或其他违法行为。
从《行政处罚事先告知书》或《行政处罚决定书》中找寻。</t>
  </si>
  <si>
    <t>O</t>
  </si>
  <si>
    <t>舞弊时长区间</t>
  </si>
  <si>
    <t>左闭右开，比如，1年算1-2年，2年算2-3年、3年算3-5年、5年算 5年以上。也可参考之前年度填写样式。</t>
  </si>
  <si>
    <t>Q</t>
  </si>
  <si>
    <t>涉及造假年份审计机构填写不全</t>
  </si>
  <si>
    <t>是指涉及了造假年份的当年的审计机构，并不是最新审计机构，可能存在多年造假对应的多个审计机构，此时都要填写进入。</t>
  </si>
  <si>
    <t>S</t>
  </si>
  <si>
    <t>所属行业填错</t>
  </si>
  <si>
    <t>这里要填申万一级行业。</t>
  </si>
  <si>
    <t>T</t>
  </si>
  <si>
    <t>是否发债填写错误</t>
  </si>
  <si>
    <r>
      <rPr>
        <sz val="11"/>
        <color theme="1"/>
        <rFont val="微软雅黑"/>
        <family val="2"/>
        <charset val="134"/>
      </rPr>
      <t>从</t>
    </r>
    <r>
      <rPr>
        <b/>
        <sz val="11"/>
        <color theme="1"/>
        <rFont val="微软雅黑"/>
        <family val="2"/>
        <charset val="134"/>
      </rPr>
      <t>公司公告</t>
    </r>
    <r>
      <rPr>
        <sz val="11"/>
        <color theme="1"/>
        <rFont val="微软雅黑"/>
        <family val="2"/>
        <charset val="134"/>
      </rPr>
      <t>里搜索“债”，看是否有发行债券的事件发生，如有则填写“是”，如果没有则填“否”。</t>
    </r>
  </si>
  <si>
    <t>V</t>
  </si>
  <si>
    <t>造假方式填写错误</t>
  </si>
  <si>
    <t>仅从以下项目中选填：业务凭证造假；会计处理粉饰；资金占用。且一家公司可能涉及多个造假方式。具体定义如下：
“业务凭证造假”指编造虚假经济业务与会计凭证、建立账外账等行为，是业务层面、源头层面的错误；
“会计处理粉饰”指会计处理存在问题，例如少计费用、提前确认收入、重复确认收入、少计提折旧、减值等，最后查处是会计人员这边的问题；
“资金占用”指关联方资金占用，即上市公司控股股东、实际控制人及其他关联方占用上市公司资金，包括但不限于经营性资金占用和非经营性资金占用。</t>
  </si>
  <si>
    <t>X、Y</t>
  </si>
  <si>
    <t>处罚结果不精确</t>
  </si>
  <si>
    <t>“给予警告”和“罚款”仅包括对公司的惩罚，不包括对高管的警告或处罚，所以可能没有处罚。</t>
  </si>
  <si>
    <t>Z、AA</t>
  </si>
  <si>
    <t>资产负债相互抵消</t>
  </si>
  <si>
    <t>绝对数相加即可，不需要考虑是否存在抵消或重复</t>
  </si>
  <si>
    <t>年报和季报数据相加</t>
  </si>
  <si>
    <r>
      <rPr>
        <sz val="11"/>
        <color theme="1"/>
        <rFont val="微软雅黑"/>
        <family val="2"/>
        <charset val="134"/>
      </rPr>
      <t>季报是年内阶段性业绩报告，当年报和季报数据同时出现时，只需要取年报数据，</t>
    </r>
    <r>
      <rPr>
        <b/>
        <sz val="11"/>
        <color theme="1"/>
        <rFont val="微软雅黑"/>
        <family val="2"/>
        <charset val="134"/>
      </rPr>
      <t>否则会出现重复</t>
    </r>
    <r>
      <rPr>
        <sz val="11"/>
        <color theme="1"/>
        <rFont val="微软雅黑"/>
        <family val="2"/>
        <charset val="134"/>
      </rPr>
      <t>。例如，鲁北化工的案例，2007年短期借款造假累计金额应为3500，而不是把季报和年报都加起来。
如果是一季报和半年报，那只算半年报；如果是三季报和半年报，就算三季报；因为资产负债表是累进制的，而利润表在一年内也是累进制的，所以就看时间范围最长的</t>
    </r>
  </si>
  <si>
    <t>遗漏事项</t>
  </si>
  <si>
    <t>有些资产类相关事项都不一定放在一起，要保证看全。</t>
  </si>
  <si>
    <t>AE、AF、AJ、AK、AO、AP</t>
  </si>
  <si>
    <t>收入/利润虚增虚减相互抵消</t>
  </si>
  <si>
    <t>虚增收入和虚减收入应该被同等看待，故要绝对数相加，不能抵消。例如，斯太尔虚增 2014 年度营业收入 9,433.96 万元、虚减 2015 年度营业外收入 8,050 万元、虚增 2016 年度营业收入 18,867.92 万元，而结果是造假金额为36351.88万。</t>
  </si>
  <si>
    <t>季报是年内阶段性业绩报告，当年报和季报数据同时出现时，只需要取年报数据，否则会出现重复。例如，巴士股份的案例，2017年收入造假累计金额应为43936446.57，直接取年报数字，而不是把季报和年报都加起来。</t>
  </si>
  <si>
    <t>AJ、AO</t>
  </si>
  <si>
    <t>把利润总额当做净利润</t>
  </si>
  <si>
    <t>处罚决定书中，若直接给出“净利润”三个字，就可以写在这里；其他“利润总额”或者“利润”均当做利润总额。</t>
  </si>
  <si>
    <t>AT、AU</t>
  </si>
  <si>
    <t>资金占用概念不清</t>
  </si>
  <si>
    <t>除了直接出现“资金占用”字样，发生非经营性资金往来，并出现多次划转也算是资金占用，不能遗漏。例如，华阳科技的案例中，2008年1月发生的这笔情况就算是资金占用。</t>
  </si>
  <si>
    <t>资金占用金额重复</t>
  </si>
  <si>
    <t>资金占用主要指“资金被占用”，故为避免重复，只需要取公司被关联方占用的资金。比如，又在华阳科技的案例中，2008-2010年，华阳科技资金占用金额为1138万元。</t>
  </si>
  <si>
    <t>填写备注</t>
  </si>
  <si>
    <t>收到《立案调查通知书》日期；yyyy-mm-dd格式</t>
  </si>
  <si>
    <t>收到《行政处罚事先告知书》日期；yyyy-mm-dd格式</t>
  </si>
  <si>
    <t>收到《行政处罚决定书》日期；yyyy-mm-dd格式</t>
  </si>
  <si>
    <t>季报、半年报同样仅填列对应年份</t>
  </si>
  <si>
    <t>一季报算0.25年；半年报算0.5年；三季报算0.75年</t>
  </si>
  <si>
    <t>基于“舞弊时长”字段判断</t>
  </si>
  <si>
    <t>行政处罚书上显示是哪一种报告类型就填写哪一种，例如年报、半年报、三季报等。</t>
  </si>
  <si>
    <t>注意：
非最新审计机构</t>
  </si>
  <si>
    <t>申万一级行业</t>
  </si>
  <si>
    <t>Y/N
判断依据：
累计造假金额&gt;10亿；
OR
造假比例&gt;50%;
OR
扭亏为盈；</t>
  </si>
  <si>
    <t>仅从以下项目中选填：
给予警告；罚款；市场禁入；
“给予警告”和“罚款”仅包括对公司的惩罚</t>
  </si>
  <si>
    <t>仅包括对公司的惩罚</t>
  </si>
  <si>
    <r>
      <rPr>
        <sz val="8"/>
        <color theme="1"/>
        <rFont val="微软雅黑"/>
        <family val="2"/>
        <charset val="134"/>
      </rPr>
      <t>格式:两位小数,不要逗号;所有定期报告中涉及</t>
    </r>
    <r>
      <rPr>
        <b/>
        <sz val="8"/>
        <color theme="1"/>
        <rFont val="微软雅黑"/>
        <family val="2"/>
        <charset val="134"/>
      </rPr>
      <t>合并</t>
    </r>
    <r>
      <rPr>
        <sz val="8"/>
        <color theme="1"/>
        <rFont val="微软雅黑"/>
        <family val="2"/>
        <charset val="134"/>
      </rPr>
      <t>资产负债表数据的累计造假金额（</t>
    </r>
    <r>
      <rPr>
        <b/>
        <sz val="8"/>
        <color theme="1"/>
        <rFont val="微软雅黑"/>
        <family val="2"/>
        <charset val="134"/>
      </rPr>
      <t>绝对值相加</t>
    </r>
    <r>
      <rPr>
        <sz val="8"/>
        <color theme="1"/>
        <rFont val="微软雅黑"/>
        <family val="2"/>
        <charset val="134"/>
      </rPr>
      <t>），包括年报、半年报、季报，不包括重组文件中并购标的财务数据造假。</t>
    </r>
  </si>
  <si>
    <r>
      <rPr>
        <sz val="8"/>
        <color theme="1"/>
        <rFont val="微软雅黑"/>
        <family val="2"/>
        <charset val="134"/>
      </rPr>
      <t>格式:两位小数,不要逗号;“单年最高”即当年出具的定期报告中，造假金额（</t>
    </r>
    <r>
      <rPr>
        <b/>
        <sz val="8"/>
        <color theme="1"/>
        <rFont val="微软雅黑"/>
        <family val="2"/>
        <charset val="134"/>
      </rPr>
      <t>绝对值</t>
    </r>
    <r>
      <rPr>
        <sz val="8"/>
        <color theme="1"/>
        <rFont val="微软雅黑"/>
        <family val="2"/>
        <charset val="134"/>
      </rPr>
      <t>）最高的那份报表</t>
    </r>
  </si>
  <si>
    <t>资产负债表科目单年最高造假年份，与AA列对应的年份</t>
  </si>
  <si>
    <r>
      <rPr>
        <sz val="8"/>
        <color theme="1"/>
        <rFont val="微软雅黑"/>
        <family val="2"/>
        <charset val="134"/>
      </rPr>
      <t>格式:两位小数,不要逗号;为AB列对应年份的</t>
    </r>
    <r>
      <rPr>
        <b/>
        <sz val="8"/>
        <color theme="1"/>
        <rFont val="微软雅黑"/>
        <family val="2"/>
        <charset val="134"/>
      </rPr>
      <t>合并报表</t>
    </r>
    <r>
      <rPr>
        <sz val="8"/>
        <color theme="1"/>
        <rFont val="微软雅黑"/>
        <family val="2"/>
        <charset val="134"/>
      </rPr>
      <t>的“股东权益”期末金额</t>
    </r>
  </si>
  <si>
    <t>Factor-26/Factor-28</t>
  </si>
  <si>
    <r>
      <rPr>
        <sz val="8"/>
        <color theme="1"/>
        <rFont val="微软雅黑"/>
        <family val="2"/>
        <charset val="134"/>
      </rPr>
      <t>格式:两位小数,不要逗号;所有定期报告中涉及</t>
    </r>
    <r>
      <rPr>
        <b/>
        <sz val="8"/>
        <color theme="1"/>
        <rFont val="微软雅黑"/>
        <family val="2"/>
        <charset val="134"/>
      </rPr>
      <t>合并</t>
    </r>
    <r>
      <rPr>
        <sz val="8"/>
        <color theme="1"/>
        <rFont val="微软雅黑"/>
        <family val="2"/>
        <charset val="134"/>
      </rPr>
      <t>营业收入数据的累计造假金额（</t>
    </r>
    <r>
      <rPr>
        <b/>
        <sz val="8"/>
        <color theme="1"/>
        <rFont val="微软雅黑"/>
        <family val="2"/>
        <charset val="134"/>
      </rPr>
      <t>绝对值相加</t>
    </r>
    <r>
      <rPr>
        <sz val="8"/>
        <color theme="1"/>
        <rFont val="微软雅黑"/>
        <family val="2"/>
        <charset val="134"/>
      </rPr>
      <t>），包括年报、半年报、季报，不包括重组文件中并购标的财务数据造假。</t>
    </r>
  </si>
  <si>
    <t>营业收入单年最高造假年份，与AF列对应的年份</t>
  </si>
  <si>
    <t>格式:两位小数,不要逗号;为AG列对应年份的合并报表的营业收入金额</t>
  </si>
  <si>
    <t>Factor-31/Factor33</t>
  </si>
  <si>
    <r>
      <rPr>
        <sz val="8"/>
        <color theme="1"/>
        <rFont val="微软雅黑"/>
        <family val="2"/>
        <charset val="134"/>
      </rPr>
      <t>格式:两位小数,不要逗号;所有定期报告中涉及</t>
    </r>
    <r>
      <rPr>
        <b/>
        <sz val="8"/>
        <color theme="1"/>
        <rFont val="微软雅黑"/>
        <family val="2"/>
        <charset val="134"/>
      </rPr>
      <t>合并“</t>
    </r>
    <r>
      <rPr>
        <sz val="8"/>
        <color theme="1"/>
        <rFont val="微软雅黑"/>
        <family val="2"/>
        <charset val="134"/>
      </rPr>
      <t>利润总额”数据的累计造假金额（</t>
    </r>
    <r>
      <rPr>
        <b/>
        <sz val="8"/>
        <color theme="1"/>
        <rFont val="微软雅黑"/>
        <family val="2"/>
        <charset val="134"/>
      </rPr>
      <t>绝对值相加</t>
    </r>
    <r>
      <rPr>
        <sz val="8"/>
        <color theme="1"/>
        <rFont val="微软雅黑"/>
        <family val="2"/>
        <charset val="134"/>
      </rPr>
      <t>），包括年报、半年报、季报，不包括重组文件中并购标的财务数据造假。</t>
    </r>
  </si>
  <si>
    <t>利润总额单年最高造假年份，与AK列对应的年份</t>
  </si>
  <si>
    <t>格式:两位小数,不要逗号;为AL列对应年份的合并报表的“利润总额”金额</t>
  </si>
  <si>
    <t>Factor-36/Factor-38</t>
  </si>
  <si>
    <r>
      <rPr>
        <sz val="8"/>
        <color theme="1"/>
        <rFont val="微软雅黑"/>
        <family val="2"/>
        <charset val="134"/>
      </rPr>
      <t>格式:两位小数,不要逗号;所有定期报告中涉及</t>
    </r>
    <r>
      <rPr>
        <b/>
        <sz val="8"/>
        <color theme="1"/>
        <rFont val="微软雅黑"/>
        <family val="2"/>
        <charset val="134"/>
      </rPr>
      <t>合并“净</t>
    </r>
    <r>
      <rPr>
        <sz val="8"/>
        <color theme="1"/>
        <rFont val="微软雅黑"/>
        <family val="2"/>
        <charset val="134"/>
      </rPr>
      <t>利润”数据的累计造假金额（</t>
    </r>
    <r>
      <rPr>
        <b/>
        <sz val="8"/>
        <color theme="1"/>
        <rFont val="微软雅黑"/>
        <family val="2"/>
        <charset val="134"/>
      </rPr>
      <t>绝对值相加</t>
    </r>
    <r>
      <rPr>
        <sz val="8"/>
        <color theme="1"/>
        <rFont val="微软雅黑"/>
        <family val="2"/>
        <charset val="134"/>
      </rPr>
      <t>），包括年报、半年报、季报，不包括重组文件中并购标的财务数据造假。</t>
    </r>
  </si>
  <si>
    <t>净利润单年最高造假年份</t>
  </si>
  <si>
    <t>格式:两位小数,不要逗号;为AQ列对应年份的合并报表的“净利润”金额</t>
  </si>
  <si>
    <t>Factor-41/Factor-43</t>
  </si>
  <si>
    <t>格式:两位小数,不要逗号;优先按照发生额，其次采用余额</t>
  </si>
  <si>
    <t>格式:两位小数,不要逗号;</t>
  </si>
  <si>
    <t>资金占用单年最高造假年份</t>
  </si>
  <si>
    <t>格式:两位小数,不要逗号;为AV列对应年份的合并报表的“股东权益”期末金额</t>
  </si>
  <si>
    <t>Factor-46/Factor-48</t>
  </si>
  <si>
    <t>简述造假手段，根据行政处罚决定书填写0</t>
  </si>
  <si>
    <t>Y/N</t>
  </si>
  <si>
    <t>yyyy-mm-dd格式；1.公司主板上市：截止日期是证券上市当年剩余时间及其后2个完整会计年度
2.公司创业板/科创板/北交所上市：截止日期是证券上市当年剩余时间及其后3个完整会计年度</t>
  </si>
  <si>
    <t>Y/N；注意证券代码B列为空时需人工查看行政处罚事先告知书确认
借壳上市：否
首发上市：
       未上市时就退市（没有证券代码或证券代码以A开头）：是（但是需要人工介入决策）
       正常上市：
               公司上市前3年至保荐问责截止日期 与 造假年份 有重合的：是；
               没有重合的：否</t>
  </si>
  <si>
    <t>不放入系统中</t>
  </si>
  <si>
    <t>字段来源（共4种来源：手动输入、wind导入、自动计算和手动选择）</t>
  </si>
  <si>
    <t>此字段作为索引字段，后面字段均可通过词字段索引</t>
  </si>
  <si>
    <t>wind导入-1</t>
  </si>
  <si>
    <t>wind导入-2</t>
  </si>
  <si>
    <t>wind导入-3</t>
  </si>
  <si>
    <t>wind导入-4</t>
  </si>
  <si>
    <t>wind导入-5</t>
  </si>
  <si>
    <t>手动选择-1</t>
  </si>
  <si>
    <t>手动输入-1</t>
  </si>
  <si>
    <t>手动输入-2</t>
  </si>
  <si>
    <t>手动输入-3</t>
  </si>
  <si>
    <t>手动输入-4</t>
  </si>
  <si>
    <t>自动计算-1</t>
  </si>
  <si>
    <t>手动输入-5</t>
  </si>
  <si>
    <t>wind导入-7</t>
  </si>
  <si>
    <t>wind导入-8</t>
  </si>
  <si>
    <t>wind导入-9</t>
  </si>
  <si>
    <t>手动选择-2</t>
  </si>
  <si>
    <t>自动计算-2</t>
  </si>
  <si>
    <t>手动选择-3</t>
  </si>
  <si>
    <t>手动选择-4</t>
  </si>
  <si>
    <t>手动选择-5</t>
  </si>
  <si>
    <t>手动输入-6</t>
  </si>
  <si>
    <t>手动输入-7</t>
  </si>
  <si>
    <t>手动输入-8</t>
  </si>
  <si>
    <t>手动输入-9</t>
  </si>
  <si>
    <t>wind导入-10</t>
  </si>
  <si>
    <t>自动计算-3</t>
  </si>
  <si>
    <t>手动输入-10</t>
  </si>
  <si>
    <t>手动输入-11</t>
  </si>
  <si>
    <t>手动输入-12</t>
  </si>
  <si>
    <t>wind导入-11</t>
  </si>
  <si>
    <t>自动计算-4</t>
  </si>
  <si>
    <t>手动输入-13</t>
  </si>
  <si>
    <t>手动输入-14</t>
  </si>
  <si>
    <t>手动输入-15</t>
  </si>
  <si>
    <t>wind导入-12</t>
  </si>
  <si>
    <t>自动计算-5</t>
  </si>
  <si>
    <t>手动输入-16</t>
  </si>
  <si>
    <t>手动输入-17</t>
  </si>
  <si>
    <t>手动输入-18</t>
  </si>
  <si>
    <t>wind导入-13</t>
  </si>
  <si>
    <t>自动计算-6</t>
  </si>
  <si>
    <t>手动输入-19</t>
  </si>
  <si>
    <t>手动输入-20</t>
  </si>
  <si>
    <t>手动输入-21</t>
  </si>
  <si>
    <t>wind导入-14</t>
  </si>
  <si>
    <t>自动计算-7</t>
  </si>
  <si>
    <t>手动输入-22</t>
  </si>
  <si>
    <t>自动计算-8</t>
  </si>
  <si>
    <t>自动计算-9</t>
  </si>
  <si>
    <t>自动计算-10</t>
  </si>
  <si>
    <t>自动计算-11</t>
  </si>
  <si>
    <t>自动计算-12</t>
  </si>
  <si>
    <t>自动计算-13</t>
  </si>
  <si>
    <t>自动计算-14</t>
  </si>
  <si>
    <t>自动计算-15</t>
  </si>
  <si>
    <t>自动计算-16</t>
  </si>
  <si>
    <t>自动计算-17</t>
  </si>
  <si>
    <t>自动计算-18</t>
  </si>
  <si>
    <t>自动计算-19</t>
  </si>
  <si>
    <t>自动计算-20</t>
  </si>
  <si>
    <t>自动计算-21</t>
  </si>
  <si>
    <t>自动计算-22</t>
  </si>
  <si>
    <t>wind导入
（s_ipo_sponsor("")）</t>
  </si>
  <si>
    <t>自动计算</t>
  </si>
  <si>
    <t>wind导入
（s_info_backdoor("")）</t>
  </si>
  <si>
    <t>手动输入</t>
  </si>
  <si>
    <t>Factor-1</t>
  </si>
  <si>
    <t>Factor-2</t>
  </si>
  <si>
    <t>Factor-3</t>
  </si>
  <si>
    <t>Factor-4</t>
  </si>
  <si>
    <t>Factor-5</t>
  </si>
  <si>
    <t>Factor-6</t>
  </si>
  <si>
    <t>Factor-7</t>
  </si>
  <si>
    <t>Factor-8</t>
  </si>
  <si>
    <t>Factor-9</t>
  </si>
  <si>
    <t>Factor-10</t>
  </si>
  <si>
    <t>Factor-11</t>
  </si>
  <si>
    <t>Factor-12</t>
  </si>
  <si>
    <t>Factor-13</t>
  </si>
  <si>
    <t>Factor-14</t>
  </si>
  <si>
    <t>Factor-15</t>
  </si>
  <si>
    <t>Factor-16</t>
  </si>
  <si>
    <t>Factor-17</t>
  </si>
  <si>
    <t>Factor-18</t>
  </si>
  <si>
    <t>Factor-19</t>
  </si>
  <si>
    <t>Factor-20</t>
  </si>
  <si>
    <t>Factor-21</t>
  </si>
  <si>
    <t>Factor-22</t>
  </si>
  <si>
    <t>Factor-23</t>
  </si>
  <si>
    <t>Factor-24</t>
  </si>
  <si>
    <t>Factor-25</t>
  </si>
  <si>
    <t>Factor-26</t>
  </si>
  <si>
    <t>Factor-27</t>
  </si>
  <si>
    <t>Factor-28</t>
  </si>
  <si>
    <t>Factor-29</t>
  </si>
  <si>
    <t>Factor-30</t>
  </si>
  <si>
    <t>Factor-31</t>
  </si>
  <si>
    <t>Factor-32</t>
  </si>
  <si>
    <t>Factor-33</t>
  </si>
  <si>
    <t>Factor-34</t>
  </si>
  <si>
    <t>Factor-35</t>
  </si>
  <si>
    <t>Factor-36</t>
  </si>
  <si>
    <t>Factor-37</t>
  </si>
  <si>
    <t>Factor-38</t>
  </si>
  <si>
    <t>Factor-39</t>
  </si>
  <si>
    <t>Factor-40</t>
  </si>
  <si>
    <t>Factor-41</t>
  </si>
  <si>
    <t>Factor-42</t>
  </si>
  <si>
    <t>Factor-43</t>
  </si>
  <si>
    <t>Factor-44</t>
  </si>
  <si>
    <t>Factor-45</t>
  </si>
  <si>
    <t>Factor-46</t>
  </si>
  <si>
    <t>Factor-47</t>
  </si>
  <si>
    <t>Factor-48</t>
  </si>
  <si>
    <t>Factor-49</t>
  </si>
  <si>
    <t>Factor-50</t>
  </si>
  <si>
    <t>Factor-51</t>
  </si>
  <si>
    <t>Factor-52</t>
  </si>
  <si>
    <t>Factor-53</t>
  </si>
  <si>
    <t>Factor-54</t>
  </si>
  <si>
    <t>Factor-55</t>
  </si>
  <si>
    <t>Factor-56</t>
  </si>
  <si>
    <t>Factor-57</t>
  </si>
  <si>
    <t>Factor-58</t>
  </si>
  <si>
    <t>Factor-59</t>
  </si>
  <si>
    <t>Factor-60</t>
  </si>
  <si>
    <t>Factor-61</t>
  </si>
  <si>
    <t>Factor-62</t>
  </si>
  <si>
    <t>Factor-63</t>
  </si>
  <si>
    <t>Factor-64</t>
  </si>
  <si>
    <t>Factor-65</t>
  </si>
  <si>
    <t>Factor-66</t>
  </si>
  <si>
    <t>Factor-67</t>
  </si>
  <si>
    <t>Factor-68</t>
  </si>
  <si>
    <t>Factor-69</t>
  </si>
  <si>
    <t>Factor-70</t>
  </si>
  <si>
    <t>证券代码</t>
  </si>
  <si>
    <t>证券名称</t>
  </si>
  <si>
    <t>省份</t>
  </si>
  <si>
    <t>城市</t>
  </si>
  <si>
    <t>企业名称</t>
  </si>
  <si>
    <t>公司属性</t>
  </si>
  <si>
    <t>事件标签</t>
  </si>
  <si>
    <t>立案调查开始日期</t>
  </si>
  <si>
    <t>立案调查结束日期</t>
  </si>
  <si>
    <t>行政处罚日期</t>
  </si>
  <si>
    <t>《行政处罚事先告知书》链接</t>
  </si>
  <si>
    <t>涉及造假年份</t>
  </si>
  <si>
    <t>舞弊时长</t>
  </si>
  <si>
    <t>数据处理标签</t>
  </si>
  <si>
    <t>涉及造假年份审计机构</t>
  </si>
  <si>
    <t>上市年份</t>
  </si>
  <si>
    <t>所属行业</t>
  </si>
  <si>
    <t>是否发债</t>
  </si>
  <si>
    <t>是否严重造假案例</t>
  </si>
  <si>
    <t>造假方式</t>
  </si>
  <si>
    <t>造假科目</t>
  </si>
  <si>
    <t>处罚结果</t>
  </si>
  <si>
    <t>罚款总金额
（万元）</t>
  </si>
  <si>
    <t>资产负债表科目累计造假金额
（万元）</t>
  </si>
  <si>
    <t>资产负债表科目单年最高造假金额
（万元）</t>
  </si>
  <si>
    <t>资产负债表科目单年最高造假年份</t>
  </si>
  <si>
    <t>对外披露净资产
（万元）</t>
  </si>
  <si>
    <t>资产负债表科目造假比例</t>
  </si>
  <si>
    <t>营业收入累计造假金额（万元）</t>
  </si>
  <si>
    <t>营业收入单年最高造假金额（万元）</t>
  </si>
  <si>
    <t>营业收入单年最高造假年份</t>
  </si>
  <si>
    <t>对外披露营业收入
（万元）</t>
  </si>
  <si>
    <t>单年最高营业收入造假比例</t>
  </si>
  <si>
    <t>利润总额累计造假金额（万元）</t>
  </si>
  <si>
    <t>利润总额单年最高造假金额（万元）</t>
  </si>
  <si>
    <t>利润总额单年最高造假年份</t>
  </si>
  <si>
    <t>对外披露利润总额
（万元）</t>
  </si>
  <si>
    <t>单年最高利润总额造假比例</t>
  </si>
  <si>
    <t>净利润累计造假金额（万元）</t>
  </si>
  <si>
    <t>净利润单年最高造假金额（万元）</t>
  </si>
  <si>
    <t>对外披露净利润
（万元）</t>
  </si>
  <si>
    <t>单年最高净利润造假比例</t>
  </si>
  <si>
    <t>资金占用累计金额
（万元）</t>
  </si>
  <si>
    <t>资金占用单年最高造假金额（万元）</t>
  </si>
  <si>
    <t>单年最高资金占用造假比例</t>
  </si>
  <si>
    <t>案例详情</t>
  </si>
  <si>
    <t>资产负债科目累计造假超10亿</t>
  </si>
  <si>
    <t>资产负债科目单年最高净资产比超50%</t>
  </si>
  <si>
    <t>营业收入累计造假超10亿</t>
  </si>
  <si>
    <t>营业收入单年最高净资产比超50%</t>
  </si>
  <si>
    <t>利润总额累计造假超10亿</t>
  </si>
  <si>
    <t>利润总额单年最高净资产比超50%</t>
  </si>
  <si>
    <t>利润总额扭亏为盈</t>
  </si>
  <si>
    <t>净利润累计造假超10亿</t>
  </si>
  <si>
    <t>净利润单年最高净资产比超50%</t>
  </si>
  <si>
    <t>净利润扭亏为盈</t>
  </si>
  <si>
    <t>资金占用累计超10亿</t>
  </si>
  <si>
    <t>资金占用单年最高净资产比超50%</t>
  </si>
  <si>
    <t>资产负债科目、营业收入、利润总额、净利润、其他项目累计造假金额&gt;10亿；</t>
  </si>
  <si>
    <t>资产负债科目、营业收入、利润总额、净利润、其他项目造假比例&gt;50%;</t>
  </si>
  <si>
    <t>利润总额、净利润造假扭亏为盈；</t>
  </si>
  <si>
    <t>IPO保荐机构</t>
  </si>
  <si>
    <t>所属板块</t>
  </si>
  <si>
    <t>是否借壳上市</t>
  </si>
  <si>
    <t>IPO保荐问责截止日期</t>
  </si>
  <si>
    <t>IPO保荐问责期内是否涉假</t>
  </si>
  <si>
    <t>保荐机构受到的监管措施链接</t>
  </si>
  <si>
    <t>该企业是财政部行政处罚事项决定书，不是证监会下发的行政处罚决定书，不属于案例范畴，但目前处于立案调查阶段，之后需关注是否下发证监会的行政处罚事先告知书</t>
  </si>
  <si>
    <t>这条不用管，无需填写也不要删除改行</t>
  </si>
  <si>
    <t>http://static.sse.com.cn/disclosure/listedinfo/announcement/c/new/2023-06-17/603603_20230617_13LY.pdf</t>
  </si>
  <si>
    <t>603803.SH</t>
  </si>
  <si>
    <t>瑞斯康达</t>
  </si>
  <si>
    <t>-</t>
  </si>
  <si>
    <t>浙江省</t>
  </si>
  <si>
    <t>嘉兴市</t>
  </si>
  <si>
    <t>民营企业</t>
  </si>
  <si>
    <t>环保</t>
  </si>
  <si>
    <t>否</t>
  </si>
  <si>
    <t>会计处理粉饰</t>
  </si>
  <si>
    <t>营业收入</t>
  </si>
  <si>
    <t>给予警告；罚款</t>
  </si>
  <si>
    <t>600343.SH</t>
  </si>
  <si>
    <t>航天动力</t>
  </si>
  <si>
    <t>陕西省</t>
  </si>
  <si>
    <t>西安市</t>
  </si>
  <si>
    <t>陕西航天动力高科技股份有限公司</t>
  </si>
  <si>
    <t>中央国有企业</t>
  </si>
  <si>
    <t>财报粉饰；其他信息披露违法违规</t>
  </si>
  <si>
    <t>http://static.sse.com.cn/disclosure/listedinfo/announcement/c/new/2023-06-03/600343_20230603_DONH.pdf</t>
  </si>
  <si>
    <t>2016；2017；2018；2019；2020</t>
  </si>
  <si>
    <t>2016年年报；2017年年报；2018年年报；2019年年报；2020年年报</t>
  </si>
  <si>
    <t>中审众环会计师事务所；中兴华会计师事务所</t>
  </si>
  <si>
    <t>机械设备</t>
  </si>
  <si>
    <t>业务凭证造假</t>
  </si>
  <si>
    <t>给予警告；罚款；市场禁入</t>
  </si>
  <si>
    <t>国泰君安证券股份有限公司，中银国际证券股份有限公司</t>
  </si>
  <si>
    <t>603557.SH</t>
  </si>
  <si>
    <t>ST起步</t>
  </si>
  <si>
    <t>丽水市</t>
  </si>
  <si>
    <t>起步股份有限公司</t>
  </si>
  <si>
    <t>http://static.sse.com.cn/disclosure/listedinfo/announcement/c/new/2023-05-11/603557_20230511_UNXN.pdf</t>
  </si>
  <si>
    <t>2018；2019；2020</t>
  </si>
  <si>
    <t>2018年年报；2019年年报；2020年半年报</t>
  </si>
  <si>
    <t>广东正中珠江会计师事务所；天健会计师事务所</t>
  </si>
  <si>
    <t>纺织服饰</t>
  </si>
  <si>
    <t>是</t>
  </si>
  <si>
    <t>营业收入；营业成本</t>
  </si>
  <si>
    <t>1.通过虚构采购、销售业务虚增营业收入、营业成本、利润总额
[1]起步股份以虚构采购、销售业务等方式自2018年到2020年上半年共累计虚增营业收入3.61亿元、营业成本2.31亿元以及利润总额1.29亿元。
[2]起步股份在募集说明书中的通过虚构采购、销售业务等方式累计虚增2018年至2019年上半年营业收入1.2亿元，营业成本7814.66万元以及利润总额4193.59万元。
2. 股份代持未披露
起步股份董事长章利民代为持有起步股份股票合计2000万股，此行为未曾在2018年、2019年年度报告中对行为予以披露。</t>
  </si>
  <si>
    <t>广发证券股份有限公司</t>
  </si>
  <si>
    <t>002692.SZ</t>
  </si>
  <si>
    <t>ST远程</t>
  </si>
  <si>
    <t>江苏省</t>
  </si>
  <si>
    <t>无锡市</t>
  </si>
  <si>
    <t>远程电缆股份有限公司</t>
  </si>
  <si>
    <t>地方国有企业</t>
  </si>
  <si>
    <t>财报粉饰; 违规担保; 其他信息披露违法违规</t>
  </si>
  <si>
    <t>http://www.szse.cn/disclosure/listed/bulletinDetail/index.html?7057b443-39ac-40bd-85a3-534cdac7965f</t>
  </si>
  <si>
    <t>2017年年报</t>
  </si>
  <si>
    <t>江苏公证天业会计师事务所</t>
  </si>
  <si>
    <t>电力设备</t>
  </si>
  <si>
    <t>业务凭证造假; 会计处理粉饰；资金占用</t>
  </si>
  <si>
    <t>资金占用</t>
  </si>
  <si>
    <t>1.未履行内部审议程序提供担保
2017年10月至2018年10月，远程电缆未履行内部审议程序提供担保给关联方秦商体育并且未披露。
2.控股股东通过将借款直接转入控股股东账户占用上市公司资金
2017年11月至12月，远程电缆及其关联方作为共同借款人对外借款4笔，总计金额1.6亿元。借款资金均直接转入关联方而远程电缆未实际取得或使用借款资金。
3.未在定期报告中披露或有负债
2017年8月，远程电缆出具不具备真实商业背景的汇票并作为承兑人提供承兑服务。此行为有可能导致后续公司被持票人要求无条件付款，构成或有负债，其总金额达1.2亿元且未在2017年年度报告中披露。
4.未及时披露且未在定期报告中披露重大诉讼和仲裁
2018年4月，远程电缆因上述问题陆续引起民事诉讼和仲裁但未在2018年半年度报告中披露。</t>
  </si>
  <si>
    <t>招商证券股份有限公司</t>
  </si>
  <si>
    <t>688701.SH</t>
  </si>
  <si>
    <t>卓锦股份</t>
  </si>
  <si>
    <t>杭州市</t>
  </si>
  <si>
    <t>浙江卓锦环保科技股份有限公司</t>
  </si>
  <si>
    <t>财报粉饰</t>
  </si>
  <si>
    <t>http://static.sse.com.cn/disclosure/listedinfo/announcement/c/new/2023-04-29/688701_20230429_8RW6.pdf</t>
  </si>
  <si>
    <t>2021年年报</t>
  </si>
  <si>
    <t>天健会计师事务所</t>
  </si>
  <si>
    <t>营业成本</t>
  </si>
  <si>
    <t>1.采用将部分成本以保证金名义计入往来款的方式虚增利润
2021年下半年，卓锦股份将部分成本以保证金名义计入往来款，虚减营业成本2,796.52万元，进而虚增利润总额2,705.67万元，导致公司披露的2021年年报存在虚假记载。</t>
  </si>
  <si>
    <t>海通证券股份有限公司</t>
  </si>
  <si>
    <t>300013.SZ</t>
  </si>
  <si>
    <t>新宁物流</t>
  </si>
  <si>
    <t>河南省</t>
  </si>
  <si>
    <t>郑州市</t>
  </si>
  <si>
    <t>河南新宁现代物流股份有限公司（原名为江苏新宁现代物流股份有限公司）</t>
  </si>
  <si>
    <t>公众企业</t>
  </si>
  <si>
    <t>http://www.szse.cn/disclosure/listed/bulletinDetail/index.html?71e4d08e-9cbe-4afe-ae96-d826050f7667</t>
  </si>
  <si>
    <t>2018年年报</t>
  </si>
  <si>
    <t>上会会计师事务所</t>
  </si>
  <si>
    <t>交通运输</t>
  </si>
  <si>
    <t xml:space="preserve">1.采用伪造、虚构销售合同的方式虚增收入
2018年，新宁物流全资子公司贵州亿程、重庆亿程通过将视频卫星定位汽车行驶记录仪置换服务合同伪造成销售及服务合同、虚构车载终端销售及服务合同和技术服务合同、虚构软硬件销售合同和卫星定位汽车行驶记录仪销售与服务合同等方式，虚增对贵州成黔天骄出租汽车服务有限公司及其关联公司等多方的营业收入合计1.05亿元，占新宁物流2018年年度报告披露营业收入的10.06%。 </t>
  </si>
  <si>
    <t>东吴证券股份有限公司</t>
  </si>
  <si>
    <t>002781.SZ</t>
  </si>
  <si>
    <t>奇信股份</t>
  </si>
  <si>
    <t>江西省</t>
  </si>
  <si>
    <t>新余市</t>
  </si>
  <si>
    <t>深圳市奇信集团股份有限公司</t>
  </si>
  <si>
    <t>财报粉饰；经营不当；其他信息披露违法违规</t>
  </si>
  <si>
    <t>http://www.szse.cn/disclosure/listed/bulletinDetail/index.html?0dc52bd3-c5e1-4183-9f2a-bec495463c04</t>
  </si>
  <si>
    <t>2015；2016；2017；2018；2020</t>
  </si>
  <si>
    <t>2015年年报；2016年年报；2017年年报；2018年年报；2019年年报</t>
  </si>
  <si>
    <t>天职国际会计师事务所</t>
  </si>
  <si>
    <t>建筑装饰</t>
  </si>
  <si>
    <t>业务凭证造假；会计处理粉饰</t>
  </si>
  <si>
    <t>营业收入；营业成本；其他成本</t>
  </si>
  <si>
    <t>1.信息披露违法违规
[1]《招股说明书》存在虚假记载
2015年12月11日，奇信股份披露《首次公开发行股票招股说明书》。2012、2013、2014年及2015年上半年，奇信股份通过签订虚假或放大金额的工程合同、对内部承包项目少计成本、体外支付少计费用等方式，分别虚增收入总额2.56、1.34、1.25、1.76亿元，虚增成本总额2.24、1.18、1.00、1.44亿元，少计成本总额1.92、2.31、3.40、1.48亿元（2013、2014年分别少计费用总额365.18、520.92万元），分别虚增利润总额2.24、2.51、3.70、1.81亿元，占当期披露利润总额的127.21%、131.96%、162.94%、157.56%。
[2] 上市后定期报告存在虚假记载
奇信股份于2015年至2019年连续五年虚增利润总额总计17.85亿元，导致公司经追溯调整后连续5年净利润为负。2015年至2019年年度报告中，奇信股份通过签订虚假或放大金额的工程合同、对内部承包项目少计成本、体外支付少计费用等方式，分别虚增收入总额4.37、2.87、0.22、0.43、0.04亿元，虚增成本总额3.68、2.41、0.20、0.39、0.05亿元，少计成本总额2.95、2.70、3.81、3.71、3.10亿元，少计费用总额0.06、0.08、0.14、0.03、0.02亿元，虚增利润总额3.71、3.25、3.97、3.79、3.12亿元，分别占当期披露利润总额的179.68%、203.47%、201.35%、158.94%、242.64%。
2.在公告的证券发行文件中编造重大虚假内容
2020年3月，奇信股份公告《2020年非公开发行公司债券（第一期）发行公告》。4月，奇信股份公告《募集说明书》，其中所含2017年、2018年财务数据存在前述年度报告中的重大虚假内容。</t>
  </si>
  <si>
    <t>安信证券股份有限公司</t>
  </si>
  <si>
    <t>600122.SH</t>
  </si>
  <si>
    <t>*ST宏图</t>
  </si>
  <si>
    <t>南京市</t>
  </si>
  <si>
    <t>江苏宏图高科技股份有限公司</t>
  </si>
  <si>
    <t>http://static.sse.com.cn/disclosure/listedinfo/announcement/c/new/2023-04-19/600122_20230419_O6ZG.pdf</t>
  </si>
  <si>
    <t>2017；2018；2019；2020；2021</t>
  </si>
  <si>
    <t>2017年年报；2018年年报；2019年年报；2020年年报；2021年年报</t>
  </si>
  <si>
    <t>江苏苏亚金诚会计师事务所；苏亚金诚会计师事务所</t>
  </si>
  <si>
    <t>商贸零售</t>
  </si>
  <si>
    <t>营业收入；营业成本；非经营性负债</t>
  </si>
  <si>
    <t>1.2017至2021年年度报告中虚增收入和利润、虚减负债，存在虚假记载
[1] 虚构交易，虚增收入和利润
2017至2018年，ST宏图通过与关联公司虚构购销业务，合计虚增收入120亿元，虚增利润8.09亿元，虚增利润占当年披露利润的比例最高达38.98%。
[2] 虚减负债
2017至2021年，ST宏图通过与银行等发生未进行账务处理的融资，导致其2017至2021年财务报表累计虚减负债481.8亿元，占当期披露负债的比例最高达106.40%。
2.2017至2021年年度报告未按规定披露关联方担保事项
2017年10月，ST宏图关联方上海越神实业有限公司与海通恒信国际租赁股份有限公司签订《国内保理合同》，约定上海越神向海通恒信申请保理融资2.1亿元。同日，ST宏图与海通恒信签订《担保合同》，约定由ST宏图为上述借款提供连带责任保证。截止2021年末，上海越神尚未偿还全部借款，ST宏图仍承担担保义务。ST宏图未在2017至2021年年度报告中披露其对关联方担保事项，构成重大遗漏。</t>
  </si>
  <si>
    <t>华泰证券股份有限公司，国泰君安证券股份有限公司</t>
  </si>
  <si>
    <t>603669.SH</t>
  </si>
  <si>
    <t>灵康药业</t>
  </si>
  <si>
    <t>西藏自治区</t>
  </si>
  <si>
    <t>山南市</t>
  </si>
  <si>
    <t>灵康药业集团股份有限公司</t>
  </si>
  <si>
    <t>http://static.sse.com.cn/disclosure/listedinfo/announcement/c/new/2023-04-12/603669_20230412_UHL2.pdf</t>
  </si>
  <si>
    <t>2021年半年报</t>
  </si>
  <si>
    <t>医药生物</t>
  </si>
  <si>
    <t>1.未按规定披露非经营性关联交易
2021年1月至3月，灵康药业实控人陶灵萍与财务总监张俊珂以借款名义将灵康药业资金累计1.5亿元划转至关联方益冠实业银行账户，灵康药业应在2021年半年报中披露该非经营性关联交易，但灵康药业直到2021年年报才予以披露。</t>
  </si>
  <si>
    <t>中信证券股份有限公司</t>
  </si>
  <si>
    <t>300495.SZ</t>
  </si>
  <si>
    <t>*ST美尚</t>
  </si>
  <si>
    <t>广东省</t>
  </si>
  <si>
    <t>深圳市</t>
  </si>
  <si>
    <t>美尚生态景观股份有限公司</t>
  </si>
  <si>
    <t>财报粉饰；其他信息披露违规</t>
  </si>
  <si>
    <t>http://www.szse.cn/disclosure/listed/bulletinDetail/index.html?4047b51c-dfb9-4633-bfea-13b391239648</t>
  </si>
  <si>
    <t>2015；2016；2017；2018；2019；2020</t>
  </si>
  <si>
    <t>2015年年报；2016年年报；2017年年报；2018年年报；2019年年报；2020年半年报</t>
  </si>
  <si>
    <t>天衡会计师事务所；中天运会计师事务所；中兴华会计师事务所</t>
  </si>
  <si>
    <t>业务凭证造假；会计处理粉饰；资金占用</t>
  </si>
  <si>
    <t>营业收入；营业成本；其他收入；经营性资产；资金占用</t>
  </si>
  <si>
    <t>1.2015年招股说明书、2015年至2019年年报、2020年半年报等信息披露文件存在虚假记载
美尚生态通过提前确认应收账款收回、虚记银行利息收入等方式，于2012至2019年以及2020年上半年累计虚增净利润4.57亿元，导致相关招股说明书、定期报告、发行文件中存在虚假记载。
2.未按规定披露关联交易及资金占用
2012至2020年，美尚生态实控人王迎燕通过关联方与美尚生态发生关联交易并非经营性占用大额资金。截止2020年底，累计非经营性占用美尚生态资金余额为9.82亿元，美尚生态未按规定及时披露，导致2015年招股说明书、2015至2019年年报、2020年半年报等文件存在重大遗漏。
3.未按规定披露重大诉讼事项
截至2021年8月30日（半年报披露日），美尚生态未披露的诉讼累计20起，涉案金额累计4.37亿元，占当期报告净资产的18.56%。
4.未如实披露控股股东归还资金占用情况
美尚生态于2021年7至8月发布临时公告及2021年半年报称，公司于2021年6月30日收到控股股东归还占用资金3亿元。实际上，公司收到3亿元后次日，该笔资金即原路转回，该占用资金实际未归还。
5.非公开发行股票行为构成欺诈发行
2019年3月，美尚生态非公开发行股票上市，申报披露的三年一期财务数据期间为2015年至2018年1-9月，非公开发行期间存在实控人王迎燕非经营性资金占用情形、三年一期财务报表存在虚假记载情形，不符合发行条件，美尚生态以欺骗手段骗取发行核准。</t>
  </si>
  <si>
    <t>300370.SZ</t>
  </si>
  <si>
    <t>*ST安控</t>
  </si>
  <si>
    <t>四川省</t>
  </si>
  <si>
    <t>宜宾市</t>
  </si>
  <si>
    <t>http://www.szse.cn/disclosure/listed/bulletinDetail/index.html?ae9f54b1-7cff-4c98-b55a-91e6ec9cc57d</t>
  </si>
  <si>
    <t>2019年年报</t>
  </si>
  <si>
    <t>容诚会计师事务所</t>
  </si>
  <si>
    <t>经营性资产</t>
  </si>
  <si>
    <t>1.2019年年报未按规定单项计提坏账准备
截至2019年12月31日，安控科技全资子公司杭州青鸟应收慈溪金轮540.58万元、深圳标盛1,080.97万元。慈溪金轮、深圳标盛已被列为失信被执行人，且当年未回款或回款较少，但公司仅按照账龄分别计提坏账损失73.69万元、308.91万元，构成虚假记载。
2.2019年年报未按规定对子公司进行商誉减值测试并计提商誉减值准备
截至2019年12月31日，安控科技合并报表商誉账面价值2.77亿元，公司未聘请评估机构对相关资产组进行评估，未进行商誉减值测试，未按规定计提商誉减值准备，构成虚假记载。
2021年4月23日，安控科技披露《北京安控科技股份有限公司关于前期会计差错更正的公告》，将2019年合并财务报表“应收账款”金额调减1,238.95万元。对2019年末商誉减值测试进行追溯评估，并将2019年合并财务报表“商誉”金额调减2,144.88万元。更正后安控科技2019年合并财务报表净利润由盈转亏。</t>
  </si>
  <si>
    <t>000826.SZ</t>
  </si>
  <si>
    <t>启迪环境</t>
  </si>
  <si>
    <t>湖北省</t>
  </si>
  <si>
    <t>宜昌市</t>
  </si>
  <si>
    <t>启迪环境科技发展股份有限公司（原名为启迪桑德环境资源股份有限公司）</t>
  </si>
  <si>
    <t>http://www.szse.cn/disclosure/listed/bulletinDetail/index.html?3d2607bc-eb39-4197-a4c8-7013b16c2a14</t>
  </si>
  <si>
    <t>2017；2018</t>
  </si>
  <si>
    <t>2017年年报；2018年年报</t>
  </si>
  <si>
    <t>大信会计师事务所</t>
  </si>
  <si>
    <t>1.2017年、2018年年度报告存在虛假记载
2017年-2018年间，启迪桑德通过伪造宜昌、荆州、吉首、南宁四个项目的业务凭证，合计虚增2017年主营业务收入6.63亿元，主营业务成本5.32亿元，利润总额1.31亿元，占当期披露利润总额的8.70%；虚增2018年主营业务收入3.67亿元，主营业务成本2.59亿元，利润总额1.08亿元，占当期披露利润总额的12.99%。
[1] 启迪桑德通过伪造宜昌项目的《分包合同》《产值确认表》及《成本工程验收单》等原始凭证，将2018年实际发生的一部分成本及收入提前在2017年进行确认。导致启迪桑德2017年虛增该项目主营业务收入2.39亿元，主营业务成本1.81亿元；虛减2018年该项目主营业务收入0.45亿元，主营业务成本0.32亿元。
[2] 启迪桑德通过将吉首项目2018年实际发生的一部分成本及收入提前在2017年进行确认，导致2017年虛增该项目主营业务收入3.92亿元，主营业务成本3.29亿元；虛减2018年该项目主营业务收入0.16亿元，主营业务成本0.13亿元。
[3] 启迪桑德通过提前确认荆州项目2017年的成本及收入，虚增2017年该项目主营业务收入0.32亿元；主营业务成本0.22亿元。
[4] 启迪桑德通过提前确认南宁项目2018年的成本及收入，虚增2018年该项目主营业务收入4.28亿元；主营业务成本3.04亿元。
2.2019年公开发行绿色公司债券募集说明书存在虛假记载
2019年9月，启迪桑德向合格投资者披露了债券募集说明书，其中所含2017年、2018年财务数据虚假记载。</t>
  </si>
  <si>
    <t>中信建投证券有限公司</t>
  </si>
  <si>
    <t>000525.SZ</t>
  </si>
  <si>
    <t>红太阳</t>
  </si>
  <si>
    <t>南京红太阳股份有限公司</t>
  </si>
  <si>
    <t>http://www.szse.cn/disclosure/listed/bulletinDetail/index.html?3794b252-b997-465b-b865-c264962f2657</t>
  </si>
  <si>
    <t>2018年年报；2019年半年报；2019年年报；2020年半年报</t>
  </si>
  <si>
    <t>立信会计师事务所；立信中联会计师事务所</t>
  </si>
  <si>
    <t>基础化工</t>
  </si>
  <si>
    <t>1.未按规定披露控股股东及其关联方非经营性占用资金的关联交易
红太阳及其子公司于2012至2016年间向控股股东南一农集团及其关联方提供存货、资金的关联交易，涉及金额合计1.25亿元，累积影响至《2018年年度报告》《2019年半年度报告》。2018年，红太阳及其子公司向南一农集团及其关联方提供资金发生关联交易，期末未披露的非经营性资金占用余额为1.40亿元（占当年经审计净资产的2.95%）。2019年上半年，红太阳及其子公司向南一农集团及其关联方提供资金发生关联交易，期末未披露的非经营性资金占用余额为14.90亿元（占当期期末净资产的29.81%）。
2.虚假记载控股股东及其关联方未实质归还占用资金情况
2020年1至6月，控股股东南一农集团及其关联方对红太阳公司非经营性占用资金发生额为0.85亿元。截至2020年6月29日，南一农集团及其关联方累计占用红太阳资金30.02亿元。2020年1至6月，红太阳收到南一农集团和江苏劲力银行转账及背书转让的银票合计30.04亿元。同期，红太阳为南一农集团、红太阳集团开票融资提供质押担保累计29.97亿元，占收款总额的99.75%，红太阳控股股东及其关联方未实质归还占用资金。红太阳在《2019年年度报告》《2020年半年度报告》《关于控股股东及其关联方归还上市公司非经营性占用资金的公告》中披露控股股东及其关联方不存在非经营性资金占用，存在虚假记载。
3.未及时披露控股股东股份冻结相关事项
2019年10月，南京市鼓楼区人民法院、安徽省合肥市中级人民法院依法冻结控股股东南一农集团所持红太阳股份合计达到并超过总股本的5%。直至2020年3月，红太阳才发布《关于控股股东、实际控制人及持股5%以上股东所持公司股份被质押及冻结等事项的公告》。</t>
  </si>
  <si>
    <t>北京市海问投资咨询有限责任公司，招商银行股份有限公司</t>
  </si>
  <si>
    <t>600589.SH</t>
  </si>
  <si>
    <t>*ST榕泰</t>
  </si>
  <si>
    <t>揭阳市</t>
  </si>
  <si>
    <t>广东榕泰实业股份有限公司</t>
  </si>
  <si>
    <t>http://static.sse.com.cn/disclosure/listedinfo/announcement/c/new/2023-03-23/600589_20230323_5NRK.pdf</t>
  </si>
  <si>
    <t>大华会计师事务所</t>
  </si>
  <si>
    <t>1.未按规定披露关联交易，相关披露存在虚假记载
2021年，ST榕泰与关联方发生非经营性资金往来14.30亿元，其中，5.43亿元用于归还实控人杨宝生个人对外拆借款和其他个人债务、相关公司股权融资、银行贷款以及杨宝生经营的房地产业务等，8.87亿元为杨宝生出于规避银行借贷监管、借新还旧、应对交易所问询和审计机构核查等目的，短期内从上市公司转入转出。ST榕泰未按规定及时予以披露。2021年7月，ST榕泰披露《关于上海证券交易所对公司2020年年度报告的信息披露监管问询函的回复公告》，其中“关于资金占用及偿还情况”部分的回复内容存在虚假记载。
2.未按规定及时披露重大诉讼及进展情况
2021年11月8日至12月24日期间、2022年1月6日至3月26日期间，ST榕泰分别知悉与河北银行、农业银行揭阳分行等银行的诉讼情况并收到相关诉讼文书，涉案金额合计11.69亿元，但未及时披露上述重大诉讼情况，分别迟至2021年12月31日、2022年4月8日才披露。2022年4月15日，知悉法院判决其向交通银行揭阳分行支付借款本金6,750万元及相关利息、罚息等诉讼进展，但迟至2022年5月10日才披露。</t>
  </si>
  <si>
    <t>国泰君安证券股份有限公司，广东证券股份有限公司</t>
  </si>
  <si>
    <t>603007.SH</t>
  </si>
  <si>
    <t>ST花王</t>
  </si>
  <si>
    <t>镇江市</t>
  </si>
  <si>
    <t>花王生态工程股份有限公司</t>
  </si>
  <si>
    <t>http://static.sse.com.cn/disclosure/listedinfo/announcement/c/new/2023-03-16/603007_20230316_888I.pdf</t>
  </si>
  <si>
    <t>中汇会计师事务所</t>
  </si>
  <si>
    <t>1.未按规定披露关联方非经营性资金占用
2019年，花王股份以项目备用金借款等名义划出资金，通过多个中间方账户最终划转至实际控制人肖国强、关联方花王集团等账户，导致实控人及其关联方违规占用公司资金共计8,200 万元，实质构成对花王股份资金的非经营性占用，但花王股份在2019年年度报告中未按规定披露该关联交易。</t>
  </si>
  <si>
    <t>中泰证券股份有限公司</t>
  </si>
  <si>
    <t>300201.SZ</t>
  </si>
  <si>
    <t>海伦哲</t>
  </si>
  <si>
    <t>徐州市</t>
  </si>
  <si>
    <t>徐州海伦哲专用车辆股份有限公司</t>
  </si>
  <si>
    <t>http://www.szse.cn/disclosure/listed/bulletinDetail/index.html?9a9e3480-16c0-4e3a-b7a1-5050b3b64bcf</t>
  </si>
  <si>
    <t>2016；2017；2018；2019</t>
  </si>
  <si>
    <t>2016年年报；2017年年报；2018年年报；2019年年报</t>
  </si>
  <si>
    <t>1.2016-2019年年度报告涉嫌存在虚假记载
2016年至2019年期间，全资子公司连硕科技通过虚构销售合同和采购合同以及资金流转，导致海伦哲2016-2019年年度报告合计虚增营业收入6.92亿元、利润总额2.89亿元。
2.未按期披露2022年半年度报告
截至2022年8月31日，海伦哲未在规定期限内披露公司2022年半年度报告。</t>
  </si>
  <si>
    <t>民生证券股份有限公司</t>
  </si>
  <si>
    <t>300273.SZ</t>
  </si>
  <si>
    <t>*ST和佳</t>
  </si>
  <si>
    <t>珠海市</t>
  </si>
  <si>
    <t>珠海和佳医疗设备股份有限公司</t>
  </si>
  <si>
    <t>http://www.szse.cn/disclosure/listed/bulletinDetail/index.html?8b9ec367-de84-4934-a43a-ba4e85f205f7</t>
  </si>
  <si>
    <t>2020；2021</t>
  </si>
  <si>
    <t>2020年年报；2021年半年报；2021年年报</t>
  </si>
  <si>
    <t>亚太（集团）会计师事务所</t>
  </si>
  <si>
    <t>营业收入；资金占用</t>
  </si>
  <si>
    <t>1.未按规定披露关联方资金占用情况
和佳医疗实际控制人郝镇熙、蔡孟珂夫妇以虚假融资租赁业务、员工借款的名义，于2020年、2021年上半年合计对外划转5.06亿元用于偿还个人债务。和佳医疗未按规定在2020年年度报告和2021年半年度报告中披露关联方资金占用情况。
2.2020至2021年年度报告存在虚假记载
2020年至2021年，和佳医疗通过虚假融资租赁业务累计虚增收入1.02亿元，虚减2020年利润571.63万元，虚增2021年利润705.45万元。</t>
  </si>
  <si>
    <t>诚通证券股份有限公司</t>
  </si>
  <si>
    <t>300310.SZ</t>
  </si>
  <si>
    <t>宜通世纪</t>
  </si>
  <si>
    <t>广州市</t>
  </si>
  <si>
    <t>宜通世纪科技股份有限公司（原名为广东宜通世纪科技股份有限公司）</t>
  </si>
  <si>
    <t>http://www.szse.cn/disclosure/listed/bulletinDetail/index.html?0698fdb9-9f19-4fb5-866a-314fd85212d3</t>
  </si>
  <si>
    <t>立信会计师事务所</t>
  </si>
  <si>
    <t>通信</t>
  </si>
  <si>
    <t>1.2017年年度报告存在虚假记载
2017年5至12月，宜通世纪全资子公司倍泰健康通过财务舞弊行为，虚增收入9,734.39万元，虚增成本5,260.99万元，虚增利润总额4,083.86万元，导致宜通世纪披露的《2017年年度报告》《2017年年度报告（更新后）》存在虚假记载。</t>
  </si>
  <si>
    <t>002089.SZ</t>
  </si>
  <si>
    <t>新海宜</t>
  </si>
  <si>
    <t>苏州市</t>
  </si>
  <si>
    <t>新海宜科技集团股份有限公司</t>
  </si>
  <si>
    <t>http://www.szse.cn/disclosure/listed/bulletinDetail/index.html?9e9f3dfd-44ef-4470-abbf-c848549ec269</t>
  </si>
  <si>
    <t>2014；2015；2016；2017；2018；2019</t>
  </si>
  <si>
    <t>2014-2019年年报；2019年半年报</t>
  </si>
  <si>
    <t>华普天健会计师事务所；大信会计师事务所；中天运会计师事务所</t>
  </si>
  <si>
    <t>营业收入；营业成本；其他成本；非经营性资产；非经营性负债</t>
  </si>
  <si>
    <t>1.参与虚假自循环业务，虚增收入、利润
新海宜通过直接或设立子公司方式参与专网通信虚假自循环业务，该业务无实物流转，仅是合同、单据及资金上的流转。2014年至2019年8月31日，新海宜在不实际控制新海宜电子的情况下，将其纳入合并报表范围，从而虚增收入、利润。2019年9月，新海宜不再将新海宜电子纳入合并范围，但通过确认投资收益虚增利润。
该事项导致新海宜合并报表层面2014年至2019年上半年虚增销售收入共计37.41亿元、虚增销售成本共计32.18亿元，2014年至2019年虚增利润总额共计5.63亿元。
2.会计处理不当，导致2019年年报存在虚假记载
[1]2019年新海宜参股公司陕西通家关于山东国金新能源补贴收入前期会计差错更正处理错误，新海宜根据权益法核算错误追溯调减期初长期股权投资和投资收益，并由于陕西通家当期巨额亏损对其长期股权投资账面余额减记为零，使得新海宜2019年虚减期初长期股权投资1,961.48万元，少确认投资损失1,961.48万元。
[2]2019年中天运会计师事务所对新海宜年报审计过程中，发现2018年审计存在调整错误，导致陕西通家2018年少确认补贴收入1,428.13万元。但中天运会计师事务所未追溯调整2018年年报，而是冲减当期的应收账款信用减值损失，导致新海宜长期股权投资期初少计543.69万元。2019年陕西通家巨额亏损，新海宜按比例应确认的投资损失远远超过长期股权投资账面金额，该事项使新海宜少确认投资损失543.69万元。
[3]新海宜2019年年报中未对陕汽控股向公司提起诉讼的情况进行及时准确披露，披露信息与法院一审判决的实际情况不符。另外，新海宜预计负债确认金额未考虑逾期利息的影响，使得公司2019年少计提预计负债78.05万元。
上述三个事项共导致2019年度新海宜多计利润总额2,583.22万元。</t>
  </si>
  <si>
    <t>平安证券股份有限公司</t>
  </si>
  <si>
    <t>002499.SZ</t>
  </si>
  <si>
    <t>*ST科林</t>
  </si>
  <si>
    <t>科林环保装备股份有限公司</t>
  </si>
  <si>
    <t>http://www.szse.cn/disclosure/listed/bulletinDetail/index.html?bf2b6c82-cafa-4125-9249-e2886818380c</t>
  </si>
  <si>
    <t>永拓会计师事务所</t>
  </si>
  <si>
    <t>1.收入确认方法错误，虚增营业收入和营业成本
[1]2021年，科林环保子公司易有乐的信息技术服务业务交易实质为代充值业务，公司在该业务中的身份是代理人，但错误采用总额法确认新媒体广告投放业务收入，导致2021年年报虚增营业收入6,719.35万元，虚增营业成本6,719.35万元。</t>
  </si>
  <si>
    <t>中原证券股份有限公司</t>
  </si>
  <si>
    <t>300555.SZ</t>
  </si>
  <si>
    <t>路通视信</t>
  </si>
  <si>
    <t>无锡路通视信网络股份有限公司</t>
  </si>
  <si>
    <t>http://www.szse.cn/disclosure/listed/bulletinDetail/index.html?6899cd06-eb92-425b-b071-1460cbc4ad85</t>
  </si>
  <si>
    <t>2021；2022</t>
  </si>
  <si>
    <t>2021年年报；2022年半年报</t>
  </si>
  <si>
    <t>中天运会计师事务所</t>
  </si>
  <si>
    <t>1.未按规定披露关联方非经营性资金占用事项
2021年9月至2022年7月期间，林竹组织、指使相关人员以预付货款、对外股权投资或支付投资诚意金的名义，通过多个中间方将路通视信资金划转至华晟云城等关联人银行账户，累计发生资金占用1.56亿元。2021年和2022年1-6月分别发生非经营性资金占用8,650.00万元和4,030.00万元。
路通视信未按规定进行披露，导致信息披露不及时且2021年年报、2022年半年报存在重大遗漏。</t>
  </si>
  <si>
    <t>申万宏源证券承销保荐有限责任公司</t>
  </si>
  <si>
    <t>002321.SZ</t>
  </si>
  <si>
    <t>*ST华英</t>
  </si>
  <si>
    <t>信阳市</t>
  </si>
  <si>
    <t>河南华英农业发展股份有限公司</t>
  </si>
  <si>
    <t>http://www.szse.cn/disclosure/listed/bulletinDetail/index.html?38c7abc2-3174-459d-9408-d1c89244f8b9</t>
  </si>
  <si>
    <t>2020年年报</t>
  </si>
  <si>
    <t>农林牧渔</t>
  </si>
  <si>
    <t>其他成本</t>
  </si>
  <si>
    <t>1.少记多种费用，虚增利润总额
2020年，华英农业通过少记管理费用、财务费用及营业外支出等方式，虚增利润总额1.68亿元。</t>
  </si>
  <si>
    <t>光大证券股份有限公司</t>
  </si>
  <si>
    <t>000700.SZ</t>
  </si>
  <si>
    <t>模塑科技</t>
  </si>
  <si>
    <t>江阴市</t>
  </si>
  <si>
    <t>江南模塑科技股份有限公司</t>
  </si>
  <si>
    <t>http://www.szse.cn/disclosure/listed/bulletinDetail/index.html?43517a53-051f-472d-a5f8-f0264d82c726</t>
  </si>
  <si>
    <t>2019；2020；2021</t>
  </si>
  <si>
    <t>2019-2021年年报</t>
  </si>
  <si>
    <t>公证天业会计师事务所</t>
  </si>
  <si>
    <t>汽车</t>
  </si>
  <si>
    <t>1.多确认收入、少确认成本及费用，虚增利润总额
[1]模塑科技将2019年技术开发服务收入2,220.00万元在2020年确认，且未扣除代垫费用679.30万元，导致2020年年报虚增利润总额合计2,899.30万元。
[2]模塑科技要求供应商配合提供虚假采购折扣以虚减成本100.00万元，并将2020年员工奖金费用197.71万元在2021年确认，导致2020年年报虚增利润总额合计297.71万元。</t>
  </si>
  <si>
    <t>688656.SH</t>
  </si>
  <si>
    <t>浩欧博</t>
  </si>
  <si>
    <t>江苏浩欧博生物医药股份有限公司</t>
  </si>
  <si>
    <t>http://static.sse.com.cn/disclosure/listedinfo/announcement/c/new/2022-12-24/688656_20221224_UPH7.pdf</t>
  </si>
  <si>
    <t>1.未按规定披露非经营性关联交易
[1]2021年度，浩欧博及子公司通过向股东划拨资金的方式，由公司实际控制人陈涛形成非经营性资金占用，发生额合计1700.96万元，其中1700万元已全部归还。上述关联人非经营性资金占用情况，公司未履行审议程序、未及时进行临时公告。</t>
  </si>
  <si>
    <t>华泰联合证券有限责任公司</t>
  </si>
  <si>
    <t>002397.SZ</t>
  </si>
  <si>
    <t>梦洁股份</t>
  </si>
  <si>
    <t>湖南省</t>
  </si>
  <si>
    <t>长沙市</t>
  </si>
  <si>
    <t>湖南梦洁家纺股份有限公司</t>
  </si>
  <si>
    <t>http://www.szse.cn/disclosure/listed/bulletinDetail/index.html?b557775b-eadb-4a59-8a9c-1f2f2acf09cb=</t>
  </si>
  <si>
    <t>2021年年报；2022一季报</t>
  </si>
  <si>
    <t>纺织服装</t>
  </si>
  <si>
    <t>未按规定披露非经营性关联交易
1.2021年度，梦洁股份通过员工、供应商、设立基金等渠道，以转账、支付基金管理费、股权投资等方式，由董事长姜天武（原实际控制人）、副董事长李菁、董事会秘书李军、董事李建伟、原持股5%以上股东张爱纯共同形成非经营性资金占用，发生额合计为11,598.00万元。 
2.2022年一季度，梦洁股份通过员工、子公司资金周转等方式，由姜天武、李菁、李军、李建伟、张爱纯共同形成非经营性资金占用，发生额合计为1,800.00万元。</t>
  </si>
  <si>
    <t>601727.SH</t>
  </si>
  <si>
    <t>上海电气</t>
  </si>
  <si>
    <t>上海</t>
  </si>
  <si>
    <t>上海市</t>
  </si>
  <si>
    <t>上海电气集团股份有限公司</t>
  </si>
  <si>
    <t>http://static.sse.com.cn/disclosure/listedinfo/announcement/c/new/2022-12-10/601727_20221210_FDKT.pdf</t>
  </si>
  <si>
    <t>普华永道中天会计师事务所</t>
  </si>
  <si>
    <t>其他成本；经营性资产</t>
  </si>
  <si>
    <t>1.未及时披露相关重大事件
截至2021年4月30日，上海电气已知悉其可能因电气通讯开展专网通信业务产生的应收账款逾期等而发生经营业绩亏损或大幅变动，根据规定应在2021年5月7日之前披露，但上海电气直至2021年5月30日才发布《关于公司重大风险的提示公告》披露相关情况。
2.少计提应收账款坏账准备，虚增利润
在2020年年报中，上海电气就专网通信业务下游客户的应收账款按组合仅计提坏账准备5,752.14万元，未能恰当计量应收账款的预期信用损失，导致应收账款坏账准备少计提5.18亿元，多计利润总额5.18亿元，占上海电气当期利润总额的8.16%。</t>
  </si>
  <si>
    <t>600260.SH</t>
  </si>
  <si>
    <t>凯乐科技</t>
  </si>
  <si>
    <t>荆州市</t>
  </si>
  <si>
    <t>湖北凯乐科技股份有限公司</t>
  </si>
  <si>
    <t>集体企业</t>
  </si>
  <si>
    <t>http://static.sse.com.cn/disclosure/listedinfo/announcement/c/new/2022-12-03/600260_20221203_K7E1.pdf</t>
  </si>
  <si>
    <t>2016-2020年年报</t>
  </si>
  <si>
    <t>1.开展自循环业务，虚增收入和利润
    [1]2016年至2020年，凯乐科技与隋田力合作开展“专网通信”业务，合作期间，凯乐科技仅在2016年存在少量专网通信业务。其他专网通信业务均为虚假，仅是按照合同规定伪造采购入库、生产入库、销售入库等单据，没有与虚假专网通信业务匹配的生产及物流，以此虚增收入、利润。
    [2]2016年至2020年，凯乐科技分别虚增营业收入41.26亿元、110.98亿元、146.38亿元、136.17亿元和77.46亿元，虚增营业成本39.49亿元、101.77亿元、126.70亿元、114.68亿元和60.88亿元，虚增利润总额1.77亿元、9.21亿元、16.31亿元、17.56亿元和14.51亿元。2018年到2020年，凯乐科技分别虚增研发费用3.37亿元、3.93亿元和2.07亿元。</t>
  </si>
  <si>
    <t>长江证券有限责任公司</t>
  </si>
  <si>
    <t>002211.SZ</t>
  </si>
  <si>
    <t>宏达新材</t>
  </si>
  <si>
    <t>上海宏达新材料股份有限公司</t>
  </si>
  <si>
    <t>http://www.szse.cn/disclosure/listed/bulletinDetail/index.html?3dfec14a-4f40-407a-b608-708789fb6226=</t>
  </si>
  <si>
    <t>2019；2020</t>
  </si>
  <si>
    <t>2019年年报；2020年年报</t>
  </si>
  <si>
    <t>营业收入；营业成本；其他成本；非经营性资产</t>
  </si>
  <si>
    <t>1.开展自循环业务，虚增收入和利润
    2019年，成为宏达新材实际控制人的隋田力将惯用伎俩——开展专网通信自循环业务引入宏达新材。隋田力以控制的其他关联公司为业务通道公司，使其以资金过账和合同单据流转的方式参与自循环贸易并收取1.5%-2%通道费。
    2019年和2020年，宏达新材通过专网通信业务分别虚增收入2.47亿元和4.89亿元，虚增成本2.17亿元和3.86亿元，虚增利润总额0.30亿元和1.03亿元。
2.未计提商誉减值，虚增利润
    2019年10月，宏达新材以2.25亿元价格现金收购上海观峰100%股权时，管理层对未来的盈利预测仅基于上海观峰收购时的贴片业务。
    从2020年开始，为掩盖商誉存在明显减值并完成对赌业绩，杨鑫提议并由隋田力决定，在上海观峰开展大规模的组装业务。宏达新材2020年末在进行商誉减值测试时，相关资产组未来现金流除贴片业务外，还包含大量引入的组装业务,认定的资产组与商誉初始确认时认定的资产组(仅包含贴片业务)不一致，导致公司未计提商誉减值，虚增利润7,580.00万元，
3.未按照规定披露实际控制人
    2019年1月5日宏达新材发布公告称公司原控股股东持有的公司股份已过户至上海鸿孜企业发展有限公司(以下简称上海鸿孜)名下，公司的实际控制人变更为杨鑫。
隋田力与上海鸿孜的法定代表人杨鑫约定，由上海鸿孜代隋田力持有上述宏达新材股权，隋田力为宏达新材的实际控制人。但宏达新材2019年年报和2020年年报披露的公司实际控制人均为杨鑫。</t>
  </si>
  <si>
    <t>国信证券有限责任公司</t>
  </si>
  <si>
    <t>600532.SH</t>
  </si>
  <si>
    <t>未来股份</t>
  </si>
  <si>
    <t>上海智汇未来医疗服务股份有限公司</t>
  </si>
  <si>
    <t>财报粉饰；其他信息披露违法违规；违规担保</t>
  </si>
  <si>
    <t>http://static.sse.com.cn/disclosure/listedinfo/announcement/c/new/2022-11-24/600532_20221124_SMTD.pdf</t>
  </si>
  <si>
    <t>2020年年报；2020-2021年半年报；2021年三季报；2021年一季报</t>
  </si>
  <si>
    <t>中审亚太会计师事务所</t>
  </si>
  <si>
    <t>煤炭</t>
  </si>
  <si>
    <t>会计处理粉饰；资金占用</t>
  </si>
  <si>
    <t>资金占用；经营性资产</t>
  </si>
  <si>
    <t>1.未按规定披露关联关系、关联担保和资金占用
[1]未来股份实际控制人俞倪荣至少在2019年12月1日之前实际享有上海启宁能源化工有限公司（以下简称“上海启宁”）经营管理权。但公司未在2019年、2020年年报中披露与上海启宁的关联关系
[2]2019年12月，未来股份全资子公司深圳宏达医疗管理有限公司（以下简称“深圳宏达”）未经规定审批程序先后共质押7亿元定期存单为上海启宁委托第三方代为借入的银行贷款提供担保，直至2020年12月才解除质押。2020年12月，深圳宏达再次未经规定审批程序先后共质押5亿元定期存单为上海启宁向银行借入的相关贷款提供担保，直至2021年6月才解除质押。
[3]2020年12月至2021年12月，深圳宏达未经规定审批程序向上海启宁区指定的第三方资金划转累计44.49亿元，并在案涉期间日常并未实际开展经营业务，实质构成关联方非经营性资金占用和关联交易。其中2020年12月和2021年度分别划转资金13亿元和31.49亿元。
2.财务报表货币资金存在虚假记载
公司未将前述资金占用及相关关联交易所涉资金变动情况在案涉期间披露的财务报表如实入账反映，导致2020年报、2021年一季报、半年度和三季报分别虚增货币资金6亿元、11.00亿元、16.01亿元和17.45亿元。
2022年4月27日与6月30日，公司均发布会计差错更正公告，分别披露“2020年末虚增货币资金6亿元”、“案涉货币资金虚假记载情况并对会计差错进行更正和追溯调整”事宜。 
3.未在法定期限内披露2021年年报
2022年4月29日，未来股份已完成2021年年报编制，但董事长俞倪荣提议不接受“无法表示意见”的审计报告，并主张延期披露年报。该事项获得董事会同意，公司直至2022年6月30日才披露年报。</t>
  </si>
  <si>
    <t>002383.SZ</t>
  </si>
  <si>
    <t>合众思壮</t>
  </si>
  <si>
    <t>北京</t>
  </si>
  <si>
    <t>北京市</t>
  </si>
  <si>
    <t>北京合众思壮科技股份有限公司</t>
  </si>
  <si>
    <t>http://www.szse.cn/disclosure/listed/bulletinDetail/index.html?9031ee95-5744-411a-8b1c-fcb58500aee8</t>
  </si>
  <si>
    <t>2017；2018；2019；2020</t>
  </si>
  <si>
    <t>2017-2020年年报</t>
  </si>
  <si>
    <t>北京兴华会计师事务所；信永中和会计师事务所；上会会计师事务所</t>
  </si>
  <si>
    <t>国防军工</t>
  </si>
  <si>
    <t>1.虚构多项业务，虚增营业收入
[1]通过虚构雷达相关业务虚增收入和利润
合众思壮虚构向虞洋实际控制的公司采购雷达等产品后再销售给虞洋指定或安排的通道公司，通道公司经过多道流转后又回到虞洋控制的公司，形成空转循环贸易业务，导致2017至2019年分别虚增收入1.19亿元、4.73亿元和1.72亿元，虚增利润总额1,080.79万元、4,880.73万元和96.15万元。
[2]虚构专网通信业务虚增收入和利润
合众思壮以开展专网通信业务为名，与隋田力指定企业开展自循环业务，导致2017至2020年分别虚增收入金额5.34亿元、2.31亿元、1.19亿元和5516.44万元，虚增利润总额4,492.36万元、1.95亿元，1.31亿元和5516.44万元。
[3] 虚构软件销售和技术服务费收入
合众思壮为了结算和创智建的部分专网通信业务利润，虚构采购软件及技术服务业务，虚增2017年收入和利润总额各3,359.33万元。
2.跨期确认票据贴现费用，虚减财务费用
2017年至2018年，合众思壮为了调节利润，未及时将本应自己承担的贴现费用入账，而由和创智建先行垫付贴现费用，导致2017至2019年分别虚减财务费用1,238.75万元、7,471.52万元和3,040.49万元。</t>
  </si>
  <si>
    <t>600310.SH</t>
  </si>
  <si>
    <t>桂东电力</t>
  </si>
  <si>
    <t>广西壮族自治区</t>
  </si>
  <si>
    <t xml:space="preserve"> 贺州市</t>
  </si>
  <si>
    <t>广西桂东电力股份有限公司</t>
  </si>
  <si>
    <t>http://www.sse.com.cn/disclosure/listedinfo/announcement/c/new/2022-11-21/600310_20221121_QXSH.pdf</t>
  </si>
  <si>
    <t>2019年年报；2020年半年报</t>
  </si>
  <si>
    <t>公用事业</t>
  </si>
  <si>
    <t>1.通过无商业实质的交易，虚增营业收入
2019年，桂东电力以旗下由同一经营团队控制的3家子公司互相作为销售端和采购端，分别与中油海能（大连）石油化工有限公司等4家公司开展闭环贸易，导致桂东电力2019年年报虚增营业收入35.42亿元、虚增营业成本32.52亿元。
2.2020年半年报存在重大错报
桂东电力在2020年半年报中，对子公司永盛石化、恒润筑邦、广东桂胜新能源科技有限公司开展的贸易业务多记营业收入32.86亿元，多记营业成本32.86亿元，构成虚假记载。
2020年年报已对上述数据进行了调整。</t>
  </si>
  <si>
    <t>国泰君安证券股份有限公司,海通证券股份有限公司</t>
  </si>
  <si>
    <t>688555.SH</t>
  </si>
  <si>
    <t>泽达易盛</t>
  </si>
  <si>
    <t>天津</t>
  </si>
  <si>
    <t>天津市</t>
  </si>
  <si>
    <t>泽达易盛（天津）科技股份有限公司</t>
  </si>
  <si>
    <t>http://static.sse.com.cn/disclosure/listedinfo/announcement/c/new/2022-11-19/688555_20221119_KSZU.pdf</t>
  </si>
  <si>
    <t>2016；2017；2018；2019；2020；2021</t>
  </si>
  <si>
    <t>招股说明书（2016、2017、2018、2019）；2020-2021年年报</t>
  </si>
  <si>
    <t>计算机</t>
  </si>
  <si>
    <t>营业收入；经营性资产；资金占用</t>
  </si>
  <si>
    <t>1.虚构业务，虚增营业收入和利润总额
泽达易盛通过公司和全资子公司通过签订虚假合同、开展虚假业务等方式，在涵盖期间为2016-2019年的招股说明书、2020年年报和2021年年报中，分别虚增营业收入0.36亿元、0.74亿元、1.18亿元、1.15亿元、1.52亿元和0.71亿元，分别虚增利润总额0.22亿元、0.37亿元、0.62亿元、0.65亿元、0.82亿元和0.27亿元。
其中，2021年，泽达易盛通过与盈发信息科技（厦门）有限公司签订虚假托管协议，虚增托管费672.62万元，虚减利润672.62万元。
2.未按规定如实披露关联交易
泽达易盛从2017年到2020年，通过买入杭南资产管理（杭州）有限公司（以下简称杭商资产）的私募基金产品，再让资金经过杭商资产实际转入泽达易盛或披露或未披露的关联方，形成资金占用事实。各年金额分别为0.50亿元、0.80亿元、0.70亿元和1.20亿元。
3.多付预付款，虚增在建工程
2021年，泽达易盛预付浙江观滔智能科技有限公司（以下简称浙江观滔）设备款4,269.06万元。其中，预付浙江观滔3,632.06万元设备款对应的在建工程没有对应实际成本发生，虚增在建工程3,632.06万元。69.06万元。其中，预付浙江观滔3,632.06万元设备款对应的在建工程没有对应实际成本发生，虚增在建工程3,632.06万元。</t>
  </si>
  <si>
    <t>东兴证券股份有限公司</t>
  </si>
  <si>
    <t>http://www.sse.com.cn/disclosure/credibility/supervision/measures/focus/c/0a87a4fb-d22b-49a5-9e33-88e522bbe39f.pdf</t>
  </si>
  <si>
    <t>688086.SH</t>
  </si>
  <si>
    <t>紫晶存储</t>
  </si>
  <si>
    <t>梅州市</t>
  </si>
  <si>
    <t>广东紫晶信息存储技术股份有限公司</t>
  </si>
  <si>
    <t>http://www.sse.com.cn/disclosure/listedinfo/announcement/c/new/2022-11-19/688086_20221119_F64X.pdf</t>
  </si>
  <si>
    <t>招股说明书（2017、2018、2019年上半年）；2019-2020年年报</t>
  </si>
  <si>
    <t>致同会计师事务所；容诚会计师事务所；立信会计师事务所</t>
  </si>
  <si>
    <t>1.开展虚假业务和提前确认收入，虚增营业收入和利润
紫晶存储通过上述手段分别导致招股说明书涉及的2017年、2018年和2019年上半年、2019年年报和2020年年报营业收入分别虚增4,349.73万元、1.11亿元、6,693.95万元、2.71亿元和3.41亿元；进而导致利润总额分别虚增2,162.71万元、3,903.63万元、2,532.67万元、1.45亿元和1.70亿元。
2.未按规定披露对外担保
[1]紫晶存储《招股说明书》涉嫌未按规定披露的2016年末、2017年末以及2019年上半年末对外担保余额分别为1,000.00万元、1,000.00万元、7,500.12万元。截至招股说明书签署日，未按规定披露对外担保余额合计1.35亿元。
[2]紫晶存储在2019年年报中涉嫌遗漏披露1.45亿元定期存单质押对外担保事项，2020年和2021年分别涉嫌未按规定及时披露1.75亿元和4.18亿元对外担保事项，其中2020年均未在年报中披露，2021年有1.67亿元未在年报中披露。</t>
  </si>
  <si>
    <t>中信建投证券股份有限公司</t>
  </si>
  <si>
    <t>http://www.sse.com.cn/disclosure/credibility/supervision/measures/criticism/c/37af2a1f-0fb7-426e-a2d1-71c286c8ae5a.pdf</t>
  </si>
  <si>
    <t>300256.SZ</t>
  </si>
  <si>
    <t>星星科技</t>
  </si>
  <si>
    <t>萍乡市</t>
  </si>
  <si>
    <t>江西星星科技股份有限公司</t>
  </si>
  <si>
    <t>http://www.szse.cn/disclosure/listed/bulletinDetail/index.html?4e7f1209-f522-4dce-aa5a-b9dff22f5cee</t>
  </si>
  <si>
    <t>2019-2020年年报</t>
  </si>
  <si>
    <t>电子</t>
  </si>
  <si>
    <t>营业收入；营业成本；非经营性资产；其他成本</t>
  </si>
  <si>
    <t>1.虚构业务，导致营业收入和利润总额虚增
[1]虚构销售业务，虚增营业收入
2019和2020年，其多个子公司通过虚构销售业务，虚增营业收入13.84亿元和31.92亿元。
[2]虚构租赁和加工业务，虚增营业收入
2019和2020年，其多个子公司通过虚构租赁和加工业务，虚增营业收入5,519.36万元和6,581.32万元。
2.虚构采购业务和采购折扣，虚增营业成本
2019和2020年，其多个子公司通过虚构采购，虚增营业成本4.02亿元和15.74亿元；子公司星星触控通过与供应商约定虚假折扣，虚减营业成本419.91万元和154.81万元。
3.少计提商业减值损失，虚增非经营性资产
由于星星触控和星星精密通过上述方式虚增营业收入，星星科技在2019年和2020年对它们进行商誉减值测试所依据的财务基础数据错误，从而少计提商誉减值损失。
2021年12月30日，星星科技披露了会计差错更正公告。
更正后，2019年星星科技对收购星星触控和星星精密形成的商誉分别补计提减值4,901.01万元和9,770.94万元，共1.47亿元。2020年分别补计提减值2.57亿元和4.73亿元，共7.29亿元。</t>
  </si>
  <si>
    <t>国信证券股份有限公司</t>
  </si>
  <si>
    <t>600463.SH</t>
  </si>
  <si>
    <t>空港股份</t>
  </si>
  <si>
    <t>北京空港科技园区股份有限公司</t>
  </si>
  <si>
    <t>http://www.sse.com.cn/disclosure/listedinfo/announcement/c/new/2022-11-15/600463_20221115_1L3O.pdf</t>
  </si>
  <si>
    <t>2019年年报；2020年一季报；2020年半年报；2020年三季报</t>
  </si>
  <si>
    <t>房地产</t>
  </si>
  <si>
    <t>经营性资产；资金占用</t>
  </si>
  <si>
    <t>1.金融工具重分类错误，导致虚假记载
执行新金融工具准则后，空港股份将其与子公司天慧科技发展有限公司对3家私募基金的本应确认为以公允价值计量且其变动计入当期损益的金融资产的投资，错误地指定为以公允价值计量且其变动计入其他综合收益的金融资产，导致上述投资本应计入其他综合收益的公允价值变动被错误地计入了当期损益。
空港股份因为以上会计处理错误虚减2019年利润总额883.11万元，亦因上述会计处理错误和项目退出款处理错误导致空港股份2020年第一季度报告、半年报和第三季度报告分别虚增利润总额222.94万元、547.53万元和1,047.65万元。
空港股份于2021年4月17日、2021年4月30日，主动披露更正前述会计差错事项。
2.未及时披露关联交易事项
2020年9月27日、2020年10月11日，空港股份与关联方亿兆地产签订《借款合同》，亿兆地产续借前期借款，合同金额分别为0.80亿元和1.20亿元，合计占空港股份最近一期经审计净资产15.89%。依据披露标准，空港股份应当在签订《借款合同》后及时披露前述关联交易事项，但空港股份未在2020年9月27日、2020年10月11日后两个交易日内披露前述关联交易事项，直至2021年4月16日才披露，未依法及时履行信息披露义务。</t>
  </si>
  <si>
    <t>瑞银证券有限责任公司,东方证券股份有限公司</t>
  </si>
  <si>
    <t>000587.SZ</t>
  </si>
  <si>
    <t>金洲慈航</t>
  </si>
  <si>
    <t>黑龙江省</t>
  </si>
  <si>
    <t>伊春市</t>
  </si>
  <si>
    <t>金洲慈航集团股份有限公司</t>
  </si>
  <si>
    <t>http://www.szse.cn/disclosure/listed/bulletinDetail/index.html?698be3d2-bc78-41d3-aab3-555d1ee8f77b</t>
  </si>
  <si>
    <t>2016；2017；2018</t>
  </si>
  <si>
    <t>2016-2018年年报</t>
  </si>
  <si>
    <t>营业收入；非经营性资产；经营性资产；资金占用</t>
  </si>
  <si>
    <t>1.重大资产重组期间隐瞒关联方交易。
2.2016年至2018年在未经审议程序的情况下向关联方提供非经营性资金450310.00万元。
3.2016年至2017年虚构交易，虚增营业收入11.31亿元、虚增利润总额11.31亿元、虚增存货17.79亿元。
4.2017年虚假债权收益权转让，虚减资产减值损失1.62亿元，虚增利润总额1.62亿元。</t>
  </si>
  <si>
    <t>黑龙江省国际信托投资公司,国泰君安证券股份有限公司</t>
  </si>
  <si>
    <t>600734.SH</t>
  </si>
  <si>
    <t>*ST实达</t>
  </si>
  <si>
    <t>福建省</t>
  </si>
  <si>
    <t>福州市</t>
  </si>
  <si>
    <t>福建实达集团股份有限公司</t>
  </si>
  <si>
    <t>http://static.sse.com.cn/disclosure/listedinfo/announcement/c/new/2022-10-28/600734_20221028_1_FCTNfAG3.pdf</t>
  </si>
  <si>
    <t>2018；2019</t>
  </si>
  <si>
    <t>2018-2019年年报</t>
  </si>
  <si>
    <t>立信中联会计师事务所</t>
  </si>
  <si>
    <t>营业收入；营业成本；其他成本；经营性资产</t>
  </si>
  <si>
    <t>2018年*ST 实达通过虚增与智慧海派相关业务、虚构与中兴发展相关循环购销业务以虚增收入和成本，及虚增出口服务业务从而虚增收入和成本，总计虚增2018年营业收入12.50亿元，占当期营业收入18.49%，虚增营业成本12.48亿元，少计财务费用196.46万元，最终虚增净利润326.71万元。
2019年，*ST 实达对合并深圳兴飞形成的商誉减值测试中少计提资产组中除商誉外其他资产（固定资产、无形资产、长期待摊费用）的资产减值8788.56万元，进而虚增2019年度净利润8788.56万元，虚增2019年度净资产8788.56万元，占当期期末经审计净资产绝对值的18.77% 。</t>
  </si>
  <si>
    <t>兴业证券股份有限公司,国泰君安证券股份有限公司</t>
  </si>
  <si>
    <t>300478.SZ</t>
  </si>
  <si>
    <t>杭州高新</t>
  </si>
  <si>
    <t>杭州高新橡塑材料股份有限公司</t>
  </si>
  <si>
    <t>http://www.szse.cn/disclosure/listed/bulletinDetail/index.html?9cafbf2e-d050-4bde-ae3f-0c5f11ae417a</t>
  </si>
  <si>
    <t>1.未入账与披露关联方资金占用事项
[1]2018年2月至2019年7月期间，时为杭州高新实际控制人、董事长的高长虹通过杭州高新向供应商支付采购款并间接划转至高长虹控制的企业或其债权人等方式占用公司资金。2018年累计发生额6.36亿元，2019年累计发生额11.43亿元。
[2]2019年3月22日，高长虹私自借出杭州高新公章，并以杭州高新名义与黄素凤签订借款合同，借款金额0.30亿元。杭州高新认可黄素凤将上述借款通过上海中色科技有限公司（以下简称上海中色）账户划出，并授权黄素凤将上述款项划付至时为杭州高新控股股东且由高长虹控制的高兴控股集团有限公司（以下简称高兴集团）。当日，上海中色分三笔各0.10亿元划款至高兴集团账户。
2.未披露关联担保等事项
高长虹通过私自借出杭州高新公章等手段在2018年为自己套现共计为自己套现0.37亿元、为自己的贷款提供还款担保1202.81万元，在2019年为高兴集团4笔合计1.67亿元共同借款，但杭州高新未及时披露，也未在2018年和2019年年报中披露以上事项。</t>
  </si>
  <si>
    <t>002176.SZ</t>
  </si>
  <si>
    <t>江特电机</t>
  </si>
  <si>
    <t>宜春市</t>
  </si>
  <si>
    <t>江西特种电机股份有限公司</t>
  </si>
  <si>
    <t>http://www.szse.cn/disclosure/listed/bulletinDetail/index.html?23bd21cb-b6f7-4090-863c-722028161c72</t>
  </si>
  <si>
    <t>2017-2018年年报</t>
  </si>
  <si>
    <t>有色金属</t>
  </si>
  <si>
    <t>营业收入；经营性资产</t>
  </si>
  <si>
    <t>2017年至2018年期间，江特电机间接控股子公司宜春银锂新能源有限责任公司通过与其相关客户开展无实物流转的虚构交易，虚增营业收入、存货和利润。
1.其中2017年虚增营业收入2,693.85万元，虚增利润总额 2,693.85万元，分别占江特电机2017年年报披露营业收入和利润总额的0.8%、8.18%
2.其中2018年虚增营业收入6,740.32万元，虚增存货9,529.58万元，累计虚增利润总11,103.56万元，分别占江特电机2018年年报披露营业收入、存货、利润总额的2.23%、10.77%、6.39%。</t>
  </si>
  <si>
    <t>国金证券股份有限公司</t>
  </si>
  <si>
    <t>833266.BJ</t>
  </si>
  <si>
    <t>生物谷</t>
  </si>
  <si>
    <t>云南省</t>
  </si>
  <si>
    <t>昆明市</t>
  </si>
  <si>
    <t>云南生物谷药业股份有限公司</t>
  </si>
  <si>
    <t>http://www.bse.cn/disclosure/2022/2022-09-09/1662725992_926986.pdf</t>
  </si>
  <si>
    <t>2021年年报；2022一季报；2022半年报</t>
  </si>
  <si>
    <t>信永中和会计师事务所</t>
  </si>
  <si>
    <t>罚款；市场禁入</t>
  </si>
  <si>
    <t>1.以委托理财名义占用资金
2021年8月至2022年3月，为满足金沙江投资资金需求，林艳和安排时任生物谷董事会秘书兼财务总监贺元以实施委托理财名义，通过银丰泰基金管理有限公司及金沙江投资控制的深圳市本道机械设备有限公司等多家公司累计向金沙江投资提供非经营性资金2.77亿元，其中2021年度占用资金1.22亿元，2022年1月至3月占用资金1.55亿元。
2.以占用贴现资金占用资金
2021年11月至2022年1月，林艳和安排贺元以开展票据贴现业务名义，先后将生物谷银行承兑汇票0.79亿元背书给北京伟鸿科技有限公司等3家机构，但3家机构并未将贴现资金转给生物谷，而是转给了金沙江投资，形成资金占用，金沙江投资以占用贴现资金的方式实际占用了生物谷的银行承兑汇票，其中2021年度占用0.67亿元，2022年1月份占用0.12亿元。</t>
  </si>
  <si>
    <t>国新证券股份有限公司</t>
  </si>
  <si>
    <t>http://www.bse.cn/uploads/6/file/public/202207/20220712185211_xe8spp3as9.pdf</t>
  </si>
  <si>
    <t>002501.SZ</t>
  </si>
  <si>
    <t>利源精制</t>
  </si>
  <si>
    <t>吉林省</t>
  </si>
  <si>
    <t>辽源市</t>
  </si>
  <si>
    <t>吉林利源精制股份有限公司</t>
  </si>
  <si>
    <t>http://www.szse.cn/disclosure/listed/bulletinDetail/index.html?b4f4ab08-49d0-4c5d-afa9-490d18e22188</t>
  </si>
  <si>
    <t>2015；2016；2017；2018</t>
  </si>
  <si>
    <t>2015-2018年年报</t>
  </si>
  <si>
    <t>中准会计师事务所</t>
  </si>
  <si>
    <t>1.伪造业务结算单等多种业务凭证，虚增营业收入
2015年至2017年，利源精制及其全资子公司沈阳利源通过伪造业务结算单、出库单相关销售单据，虚开销售发票的方式，虚构销售业务，同时通过伪造银行回单凭证的方式，虚构销售回款，累计虚增营业收入19.29亿元。2015至2017年分别虚增营业收入5.97亿元、7.71亿元和5.61亿元。
2.虚增在建工程工程量，虚增在建工程和固定资产、虚增固定资产折旧
[1]2015年至2018年，沈阳利源通过虚增在建工程工程量的方式，虚增在建工程，同时，在2015年至2017年向施工方虚假支付工程款，导致利源精制虚增2015至2018年分别虚增在建工程26.75亿元、14.58亿元、18.59亿元和2.92亿元。
[2]2017年至2018年，沈阳利源陆续将虚增在建工程转入固定资产，导致利源精制虚增2017年和2018年年报期末固定资产29.04亿元和33.81亿元。
[3]2017年至2018年，沈阳利源将虚增的固定资产计提折旧，导致利源精制虚增2017年和2018年年报期末固定资产折旧额319.49万元和1.12亿元。 
3.虚增营业收入和固定资产折旧，虚增利润
2015年至2017年，利源精制通过虚增营业收入的方式，分别虚增利润总额2.11亿元、2.73亿元和1.98亿元。 
由于利源精制2017年、2018年虚增固定资产折旧，2017和2018年利源精制分别虚减利润总额319.49万元和1.12亿元。 
4.银行存款虚假记账，虚增货币资金余额
2015年至2017年，利源精制通过虚假记账方式分别虚增银行存款导致货币资金余额虚增1.86亿元、0.74亿元和2.00万元。</t>
  </si>
  <si>
    <t>http://www.csrc.gov.cn/jilin/c103788/c6696685/content.shtml</t>
  </si>
  <si>
    <t>600387.SH</t>
  </si>
  <si>
    <t>ST海越</t>
  </si>
  <si>
    <t>诸暨市</t>
  </si>
  <si>
    <t>海越能源集团股份有限公司</t>
  </si>
  <si>
    <t>http://static.sse.com.cn/disclosure/listedinfo/announcement/c/new/2022-09-06/600387_20220906_1_vCcTpuPs.pdf</t>
  </si>
  <si>
    <t>2020年半年报</t>
  </si>
  <si>
    <t>中审众环会计师事务所</t>
  </si>
  <si>
    <t>石油石化</t>
  </si>
  <si>
    <t>1.2020年2月25日、4月8日、4月9日，海越能源向关联方海南承睦分别提供0.40亿元、0.50亿元、6.85亿元
2.2020年4月9日、4月21日，海越能源向关联方海南科赛分别提供3.60亿元、2.40亿元
3.2020年5月25日、5月26日，海越能源向关联方海南禧越分别提供4.14亿元、1.93亿元。</t>
  </si>
  <si>
    <t>华夏证券股份有限公司</t>
  </si>
  <si>
    <t>000038.SZ</t>
  </si>
  <si>
    <t>*ST大通</t>
  </si>
  <si>
    <t>深圳大通实业股份有限公司</t>
  </si>
  <si>
    <t>http://www.szse.cn/disclosure/listed/bulletinDetail/index.html?b937f097-abe5-47da-9dd6-b1e369684398</t>
  </si>
  <si>
    <t>2016；2017</t>
  </si>
  <si>
    <t>2016-2017年年报</t>
  </si>
  <si>
    <t>综合</t>
  </si>
  <si>
    <t>1.子公司视科传媒虚构广告业务，虚增营业收入和利润总额 
[1]2015年至2017年，视科传媒及其子公司与夏东明开发的浙江普弘文化投资管理有限公司（以下简称普弘文化）、杭州君亭实业有限公司（以下简称君亭实业）、杭州棋瑞贸易有限公司（以下简称棋瑞贸易）等17家客户，签订了24份虚构的广告业务合同。截至2018年12月31日，上述业务回款不完全或未回款。其中普弘文化、君亭实业、棋瑞贸易等客户的业务回款来自夏东明或者其控制的账户。
上述行为导致深大通累计虚增收入1.62亿元，相应虚增利润总额1.62亿元，其中，2016年虚增营业收入0.96亿元，相应虚增利润总额0.96亿元，占当期披露利润总额的31.4%；2017年虚增营业收入0.65亿元，相应虚增利润总额0.65亿元，占当期披露利润总额的14.5%。</t>
  </si>
  <si>
    <t>000616.SZ</t>
  </si>
  <si>
    <t>ST海投</t>
  </si>
  <si>
    <t>辽宁省</t>
  </si>
  <si>
    <t>大连市</t>
  </si>
  <si>
    <t>海航投资集团股份有限公司</t>
  </si>
  <si>
    <t>http://www.szse.cn/disclosure/listed/bulletinDetail/index.html?9ead8a55-9007-467a-85a8-ebe3d067998c</t>
  </si>
  <si>
    <t>2017-2021年半年报；2016-2020年年报</t>
  </si>
  <si>
    <t>非银金融</t>
  </si>
  <si>
    <t>1.未披露2018年质押存单为海航资产提供担保、2019年为海投控股签署质押合同
2.隐瞒2019年至2020年的非经营性资金往来事项，并在报告节点附近与关联方互相挪用资金以“账实相符”</t>
  </si>
  <si>
    <t>中国中金财富证券有限公司</t>
  </si>
  <si>
    <t>600515.SH</t>
  </si>
  <si>
    <t>ST基础</t>
  </si>
  <si>
    <t>海南省</t>
  </si>
  <si>
    <t>海口市</t>
  </si>
  <si>
    <t>海南机场设施股份有限公司</t>
  </si>
  <si>
    <t>http://static.sse.com.cn/disclosure/listedinfo/announcement/c/new/2022-08-25/600515_20220825_6_NJQGN41v.pdf</t>
  </si>
  <si>
    <t>2018-2020半年报；2018-2019年年报</t>
  </si>
  <si>
    <t>1.未及时披露和未披露非经营性关联方交易 
[1]2018年，ST基础向海航集团等关联方转出交易36.73亿元，分别转入交易0.03亿元、38.42亿元和64.99亿元，交易金额分别合计36.76亿元、56.44亿元和165.36亿元。半年报和年报中，分别未披露非经营性关联交易转出交易7.41亿元和14.98亿元，转入交易0.03亿元（年报），被占用资金余额12.58亿元和20.12亿元。
[2]2019年，ST基础向海航集团等关联方转出交易18.02亿元。半年报和年报中，分别未披露非经营性关联交易转出交易11.58 亿元和10.95亿元，转入交易32.35亿元和9.59亿元，被占用资金余额21.10亿元和21.48亿元。
[3]2020年，ST基础向海航集团等关联方转出交易100.37亿元。半年报中，ST基础未披露非经营性关联交易转出交易77.64亿元，转入交易38.11亿元，未披露被占用资金余额61.00亿元。
2.未及时披露和未披露关联担保事项
[1]2018年，ST基础为海航集团等关联方提供31笔关联担保，担保金额148.14亿元，其中13笔关联担保迟至2021年1月30日才首次披露。半年报和年报中，分别未披露担保余额190.40亿元和143.42亿元。
[2]2019年，ST基础为海航集团等关联方提供8笔关联担保，担保金额36.96亿元，其中2笔关联担保迟至2021年1月30日才首次披露。半年报和年报中，分别未披露担保余额156.35亿元和149.29亿元。
[3]2020年3月，ST基础为海航实业提供1笔担保，担保金额1.06亿元，占最近一期经审计净资产的0.38%。半年报中未披露担保余额152.61亿元。</t>
  </si>
  <si>
    <t>广发证券股份有限公司,东兴证券股份有限公司</t>
  </si>
  <si>
    <t>000564.SZ</t>
  </si>
  <si>
    <t>ST大集</t>
  </si>
  <si>
    <t>供销大集集团股份有限公司</t>
  </si>
  <si>
    <t>http://www.szse.cn/disclosure/listed/bulletinDetail/index.html?ffed0736-255d-4573-b2e0-7625eb7696e8</t>
  </si>
  <si>
    <t>2017-2020年半年报；2017-2019年年报</t>
  </si>
  <si>
    <t>1.未按规定披露非经营性关联交易事项
[1]通过委托理财的方式发生非经营性关联方交易
2019年和2020年，ST大集分别与湖南湘乐商贸等关联方、海南启德盈慧等关联方通过投资理财的方式发生非经营性关联交易97.00亿元和40.00亿元。
[2]通过定期存单或结构性存款质押发生非经营性关联交易
2020年上半年，ST大集与海航物流、海南易生大集通过定期存单质押导致的资金划扣方式发生非经营性关联交易9.27亿元。2020年下半年，ST大集与海航商控、海南易生大集、湖南湘乐商贸、上海尚融等通过定期存单及结构性存款质押导致的资金扣划的方式发生非经营性关联交易41.11亿元。
2021年上半年，ST大集与海航商控、海南易生大集通过定期存单质押导致的资金划扣方式发生非经营性关联交易3.11亿元。
[3]通过关联股权投资发生非经营性交易
2020年，ST大集与海南易生大集通过哈尔滨中国集投资发展有限公司的关联股权投资发生非经营性关联交易9.79亿元。
2.未按规定披露关联担保事项
[1]2017年上半年，ST大集以定期存单、房产为海航商控融资提供担保，涉及金额39.00亿元。2017年下半年，ST大集以定期存单为海航商控融资提供担保，涉及金额5.00亿元。2017年全年，ST大集担保金额共44亿元。
[2]2018年上半年，ST大集为海航商控等关联方提供房产抵押及信用保证，涉及金额15.90亿元。2018年下半年，ST大集为海航商控等关联方定单质押及信用保证，涉及金额8.10亿元。2018年全年，ST大集担保金额共24.00亿元。
[3]2019年全年，ST大集担保金额共45.78亿元。
[4]2020年上半年，ST大集以定期存单、土地抵押为海南易生大集等关联方提供担保，涉及金额3.50亿元。</t>
  </si>
  <si>
    <t>海通证券股份有限公司,华鑫证券有限责任公司</t>
  </si>
  <si>
    <t>600221.SH</t>
  </si>
  <si>
    <t>ST海航</t>
  </si>
  <si>
    <t>海南航空控股股份有限公司</t>
  </si>
  <si>
    <t>http://static.sse.com.cn/disclosure/listedinfo/announcement/c/new/2022-08-11/600221_20220811_2_aVRYecAM.pdf</t>
  </si>
  <si>
    <t>1.未及时披露及未在定期报告中披露非经营性关联交易
[1]2018年，ST海航发生非经营性关联交易834.24亿元，其中转出444.02亿元、转入390.22亿元。半年报和年报中，ST海航分别未披露非经营性关联交易转出234.52亿元和444.02亿元，转入239.10亿元和390.22亿元，被占用余额63.27亿元和121.65亿元。
[2]2019年，ST海航发生非经营性关联交易413.51亿元，其中转出218.55亿元、转入194.96亿元。半年报和年报中，ST海航分别未披露非经营性关联交易转出117.40亿元和218.55亿元，转入交易81.75亿元和194.96亿元，被占用余额157.31亿元和145.24亿元。
[3]2020年，ST海航发生非经营性关联交易404.40亿元，其中转出315.97亿元、转入88.43亿元。半年报中，ST海航未披露非经营性关联交易转出163.19亿元，转入交易27.15亿元，被占用余额281.28亿元。
2.未及时披露及未在定期报告中披露关联担保
[1]2018年，ST海航未及时披露担保金额207.89亿元。半年报和年报中分别未披露担保余额332.46亿元和345.49亿元。
[2]2019年，ST海航未及时披露担保金额135.48亿元。半年报和年报中分别未披露担保余额370.47亿元和311.02亿元。
[3]2020年，ST海航未及时披露担保金额52.36亿元。半年报中，未披露担保余额370.47亿元。</t>
  </si>
  <si>
    <t>国泰君安证券股份有限公司,中国东方信托投资公司</t>
  </si>
  <si>
    <t>300330.SZ</t>
  </si>
  <si>
    <t>*ST计通</t>
  </si>
  <si>
    <t>上海华虹计通智能系统股份有限公司</t>
  </si>
  <si>
    <t>http://www.szse.cn/disclosure/listed/bulletinDetail/index.html?b5cc9c5a-a819-4dc3-8f0b-2c0dadec335a</t>
  </si>
  <si>
    <t>营业收入；营业成本；经营性资产</t>
  </si>
  <si>
    <t>1.虚构贸易，虚增营业收入和营业利润
[1]*ST计通组织策划与上海仪电物联技术股份有限公司（以下简称“仪电物联”）、上海中卡智能卡有限公司、中京复电（上海）电子科技有限公司或上海鸿仪通信息技术有限公司开展了三笔四方贸易，采购销售形成闭环，贸易相关资金几天内在四方参与主体之间完成等额或相近金额的循环，且没有对应的实际物流，前述贸易为虚假贸易。该贸易中，*ST计通通过向仪电物联虚假销售货物，虚增营业收入1,611.61万元，虚增营业成本1,538.38万元，进而虚增营业利润73.23万元，占2017年年报披露营业利润的约13%。
2.少计提应收账款减值准备，虚增营业利润
[1]由于往年存在工程合作关系，*ST计通2017年初对仪电物联存在1,849.42万元账龄一年以上的应收账款。为缩短应收账款账龄，少计提坏账准备，*ST计通将2017年因前述虚假贸易对仪电物联形成的含税营业务收入1,885.58万元全部确认为应收账款，并将当年虚假贸易下收到的仪电物联回款1,852.10万元首先用以冲销以前年度对仪电物联的长账龄应收账款，实现当年少提坏账准备823.16万元，进而虚增营业利润823.16万元。</t>
  </si>
  <si>
    <t>东方证券股份有限公司</t>
  </si>
  <si>
    <t>600078.SH</t>
  </si>
  <si>
    <t>*ST澄星</t>
  </si>
  <si>
    <t>江苏澄星磷化工股份有限公司</t>
  </si>
  <si>
    <t>http://static.sse.com.cn/disclosure/listedinfo/announcement/c/new/2022-07-12/600078_20220712_2_Rl1ufg7J.pdf</t>
  </si>
  <si>
    <t>2020年半年报；2020年年报</t>
  </si>
  <si>
    <t>苏亚金诚会计师事务所</t>
  </si>
  <si>
    <t>*ST澄星未及时在2020年半年报中披露2020年澄星集团对*ST澄星的非经营性资金占用形成关联交易金额37.54亿元，未及时在2020年年报中披露相关诉讼、仲裁事项</t>
  </si>
  <si>
    <t>华泰证券股份有限公司,国泰君安证券股份有限公司</t>
  </si>
  <si>
    <t>300297.SZ</t>
  </si>
  <si>
    <t>*ST蓝盾</t>
  </si>
  <si>
    <t>绵阳市</t>
  </si>
  <si>
    <t>蓝盾信息安全技术股份有限公司</t>
  </si>
  <si>
    <t>http://www.szse.cn/disclosure/listed/bulletinDetail/index.html?e3d592dc-b0c1-441e-91df-2077c33dfc40</t>
  </si>
  <si>
    <t>2017；2018；2019</t>
  </si>
  <si>
    <t>2017-2019年年报</t>
  </si>
  <si>
    <t>*ST蓝盾子公司于 2017年至 2019 年期间，通过伪造大量客户和商户的业务合同、业务对账单、询证函回函等，在自主开发的汇生活系统、EPAY 系统上虚构发码数据和消费数据等方式，虚增营业收入3.82亿元和虚增利润总额3.82亿元</t>
  </si>
  <si>
    <t>002485.SZ</t>
  </si>
  <si>
    <t>*ST雪发</t>
  </si>
  <si>
    <t>山东省</t>
  </si>
  <si>
    <t>诸城市</t>
  </si>
  <si>
    <t>雪松发展股份有限公司</t>
  </si>
  <si>
    <t>http://www.szse.cn/disclosure/listed/bulletinDetail/index.html?883bc199-d503-4a66-a26e-c29dd964ba6e</t>
  </si>
  <si>
    <t>中兴华会计师事务所</t>
  </si>
  <si>
    <t>其他收入</t>
  </si>
  <si>
    <t>罚款</t>
  </si>
  <si>
    <t>*ST雪发将全资子公司诸城松旅因开发诸城恐龙大世界旅游项目收到的政府补助计入当期营业外收入并直接计入当期损益，不符合《企业会计准则第16号-政府补助》第八条的规定，导致2018年-2019年报虚增营业外收入合计1.62亿元，虚增利润总额1.62亿元。</t>
  </si>
  <si>
    <t>300038.SZ</t>
  </si>
  <si>
    <t>数知退</t>
  </si>
  <si>
    <t>北京数知科技股份有限公司</t>
  </si>
  <si>
    <t>http://www.szse.cn/disclosure/listed/bulletinDetail/index.html?f0bddb5d-94fc-4058-8a5e-9192b707aa90</t>
  </si>
  <si>
    <t>2019年半年报；2019年年报；2020年半年报</t>
  </si>
  <si>
    <t>传媒</t>
  </si>
  <si>
    <t>2019年1月17日至2020年11月26日，数知退及子公司向河北国华、深圳奕明、山东晟舒鑫、芃博实业等四家关联公司转出295笔资金共计175,076万元。2020年8月20日，张志勇向数知退境外子公司借款折合人民币11,761万元。截至2020年11月30日，张志勇占用数知退及其子公司余额为56,967万元。数知退未在2019年半年报、2019年年报、2020年半年报中披露该事项，直到2020年12月23日才予以披露，相关定期报告存在重大遗漏。</t>
  </si>
  <si>
    <t>300159.SZ</t>
  </si>
  <si>
    <t>ST新研</t>
  </si>
  <si>
    <t>新疆维吾尔自治区</t>
  </si>
  <si>
    <t>乌鲁木齐市</t>
  </si>
  <si>
    <t>新疆机械研究院股份有限公司</t>
  </si>
  <si>
    <t>http://www.szse.cn/disclosure/listed/bulletinDetail/index.html?8e621f2d-c82c-469a-9121-ed300faf3d97</t>
  </si>
  <si>
    <t>2015；2016；2017；2018；2019</t>
  </si>
  <si>
    <t>2015-2019年年报</t>
  </si>
  <si>
    <t>2015 -2019 年新研股份子公司明日宇航通过虚构业务和提前确认收入两种方式虚增营业收入及利润；累计虚增营业收入33.47亿元，虚增利润总额13.11亿元。并通过虚假合同，虚增固定资产0.15亿元，虚增无形资产0.23亿元。</t>
  </si>
  <si>
    <t>方正证券承销保荐有限责任公司</t>
  </si>
  <si>
    <t>600719.SH</t>
  </si>
  <si>
    <t>ST热电</t>
  </si>
  <si>
    <t>大连热电股份有限公司</t>
  </si>
  <si>
    <t>http://static.sse.com.cn/disclosure/listedinfo/announcement/c/new/2022-06-03/600719_20220603_1_qqTgLyxe.pdf</t>
  </si>
  <si>
    <t>2021年10月末，ST热电在存煤已经满足冬季供暖期用煤需求情况下，又支付1.6亿元为热电集团购煤，实质上形成控股股东非经营性资金占用，ST热电未按规定披露相关事项。</t>
  </si>
  <si>
    <t>国泰君安证券股份有限公司</t>
  </si>
  <si>
    <t>002535.SZ</t>
  </si>
  <si>
    <t>ST林重</t>
  </si>
  <si>
    <t>林州市</t>
  </si>
  <si>
    <t>林州重机集团股份有限公司</t>
  </si>
  <si>
    <t>财报粉饰；经营不当</t>
  </si>
  <si>
    <t>http://www.szse.cn/disclosure/listed/bulletinDetail/index.html?3dc0a1a6-2e08-41a6-97bc-a4ab5812f238</t>
  </si>
  <si>
    <t>2020年半年报；2020年年报；2021年半年报</t>
  </si>
  <si>
    <t>北京兴华会计师事务所；中审亚太会计师事务所</t>
  </si>
  <si>
    <t>2020年1月至2021年9月，林州重机在未经过决策审批程序或授权程序的情况下，向实际控制人之一、控股股东郭现生控制的公司提供资金累计高达7.34亿元，未按规定及时进行信息披露</t>
  </si>
  <si>
    <t>600093.SH</t>
  </si>
  <si>
    <t>*ST易见</t>
  </si>
  <si>
    <t>易见供应链管理股份有限公司</t>
  </si>
  <si>
    <t>http://static.sse.com.cn/disclosure/listedinfo/announcement/c/new/2022-04-20/600093_20220420_1_rnm42MnJ.pdf</t>
  </si>
  <si>
    <t>2015-2020年年报</t>
  </si>
  <si>
    <t>天圆全会计师事务所</t>
  </si>
  <si>
    <t>1.2015 年至 2018 年 9 月、2018 年 10 月至 2018 年 12 月，*ST易见控股股东为九天集团，实际控制人为冷天晴，*ST易见未如实披露实际控制人。
2.2015 年，*ST易见通过伪造银行回单，虚构银行承兑汇票背书转让记录及开具没有真实交易背景的商业承兑汇票入账等方式，虚增应收票据29.79亿元，虚增银行存款12.08亿元。2017年虚构银行承兑汇票背书转让记录，虚增应收票据7.07亿元。
3.2016 年度至 2020 年度，*ST易见利用之前开展过真实业务的核心企业以及有点肥科技等 21 家公司，通过私刻其他企业的公章、虚构基础购销业务合同和单据，伪造代付款及保理业务合同等方式开展虚假供应链代付款业务、虚假商业保理业务和虚假供应链预付款业务，虚增收入和利润。此外，2015 年度至 2020 年度，*ST易见为完成业绩承诺，大量开展无商业实质的供应链贸易业务，并通过体外个人账户向贸易对手方支付贸易差、服务费、贴现息等费用，扩大收入规模，粉饰经营业绩，虚增贸易收入和利润。累计虚增营业收入526.51亿元，虚增利润总额82.12亿元。
4.*ST易见未按期披露 2020 年年报，2021 年 7 月 6 日，*ST易见才披露2020 年年报。</t>
  </si>
  <si>
    <t>国金证券股份有限公司,广发证券股份有限公司</t>
  </si>
  <si>
    <t>002471.SZ</t>
  </si>
  <si>
    <t xml:space="preserve">中超控股 </t>
  </si>
  <si>
    <t>宜兴市</t>
  </si>
  <si>
    <t>江苏中超控股股份有限公司</t>
  </si>
  <si>
    <t>http://www.szse.cn/disclosure/listed/bulletinDetail/index.html?58c0fa98-c47f-4159-bc6f-c2eab80c1151</t>
  </si>
  <si>
    <t>2010-09-10</t>
  </si>
  <si>
    <t>电气设备</t>
  </si>
  <si>
    <t>1.中超控股控制权转让事项属于应当披露的重大事件，中超控股亦按照重大事件的要求对该事项和进展依 法予以披露。中超控股应在 2018 年 8 月 9 日首次收到中超集团《告知函》后两个交易日公告以上情况，但公司延迟至 2018年9月28日予以披露，构成披露不及时情形；同时中超控股在 2018 年8月14日的临时公告中未如实披露双方的纠纷和公司控制权转让的真实进展情况，构成虚假记载情形。 
2.中超控股未依法及时披露重大诉讼情况，未依法及时披露控制权转让纠纷诉讼情况。
3.在黄锦光（中超控股董事长，实际控制人）的组织、指使下，南通泉恩、重庆信友达与中超控股签订的采购合同没有真实交易背景，并借助该虚假采购合同开展商业保理业务，融出资金供黄锦光占用。</t>
  </si>
  <si>
    <t>东北证券股份有限公司</t>
  </si>
  <si>
    <t>300178.SZ</t>
  </si>
  <si>
    <t>*ST腾邦</t>
  </si>
  <si>
    <t>腾邦国际商业服务集团股份有限公司</t>
  </si>
  <si>
    <t>http://www.szse.cn/disclosure/listed/bulletinDetail/index.html?00704d69-77c9-4c64-94aa-813181d1e8bd</t>
  </si>
  <si>
    <t>2018年报</t>
  </si>
  <si>
    <t>社会服务</t>
  </si>
  <si>
    <t>1、2018年度*ST腾邦未按规定披露控股股东非经营性资金占用高达1.85亿元；
2、2017年2月至2019年4月，*ST腾邦为关联方腾邦集团合计6.77亿元贷款提供担保。*ST腾邦在2018年-2019年年报中未披露该事项；
3、*ST腾邦在2019年年报中未按规定披露重大诉讼和仲裁，涉案金额累计4亿元</t>
  </si>
  <si>
    <t>300356.SZ</t>
  </si>
  <si>
    <t xml:space="preserve">ST 光一 </t>
  </si>
  <si>
    <t>光一科技股份有限公司</t>
  </si>
  <si>
    <t>http://www.szse.cn/disclosure/listed/bulletinDetail/index.html?6d921863-7eb0-4b98-9f99-facbcb66ed11</t>
  </si>
  <si>
    <t>众华会计师事务所</t>
  </si>
  <si>
    <t>2012-10-09</t>
  </si>
  <si>
    <t>2020 年度光一科技以工程项目投标保证金、设备采购预付款、预付工程物料采购款及往来款的名义通过江苏凯斯奇能源科技有 限公司、上海谋盛资产管理有限公司、句容南大置业有限公司、泰州建盈电力科 技有限公司、南京鹏大科技发展有限公司、江苏鸿信商贸发展有限公司等中间方 将资金划转至光一投资、龙昌明及其债权人等银行账户，总计 3.39 亿元。且存在未按照规定及时披露重大诉讼事项。</t>
  </si>
  <si>
    <t>300156.SZ</t>
  </si>
  <si>
    <t>神雾环保</t>
  </si>
  <si>
    <t>神雾环保技术股份有限公司</t>
  </si>
  <si>
    <t>http://www.csrc.gov.cn/csrc/c101928/c2563183/content.shtml（行政处罚书，公司已退市）</t>
  </si>
  <si>
    <t>2016年年报；2017-2018年半年报及年报</t>
  </si>
  <si>
    <t>1.未依法披露关联方非经营性占用巨额资金及关联交易情况
[1]神雾集团系神雾环保的控股股东，湖北广晟、湖北大道、湖北达晨三家公司的光大银行账户被神雾集团实际控制使用。2016至2018年，神雾集团通过上述账户与神雾环保发生关联交易，占用神雾环保及全资子公司洪阳冶化资金合计47.32亿元，其各年度分别为12.47亿元、31.41亿元、3.44亿元。
[2]神雾环保未按照规定在2016年年报、2017年和2018年半年报及年报中披露前述非经营性占用资金及关联交易事项。
2.未按规定披露为关联方提供担保事项及相关重大诉讼、仲裁事项
[1]2015年至2018年，神雾环保未经公司董事会或股东大会审议，为关联方提供担保金额累计超过10亿元，且未按照规定在定期报告中披露。
[2]2018年，神雾环保因上述重大担保陆续被债权人提起诉讼或仲裁，被要求承担担保责任。截至2018年9月28日，公司涉及金额共计59,036万元。神雾环保未依法及时或在相关定期公告中披露上述事项，2019年1月26日公司首次公告披露，但披露内容不全面。</t>
  </si>
  <si>
    <t>西南证券股份有限公司</t>
  </si>
  <si>
    <t>600382.SH</t>
  </si>
  <si>
    <t>*ST 广珠</t>
  </si>
  <si>
    <t>兴宁市</t>
  </si>
  <si>
    <t>广东明珠集团股份有限公司</t>
  </si>
  <si>
    <t>http://static.sse.com.cn/disclosure/listedinfo/announcement/c/new/2022-03-21/600382_20220321_2_iE1N2ZAk.pdf</t>
  </si>
  <si>
    <t>2016-2021年年报</t>
  </si>
  <si>
    <t>广东正中珠江会计师事务所；华兴会计师事务所；
利安达会计师事务所</t>
  </si>
  <si>
    <t>1. 2016年，广东明珠控股子公司广东明珠集团城镇运营开发有限公司（现更名为兴宁市城镇运营开发有限公司，以下简称城镇运营）、广东明珠集团广州阀门有限公司（以下简称明珠广阀）以预付工程款、支付投资款等形式，向养生山城等关联方提供资金，上述关联交易涉及金额42,207.60万元，占广东明珠最近一期经审计净资产的8.31%。
2. 2017年，广东明珠全资子公司广东明珠集团置地有限公司（以下简称明珠置地）及城镇运营、明珠广阀，以预付或支付投资款、预付工程款等形式，向养生山城、深圳众益福和大顶矿业等关联方提供资金，上述关联交易涉及金额99,252.90万元，占广东明珠最近一期经审计净资产的18.17%。
3. 2018年，广东明珠、城镇运营、明珠置地、明珠广阀以预付工程款、预付或支付投资款、预付采购款等形式，向养生山城和深圳众益福等关联方提供资金，上述关联交易涉及金额116,033.25万元，占广东明珠最近一期经审计净资产的19.75%。
4. 2019年，广东明珠、城镇运营、明珠置地、明珠广阀以预付工程款、预付或支付投资款、预付采购款等形式，向养生山城等关联方提供资金，上述关联交易涉及金额126,786.37万元，占广东明珠最近一期经审计净资产的19.13%。
5. 2020年，广东明珠以预付采购款等形式，向养生山城、连平金顺安等关联方提供资金，上述关联交易涉及金额127,110万元，占公司最近一期经审计净资产的18.03%。
6. 2021年1月至3月期间，广东明珠、明珠置地以预付工程款、预付投资款等形式，向养生山城等关联方提供资金，上述关联交易涉及金额6,100.80万元。</t>
  </si>
  <si>
    <t>广东证券股份有限公司,招商证券股份有限公司</t>
  </si>
  <si>
    <t>002647.SZ</t>
  </si>
  <si>
    <t xml:space="preserve">仁东控股 </t>
  </si>
  <si>
    <t>仁东控股股份有限公司</t>
  </si>
  <si>
    <t>http://static.cninfo.com.cn/finalpage/2022-02-22/1212411648.PDF</t>
  </si>
  <si>
    <t>2019年年报，2020年半年报</t>
  </si>
  <si>
    <t>中汇会计师事务所；中兴财光华会计师事务所</t>
  </si>
  <si>
    <t>2011-12-28</t>
  </si>
  <si>
    <t>仁东控股虚构保理业务， 2019 年虚增保理业务收入 3,890.72 万元，虚增利润总额 3,890.72 万元；少计提坏账准备 2,012 万元，虚增利润总额 2,012 万元；2020 年上半年虚增保理业务收入 2,065.36 万元，虚增利润总额 2,065.36 万元。以及相关人员在 2019 年年报、2020 年半年报上签字，保证相关报告不存在虚假记载、误导性陈述或重大遗漏。</t>
  </si>
  <si>
    <t xml:space="preserve">*ST 科林 </t>
  </si>
  <si>
    <t>http://www.szse.cn/disclosure/listed/bulletinDetail/index.html?bbb3f03f-d55b-4ed4-8219-a58c3e95e813</t>
  </si>
  <si>
    <t>2018年半年报</t>
  </si>
  <si>
    <t>2010-11-09</t>
  </si>
  <si>
    <t>科林环保在两家施工单位未完工情况下确认了100%的完工进度，并以此为基础核算收入成本，导致科林环保2018年半年报至少虚增营业成本2,195.85万元，占当期营业成本的32.42%;至少虚增营业收入3,893.59万元，占当期营业收入的32.43%；至少虚增营业利润1,697.74万元，占当期利润总额的52.87%</t>
  </si>
  <si>
    <t>603876.SH</t>
  </si>
  <si>
    <t>鼎胜新材</t>
  </si>
  <si>
    <t>江苏鼎胜新能源材料股份有限公司</t>
  </si>
  <si>
    <t>http://static.sse.com.cn/disclosure/listedinfo/announcement/c/new/2022-01-01/603876_20220101_1_xP5v5Vsq.pdf</t>
  </si>
  <si>
    <t>2018-2019年年报，2020年半年报</t>
  </si>
  <si>
    <t>2018年10月至2021年3月期间，鼎胜新材及其子公司通过预付货款、设备款、借款和内部转款等方式，直接或通过杭州蓝拓机电设备有限公司等中间方将资金划转至鼎胜实业（鼎盛新材控股股东）及其子公司。上述资金划拨并非基于真实业务发生，实质构成鼎胜实业及其子公司对鼎胜新材资金的非经营性占用。</t>
  </si>
  <si>
    <t>002586.SZ</t>
  </si>
  <si>
    <t>*ST围海</t>
  </si>
  <si>
    <t>宁波市</t>
  </si>
  <si>
    <t>浙江省围海建设集团股份有限公司</t>
  </si>
  <si>
    <t>http://www.cninfo.com.cn/new/disclosure/detail?plate=sse&amp;orgId=gssh0600634&amp;stockCode=600634&amp;announcementId=1207962362&amp;announcementTime=2020-06-29</t>
  </si>
  <si>
    <t>天健会计师事务所；立信会计师事务所</t>
  </si>
  <si>
    <t>2017年10月至2019年3月，*ST围海通过向供应商支付合同预付款间接划转、提供借款直接划转等形式，向围海控股及其控制的关联方提供资金累累计34,635万元，但*ST围海未按规定披露。</t>
  </si>
  <si>
    <t>信达证券股份有限公司</t>
  </si>
  <si>
    <t>300008.SZ</t>
  </si>
  <si>
    <t>天海防务</t>
  </si>
  <si>
    <t>天海融合防务装备技术股份有限公司</t>
  </si>
  <si>
    <t>http://static.cninfo.com.cn/finalpage/2021-12-16/1211922220.PDF</t>
  </si>
  <si>
    <t>3, 946.44</t>
  </si>
  <si>
    <t>2016年3月至2017年12月，天海防务全资子公司金海运涉嫌通过虚构相关游乐设施贸易业务，虚增金海运2017年营业收入6,144.32万元，虚增营业成本2,197.89万元，导致天海防务 2017 年年报涉嫌虚增利润总额3,946.44万元。</t>
  </si>
  <si>
    <t>国元证券股份有限公司</t>
  </si>
  <si>
    <t>603009.SH</t>
  </si>
  <si>
    <t>北特科技</t>
  </si>
  <si>
    <t>上海北特科技股份有限公司</t>
  </si>
  <si>
    <t>http://static.sse.com.cn/disclosure/listedinfo/announcement/c/new/2021-12-24/603009_20211224_1_myrV8P3M.pdf</t>
  </si>
  <si>
    <t>北特科技全资子公司存在未满足收入确认条件多计收入、销售费用跨期确认、外协加工费跨期确认等行为，导致北特科技 2018年年报多计利润总额1277.36 万元。</t>
  </si>
  <si>
    <t>*ST广珠</t>
  </si>
  <si>
    <t>http://static.sse.com.cn/disclosure/listedinfo/announcement/c/new/2021-12-24/600382_20211224_1_Tmw0tdu7.pdf</t>
  </si>
  <si>
    <t>2016-2020年年报；2021年一季报</t>
  </si>
  <si>
    <t>广东正中珠江会计师事务所；华兴会计师事务所</t>
  </si>
  <si>
    <t>广东明珠在2016年至2021年期间，未按规定披露关联方非经营性占用资金的关联交易，资金占用累计达517,490.89万元。</t>
  </si>
  <si>
    <t>002113.SZ</t>
  </si>
  <si>
    <t>ST天润</t>
  </si>
  <si>
    <t>岳阳市</t>
  </si>
  <si>
    <t>湖南天润数字娱乐文化传媒股份有限公司</t>
  </si>
  <si>
    <t>http://static.cninfo.com.cn/finalpage/2021-12-08/1211836372.PDF</t>
  </si>
  <si>
    <t>2016-2018年年报；2017年半年报；2018年半年报</t>
  </si>
  <si>
    <t>中审华会计师事务所</t>
  </si>
  <si>
    <t>天润数娱2016-2018年对外提供重大担保，其未按规定及时披露重大担保事项，违规担保金额达13.93亿元，也未及时披露控股股东及其关联人2017年至2018年非经营性占用上市公司资金的情况，资金占用高达5.05亿元；同时还存在未按规定及时披露数项重大信息的情形。</t>
  </si>
  <si>
    <t>002656.SZ</t>
  </si>
  <si>
    <t>ST摩登</t>
  </si>
  <si>
    <t>摩登大道时尚集团股份有限公司</t>
  </si>
  <si>
    <t>http://static.cninfo.com.cn/finalpage/2022-01-18/1212203541.PDF</t>
  </si>
  <si>
    <t>2018 年半年报；2018 年年报；2019 年半年报</t>
  </si>
  <si>
    <t>广东正中珠江会计师事务所；中审众环会计师事务所</t>
  </si>
  <si>
    <t>摩登大道主要存在未按规定披露对外担保、未按规定披露关联交易，关联方及大股东进行资金占用的情形。2018年-2019年累计资金占用39,478.93万元。</t>
  </si>
  <si>
    <t>恒泰证券股份有限公司</t>
  </si>
  <si>
    <t>000820.SZ</t>
  </si>
  <si>
    <t>*ST节能</t>
  </si>
  <si>
    <t>南昌市</t>
  </si>
  <si>
    <t>神雾节能股份有限公司</t>
  </si>
  <si>
    <t>http://static.cninfo.com.cn/finalpage/2021-12-03/1211781101.PDF</t>
  </si>
  <si>
    <t>神雾节能2016-2017年年报存在虚假记载，2016 年虚增利润总额及净利润约1.16亿元，2017年提前确认收入约 1.41 亿元。</t>
  </si>
  <si>
    <t>辽宁省国际信托投资股份有限公司,广发证券股份有限公司</t>
  </si>
  <si>
    <t>002086.SZ</t>
  </si>
  <si>
    <t>*ST东洋</t>
  </si>
  <si>
    <t>烟台市</t>
  </si>
  <si>
    <t>山东东方海洋集团有限公司</t>
  </si>
  <si>
    <t>http://static.cninfo.com.cn/finalpage/2022-01-20/1212219967.PDF</t>
  </si>
  <si>
    <t>2019 年半年报；2019年年报；2020年一季报</t>
  </si>
  <si>
    <t>和信会计师事务所</t>
  </si>
  <si>
    <t>东方海洋未及时披露及未在定期报告中披露非经营性占用资金关联交易近13亿元；也未及时披露及未在定期报告中披露对外担保及重大诉讼和仲裁。</t>
  </si>
  <si>
    <t>东海证券股份有限公司</t>
  </si>
  <si>
    <t>002619.SZ</t>
  </si>
  <si>
    <t>*ST艾格</t>
  </si>
  <si>
    <t>金华市</t>
  </si>
  <si>
    <t>艾格拉斯股份有限公司</t>
  </si>
  <si>
    <t>http://static.cninfo.com.cn/finalpage/2021-11-18/1211615302.PDF</t>
  </si>
  <si>
    <t>2018-2020年半年报；2018-2019年年报；2020年一季报；2020年三季报</t>
  </si>
  <si>
    <t>会计处理粉饰；业务凭证造假；资金占用</t>
  </si>
  <si>
    <t>经营现金流；资金占用</t>
  </si>
  <si>
    <t>艾格拉斯在2018年-2020年两次以虚假定期存款开户证实书入账的手段，累计虚增其他流动资产14.03亿元、虚增利润496.41万元；其上市公司大股东、实际控制人通过隐藏关联交易累计占用资金9.02亿元。</t>
  </si>
  <si>
    <t>长城证券股份有限公司</t>
  </si>
  <si>
    <t>600671.SH</t>
  </si>
  <si>
    <t>ST目药</t>
  </si>
  <si>
    <t>杭州天目山药业股份有限公司</t>
  </si>
  <si>
    <t xml:space="preserve">http://static.cninfo.com.cn/finalpage/2021-08-16/1210752894.PDF
</t>
  </si>
  <si>
    <t>2018-2019年年报；2019年半年报；2020年半年报</t>
  </si>
  <si>
    <t>瑞华会计师事务所；中天运会计师事务所；苏亚金诚会计师事务所</t>
  </si>
  <si>
    <t>业务凭证造假；资金占用</t>
  </si>
  <si>
    <t>2018年-2020年，天目药业以股权转让、工程建设的手段累计占用资金8,487.12万元，且未按规定披露原控股股东及其关联方非经营性资金占用的关联交易情况。</t>
  </si>
  <si>
    <t>杭州工商信托股份有限公司,方正证券股份有限公司,海通证券股份有限公司</t>
  </si>
  <si>
    <t>000523.SZ</t>
  </si>
  <si>
    <t>*ST浪奇</t>
  </si>
  <si>
    <t>广州市浪奇实业股份有限公司</t>
  </si>
  <si>
    <t>http://static.cninfo.com.cn/finalpage/2021-11-12/1211561916.PDF</t>
  </si>
  <si>
    <t>化工</t>
  </si>
  <si>
    <t>营业收入；营业成本；经营性资产；资金占用</t>
  </si>
  <si>
    <t>2018年-2019年，广州浪奇通过虚构业务虚增营业收入、成本及利润；同时将部分虚增的预付账款调整为虚增的存货，高达20.38亿。同时广州浪奇也存在关联方资金占用和隐藏关联交易的情况，资金占用高达25亿多。</t>
  </si>
  <si>
    <t>中国平安保险(集团)股份有限公司,中信证券华南股份有限公司</t>
  </si>
  <si>
    <t>002776.SZ</t>
  </si>
  <si>
    <t>ST柏龙</t>
  </si>
  <si>
    <t>普宁市</t>
  </si>
  <si>
    <t>广东柏堡龙股份有限公司</t>
  </si>
  <si>
    <t>http://static.cninfo.com.cn/finalpage/2021-10-30/1211432348.PDF</t>
  </si>
  <si>
    <t>2012；2013；2014；2015；2016；2017；2018；2019</t>
  </si>
  <si>
    <t>2012-2019年年报</t>
  </si>
  <si>
    <t>中兴财光华会计师事务所；立信会计师事务所</t>
  </si>
  <si>
    <t>业绩凭证造假；会计处理粉饰</t>
  </si>
  <si>
    <t>2013年-2020年，柏堡龙通过虚构交易累计虚增营业收入1,276.36万元、虚增利润总额41,027.78万元；通过伪造入帐单、资金进出不入账等方式虚假记载银行存款293,981.56万元。同时也存在未披露其他非流动资产报表项目、募集资金使用情况和关联担保的情况。</t>
  </si>
  <si>
    <t>600090.SH</t>
  </si>
  <si>
    <t>*ST济堂</t>
  </si>
  <si>
    <t>新疆同济堂健康产业股份有限公司</t>
  </si>
  <si>
    <t>2016-2019年年报</t>
  </si>
  <si>
    <t>营业收入；营业成本；资金占用</t>
  </si>
  <si>
    <t>同济堂在2016年-2019年通过虚构销售及采购业务、虚增销售及管理费用、伪造银行回单等手段进行财务造假，共虚增收入211.21亿元，虚增净利润27.29亿元。且同济堂未按照要求披露资金占用、违规担保及诉讼相关事项。</t>
  </si>
  <si>
    <t>600145.SH</t>
  </si>
  <si>
    <t>*ST新亿</t>
  </si>
  <si>
    <t>塔城市</t>
  </si>
  <si>
    <t>新疆亿路万源实业控股股份有限公司</t>
  </si>
  <si>
    <t>http://static.cninfo.com.cn/finalpage/2021-10-23/1211363452.PDF</t>
  </si>
  <si>
    <t>四川华信(集团)会计师事务所；深圳堂堂会计师事务所</t>
  </si>
  <si>
    <t>商业贸易</t>
  </si>
  <si>
    <t>会计处理粉饰；业务凭证造假</t>
  </si>
  <si>
    <t>营业收入；其他收入</t>
  </si>
  <si>
    <t>2018-2019年，*ST新亿通过虚增保理业务营业外收入、虚增贸易收入、违规确认物业费收入、虚构抵账租金收入等手段对财报大面积粉饰，累计虚增营业收入1917.4万元，虚增利润总额8060.32万元。同时也存在重要内容未披露的情况。</t>
  </si>
  <si>
    <t>中国中金财富证券有限公司,重庆国际信托股份有限公司</t>
  </si>
  <si>
    <t>300325.SZ</t>
  </si>
  <si>
    <t>*ST德威</t>
  </si>
  <si>
    <t>太仓市</t>
  </si>
  <si>
    <t>江苏德威新材料股份有限公司</t>
  </si>
  <si>
    <t>http://static.cninfo.com.cn/finalpage/2021-11-05/1211493131.PDF</t>
  </si>
  <si>
    <t>2018-2019年年报；2020年半年报</t>
  </si>
  <si>
    <t>非经营性资产；资金占用</t>
  </si>
  <si>
    <t>2018年-2020年，*ST德威未按规定披露关联交易、关联方及大股东资金占用、关联采购事项、为关联方提供担保和重大诉讼一系列事项。为掩盖关联方资金占用，*ST德威2018年报虚增6.52亿元银行承兑汇票，未如实披露3.92亿元银行存款受限情况；2019年报虚增11.04亿元商业承兑汇票；2020年半年报虚增11.04亿元应收票据。</t>
  </si>
  <si>
    <t>002770.SZ</t>
  </si>
  <si>
    <t>*ST科迪</t>
  </si>
  <si>
    <t>商丘市</t>
  </si>
  <si>
    <t>河南科迪乳业股份有限公司</t>
  </si>
  <si>
    <t>http://static.cninfo.com.cn/finalpage/2021-09-22/1211097208.PDF</t>
  </si>
  <si>
    <t>2016-2018年年报；2019年一季报；2019年半年报</t>
  </si>
  <si>
    <t>亚太(集团)会计师事务所</t>
  </si>
  <si>
    <t>食品饮料</t>
  </si>
  <si>
    <t>2016年-2019年，科迪乳业在未经过决策审批程序或授权程序的情况下，向控股股东科迪集团及其关联方提供资金，未按规定及时进行信息披露；2017年-2019年，科迪乳业在未经过决策审批程序或授权程序的情况下，向科迪集团及其关联方提供担保，未按规定及时进行信息披露；2016年-2019年营业收入累计造假84344.47万元，利润总额累计造假29982.97万元；资金占用累计1344158.14万元。</t>
  </si>
  <si>
    <t>601101.SH</t>
  </si>
  <si>
    <t>昊华能源</t>
  </si>
  <si>
    <t>北京昊华能源股份有限公司</t>
  </si>
  <si>
    <t xml:space="preserve">http://static.sse.com.cn/disclosure/listedinfo/announcement/c/new/2022-11-19/688555_20221119_KSZU.pdf
</t>
  </si>
  <si>
    <t>瑞华会计师事务所</t>
  </si>
  <si>
    <t>采掘</t>
  </si>
  <si>
    <t>非经营性资产</t>
  </si>
  <si>
    <t>昊华能源将京东方能源实际持有的4.5亿吨煤炭资源量按照9.6亿吨煤炭资源量进行了账务处理，导致公司2015年-2018年年报虚假记载，虚增资产约 28.25亿元。</t>
  </si>
  <si>
    <t>000802.SZ</t>
  </si>
  <si>
    <t>ST北文</t>
  </si>
  <si>
    <t>北京京西文化旅游股份有限公司</t>
  </si>
  <si>
    <t>http://static.cninfo.com.cn/finalpage/2021-11-03/1211468067.PDF</t>
  </si>
  <si>
    <t>中喜会计师事务所</t>
  </si>
  <si>
    <t>ST北文子公司通过虚假转让投资份额收益权导致ST北文在2018年年报中虚增收入46037.74万元，虚增净利润19108.02万元。</t>
  </si>
  <si>
    <t>国泰君安证券股份有限公司,中国中金财富证券有限公司</t>
  </si>
  <si>
    <t>300064.SZ</t>
  </si>
  <si>
    <t>*ST金刚</t>
  </si>
  <si>
    <t>郑州华晶金刚石股份有限公司</t>
  </si>
  <si>
    <t>http://static.cninfo.com.cn/finalpage/2021-08-16/1210752894.PDF</t>
  </si>
  <si>
    <t>营业收入；经营性资产；非经营性资产；资金占用</t>
  </si>
  <si>
    <t>2016年-2019年豫金刚石涉嫌通过虚构交易，虚增营业收入及利润总额，导致资产科目累计造假金额为167179.02万元，营业收入累计造假金额为21,947.4万元，利润总额累计造假5,561.03万元。同时未按规定披露关联交易、资金占用、对外担保和预计负债和或有负债事项。</t>
  </si>
  <si>
    <t>600112.SH</t>
  </si>
  <si>
    <t>*ST天成</t>
  </si>
  <si>
    <t>贵州省</t>
  </si>
  <si>
    <t>遵义市</t>
  </si>
  <si>
    <t>贵州长征天成控股股份有限公司</t>
  </si>
  <si>
    <t>http://static.sse.com.cn/disclosure/listedinfo/announcement/c/new/2021-12-21/600112_20211221_1_8GNSKZub.pdf</t>
  </si>
  <si>
    <t>2017-2018年年报；2017-2019年半年报</t>
  </si>
  <si>
    <t>2017年-2019年天成控股及其子公司共计8次为控股股东银河及其关联方提供担保；未按规定披露控股股东及其关联方非经营性资金占用总计46,933.42万元。2018年上半年，天成控股发生诉讼事项2起，涉诉金额合计13,345万元。</t>
  </si>
  <si>
    <t>申万宏源证券有限公司,汉唐证券有限责任公司</t>
  </si>
  <si>
    <t>000663.SZ</t>
  </si>
  <si>
    <t>*ST永林</t>
  </si>
  <si>
    <t>永安市</t>
  </si>
  <si>
    <t>福建省永安林业(集团)股份有限公司</t>
  </si>
  <si>
    <t>http://static.cninfo.com.cn/finalpage/2021-08-24/1210827780.PDF</t>
  </si>
  <si>
    <t>致同会计师事务所</t>
  </si>
  <si>
    <t>轻工制造</t>
  </si>
  <si>
    <t>永安林业主要通过提前确认收入、延迟结转成本等方式在2016年虚增净利润788.01万元，2017年虚增净利润2,743.67万元。</t>
  </si>
  <si>
    <t>福建华兴投资(控股)公司,广发证券股份有限公司</t>
  </si>
  <si>
    <t>600677.SH</t>
  </si>
  <si>
    <t>*ST航通(退市)</t>
  </si>
  <si>
    <t>航天通信控股集团股份有限公司</t>
  </si>
  <si>
    <t>http://static.cninfo.com.cn/finalpage/2021-07-30/1210616239.PDF</t>
  </si>
  <si>
    <t>瑞华会计师事务所；天职国际会计师事务所</t>
  </si>
  <si>
    <t>航天通信主要受子公司智慧海派影响，通过财务造假在2016-2018年间累计造假营业收入690,200.00万元，累计造假利润总额257,400万元。</t>
  </si>
  <si>
    <t>600289.SH</t>
  </si>
  <si>
    <t>ST信通</t>
  </si>
  <si>
    <t>哈尔滨市</t>
  </si>
  <si>
    <t>亿阳信通股份有限公司</t>
  </si>
  <si>
    <t>http://static.cninfo.com.cn/finalpage/2021-12-29/1212046642.PDF</t>
  </si>
  <si>
    <t>2016年年报；2016年半年报；2017年半年报</t>
  </si>
  <si>
    <t>ST信通未及时披露及未在定期报告中披露对外担保有关情况，2016年1月至2017年9月26日期间，亿阳信通合计为关联方提供担保62笔，担保金额不少于684,555.81万元；同时ST信通未及时披露控股股东非经营性占用资金情况，关联方累计资金占用136,400万元。</t>
  </si>
  <si>
    <t>海通证券股份有限公司,兴安证券有限责任公司</t>
  </si>
  <si>
    <t>300766.SZ</t>
  </si>
  <si>
    <t>每日互动</t>
  </si>
  <si>
    <t>每日互动股份有限公司</t>
  </si>
  <si>
    <t>http://static.cninfo.com.cn/finalpage/2021-10-19/1211316922.PDF</t>
  </si>
  <si>
    <t>2019 年三季报；2019 年年报；2020 年一季报；2020 年半年报；2020 年三季报</t>
  </si>
  <si>
    <t>每日互动通过伪造印章等方式虚构公司与客户的多份销售合同及相关结算单据。每日互动未及时发现上述合同及业务虚假，对相关销售收入进行了确认并据此编制财务报表，导致2019年三季报虚增营业收入2,342.40万元，虚增利润总额2,201.39万元。2019年年报虚增营业收入3,521.04万元，虚增利润总额3,456.33万元。2020年一季报虚增营业收入762.85万元，虚增利润总额601.86万元。2020年半年报虚增营业收入1,749.83万元，虚增利润总额1,428.17万元。2020年三季报虚增营业收入2,858.19万元，虚增利润总额 2,534.74万元。</t>
  </si>
  <si>
    <t>东方证券承销保荐有限公司</t>
  </si>
  <si>
    <t>002592.SZ</t>
  </si>
  <si>
    <t>ST八菱</t>
  </si>
  <si>
    <t>南宁市</t>
  </si>
  <si>
    <t>南宁八菱科技股份有限公司</t>
  </si>
  <si>
    <t>http://static.cninfo.com.cn/finalpage/2021-09-03/1210965199.PDF</t>
  </si>
  <si>
    <t>2019年年报；2020年一季报</t>
  </si>
  <si>
    <t xml:space="preserve">大信会计师事务所	</t>
  </si>
  <si>
    <t>八菱科技子公司海南弘天未经上市公司审议程序对外担保，构成违规担保。 王安祥通过与他人串通的方式违规使用上市公司资金为其个人借款提供资助，造 成上市公司资源和义务转移，构成关联交易，形成关联方非经营性资金占用46,600万元。</t>
  </si>
  <si>
    <t>300089.SZ</t>
  </si>
  <si>
    <t>ST文化</t>
  </si>
  <si>
    <t>潮州市</t>
  </si>
  <si>
    <t>广东文化长城集团股份有限公司</t>
  </si>
  <si>
    <t>http://static.cninfo.com.cn/finalpage/2021-09-02/1210965712.PDF</t>
  </si>
  <si>
    <t>2016-2018年年报；2018年半年报</t>
  </si>
  <si>
    <t>广东正中珠江会计师事务所；大华会计师事务所</t>
  </si>
  <si>
    <t>资金占用；业务凭证造假；会计处理粉饰</t>
  </si>
  <si>
    <t>资金占用；营业收入；非经营性资产</t>
  </si>
  <si>
    <t>文化长城在2017年年报、2018年半年报未按规定披露对外担保；文化长城在2016-2018年年报未按规定披露控股股东等关联方非经营性占用资金的关联交易情况；文化长城2018年年报虚增营业收入及利润；文化长城 2018 年内部控制评价报告未如实披露对翡翠教育失去控制权情况；文化长城2019年7月22日对深交所的回复公告存在虚假记载；文化长城未及时披露子公司股权转让重大变化情况。营业收入累计造假金额高达6,467万元，资金占用累计金额高达45,382.7万元。</t>
  </si>
  <si>
    <t>603996.SH</t>
  </si>
  <si>
    <t>*ST中新</t>
  </si>
  <si>
    <t>台州市</t>
  </si>
  <si>
    <t>中新科技集团股份有限公司</t>
  </si>
  <si>
    <t>2018-2019年年报；2018年半年报；2019年半年报</t>
  </si>
  <si>
    <t>天健会计师事务所；中兴财光华会计师事务所</t>
  </si>
  <si>
    <t>家用电器</t>
  </si>
  <si>
    <t>中新科技关联方非经营性资金占用累计发生10.57亿元；同时其为实际控制人对外借款提供担保，担保金额共计1.75亿元。</t>
  </si>
  <si>
    <t>601113.SH</t>
  </si>
  <si>
    <t>ST华鼎</t>
  </si>
  <si>
    <t>义乌市</t>
  </si>
  <si>
    <t>义乌华鼎锦纶股份有限公司</t>
  </si>
  <si>
    <t>http://static.cninfo.com.cn/finalpage/2021-10-13/1211244602.PDF</t>
  </si>
  <si>
    <t>2018年年报；2019年半年报</t>
  </si>
  <si>
    <t>北京兴华会计师事务所</t>
  </si>
  <si>
    <t>2018年-2019年，华鼎股份通过预付采购款、预付工程款等名义向供应商及建筑方付款，资金通过中间账户过账，最终转入控股股东三鼎集团及其控制主体或代三鼎集团偿还债务。上述行为构成关联方非经营性资金占用，累计发生额14.97亿元。其中，2018年累计发生额 9.19 亿元，2019 年累计发生额 5.78 亿元。</t>
  </si>
  <si>
    <t>002700.SZ</t>
  </si>
  <si>
    <t>ST浩源</t>
  </si>
  <si>
    <t>阿克苏市</t>
  </si>
  <si>
    <t>新疆浩源天然气股份有限公司</t>
  </si>
  <si>
    <t xml:space="preserve">http://static.cninfo.com.cn/finalpage/2021-12-20/1211948937.PDF
</t>
  </si>
  <si>
    <t>2019年中报；2020年中报</t>
  </si>
  <si>
    <t>中勤万信会计师事务所</t>
  </si>
  <si>
    <t>新疆浩源未按规定披露其为关联人提供8,000万元担保及因担保责任产生的6,007.5079万元资金占用的事项；新疆浩源与关联方发生关联交易未履行关联方交易决策程序，金额累计53,710万元。</t>
  </si>
  <si>
    <t>600978.SH</t>
  </si>
  <si>
    <t>宜华生活</t>
  </si>
  <si>
    <t>汕头市</t>
  </si>
  <si>
    <t>宜华生活科技股份有限公司</t>
  </si>
  <si>
    <t xml:space="preserve">http://www.szse.cn/disclosure/listed/bulletinDetail/index.html?b4f4ab08-49d0-4c5d-afa9-490d18e22188
</t>
  </si>
  <si>
    <t>2016-2019年年报；2019年半年报</t>
  </si>
  <si>
    <t>广东正中珠江会计师事务所	；亚太(集团)会计师事务所</t>
  </si>
  <si>
    <t>宜华生活2016-2019年通过虚构境内销售业务、高报出口货物销售额等方式虚增营业收入；通过财务不记账、虚假记账、伪造银行单据等方式虚增货币资金，从而导致资产负债表科目累计虚增865,934.85万元，营业收入累计造假709,153.28万元。</t>
  </si>
  <si>
    <t>300526.SZ</t>
  </si>
  <si>
    <t>中潜股份</t>
  </si>
  <si>
    <t>惠州市</t>
  </si>
  <si>
    <t>中潜股份有限公司</t>
  </si>
  <si>
    <t>http://static.cninfo.com.cn/finalpage/2021-09-01/1210945047.PDF</t>
  </si>
  <si>
    <t xml:space="preserve">天健会计师事务所	</t>
  </si>
  <si>
    <t>中潜股份未按规定披露对外担保也未按规定披露关联交易，同时违规确认收入以虚增利润。2019年度累计虚增营业收入3,728.71万元，累计虚增利润总额2574.43万元。</t>
  </si>
  <si>
    <t>002470.SZ</t>
  </si>
  <si>
    <t>*ST金正</t>
  </si>
  <si>
    <t>临沂市</t>
  </si>
  <si>
    <t>金正大生态工程集团股份有限公司</t>
  </si>
  <si>
    <t>http://static.cninfo.com.cn/finalpage/2022-01-20/1212218832.PDF</t>
  </si>
  <si>
    <t>2015-2019年年报；2018年半年报；2019年半年报</t>
  </si>
  <si>
    <t xml:space="preserve">化工 </t>
  </si>
  <si>
    <t>营业收入；营业成本；经营性资产；经营性负债；资金占用</t>
  </si>
  <si>
    <t>2015年至2018年上半年，金正大通过虚构贸易业务累计虚增收入2,307,345.06万元，虚增成本2,108,384.88万元，虚增利润总额198,960.18万元；金正大未按规定披露关联方及关联方交易；2018年至2019年上半年，金正大虚减应付票据102,800万元；2019年，金正大虚增存货319,715.17万元。</t>
  </si>
  <si>
    <t>002426.SZ</t>
  </si>
  <si>
    <t>*ST胜利</t>
  </si>
  <si>
    <t>苏州胜利精密制造科技股份有限公司</t>
  </si>
  <si>
    <t>http://static.cninfo.com.cn/finalpage/2021-05-19/1210003257.PDF</t>
  </si>
  <si>
    <t>天衡会计师事务所</t>
  </si>
  <si>
    <t>2016年至2018年，胜利精密子公司智诚光学通过虚开主营产品销售发票、虚假销售原材料，未及时入账原材料等方式，虚増营业收入、虚减营业成本、虚增利润总额，导致胜利精密2016年年报、2017年年报、2018年年报共虚增营业收入43,694.08万元、虚减营业成本22,347.83万元，虚增利润总额65,408.44万元。</t>
  </si>
  <si>
    <t>603822.SH</t>
  </si>
  <si>
    <t>嘉澳环保</t>
  </si>
  <si>
    <t>桐乡市</t>
  </si>
  <si>
    <t>浙江嘉澳环保科技股份有限公司</t>
  </si>
  <si>
    <t>http://static.cninfo.com.cn/finalpage/2021-05-27/1210104917.PDF</t>
  </si>
  <si>
    <t>2019年年报；2020 年一季报；2020 年半年报；2020 年三季报</t>
  </si>
  <si>
    <t>瑞华会计师事务所；大信会计师事务所</t>
  </si>
  <si>
    <t>嘉澳环保未按规定抵消关联方间的购销业务，导致2019年年报、2020年第一季度报、2020年半年报以及2020年第三季度报告存在虚假记载，累计虚增收入32,726.51万元，虚增净利润9,024.70万元。</t>
  </si>
  <si>
    <t>002247.SZ</t>
  </si>
  <si>
    <t>*ST聚力</t>
  </si>
  <si>
    <t>临安市</t>
  </si>
  <si>
    <t>浙江聚力文化发展股份有限公司</t>
  </si>
  <si>
    <t>http://static.cninfo.com.cn/finalpage/2021-08-03/1210639941.PDF</t>
  </si>
  <si>
    <t>2016年至2018年，聚力文化子公司美生元通过第三方实现资金流转，累计虚增虚增收入89,686.17万元，虚增利润总额50,778.77万元，虚增应收账款96,428.71万元。</t>
  </si>
  <si>
    <t>申万宏源证券有限公司</t>
  </si>
  <si>
    <t>002005.SZ</t>
  </si>
  <si>
    <t>ST德豪</t>
  </si>
  <si>
    <t>安徽德豪润达电气股份有限公司</t>
  </si>
  <si>
    <t>http://static.cninfo.com.cn/finalpage/2021-09-14/1211045518.PDF</t>
  </si>
  <si>
    <t>德豪润达未按规定披露关停 LED 芯片工厂的重大事件，导致 2018 年年报涉嫌重大遗漏；通过少计提资产减值准备、少计提其他应收款坏账准备以及不计提未决诉讼预计负债，虚增2018年度利润345,855.76万元。</t>
  </si>
  <si>
    <t>000687.SZ</t>
  </si>
  <si>
    <t>*ST华讯</t>
  </si>
  <si>
    <t>华讯方舟股份有限公司</t>
  </si>
  <si>
    <t>http://static.cninfo.com.cn/finalpage/2021-03-17/1209394374.PDF</t>
  </si>
  <si>
    <t>2016-2018年半年报；2016-2018 年年报</t>
  </si>
  <si>
    <t>华讯方舟子公司南京华讯通过虚构购销交易虚增利润总额，导致2016年至2018年年报及半年报存在虚假记载。</t>
  </si>
  <si>
    <t>国泰君安证券股份有限公司,河北证券有限责任公司,申万宏源证券有限公司</t>
  </si>
  <si>
    <t>002235.SZ</t>
  </si>
  <si>
    <t>安妮股份</t>
  </si>
  <si>
    <t>厦门市</t>
  </si>
  <si>
    <t>厦门安妮股份有限公司</t>
  </si>
  <si>
    <t>http://static.cninfo.com.cn/finalpage/2021-04-06/1209638693.PDF</t>
  </si>
  <si>
    <t>2015年年报</t>
  </si>
  <si>
    <t>安妮股份子公司微梦想虚构交易，导致安妮股份2015 年年报虚增营业收入1065.96万元，虚增利润总额876.22万元。</t>
  </si>
  <si>
    <t>ST榕泰</t>
  </si>
  <si>
    <t xml:space="preserve">http://www.bse.cn/disclosure/2022/2022-09-09/1662725992_926986.pdf
</t>
  </si>
  <si>
    <t>广东榕泰2018年及2019年年报未按规定披露关联关系及日常经营性关联交易，2019 年年报问询函回复、澄清公告存在虚假记载；通过虚构销售回款、虚构保理业务，2018年虚增利润1,224.69万元，2019年虚增利润4,302.22万元。</t>
  </si>
  <si>
    <t>国泰君安证券股份有限公司,广东证券股份有限公司</t>
  </si>
  <si>
    <t>002052.SZ</t>
  </si>
  <si>
    <t>*ST同洲</t>
  </si>
  <si>
    <t>深圳市同洲电子股份有限公司</t>
  </si>
  <si>
    <t>http://static.cninfo.com.cn/finalpage/2021-07-09/1210442418.PDF</t>
  </si>
  <si>
    <t>2014；2015；2016</t>
  </si>
  <si>
    <t>2014-2016年年报</t>
  </si>
  <si>
    <t>2014年至2016年，同洲电子提前确认职工薪酬负债、滞后确认资产减值损失以及虚构销售收入，导致其2014年及2015年净利润虚增，2016年利润虚减。从而导致营业收入累计造假4,174.40万元，净利润累计造假17,855.60万元。</t>
  </si>
  <si>
    <t>000839.SZ</t>
  </si>
  <si>
    <t>中信国安</t>
  </si>
  <si>
    <t>中信国安信息产业股份有限公司</t>
  </si>
  <si>
    <t xml:space="preserve">http://www.sse.com.cn/disclosure/listedinfo/announcement/c/new/2022-11-19/688086_20221119_F64X.pdf
</t>
  </si>
  <si>
    <t>2009；2010；2011；2012；2013；2014</t>
  </si>
  <si>
    <t>2009-2014年年报</t>
  </si>
  <si>
    <t>京都天华会计师事务所；亚太(集团)会计师事务所</t>
  </si>
  <si>
    <t>2009年至2014年年报中存在虚假记载，累计虚增营业收入50,632.12万元，累计少计财务费用 50,658.21万元，累计虚增利润总额101,290.34万元。此外，因子公司青海中信国安与客户签订保利、计息预售氯化钾合同，导致中信国安账面投资收益多计3,347.98万元。</t>
  </si>
  <si>
    <t>瑞银证券有限责任公司</t>
  </si>
  <si>
    <t>002370.SZ</t>
  </si>
  <si>
    <t>亚太药业</t>
  </si>
  <si>
    <t>绍兴市</t>
  </si>
  <si>
    <t>浙江亚太药业股份有限公司</t>
  </si>
  <si>
    <t>http://static.cninfo.com.cn/finalpage/2021-04-22/1209758314.PDF</t>
  </si>
  <si>
    <t>亚太药业子公司上海新高峰通过第三方资金流转虚增营业收入、营业成本利润总额，导致亚太药业 2016 年、2017 年、2018 年年报的财务数据及相关披露信息存在虚假记载，累计虚增营业收入45,393.16万元，累计虚增利润总额17,409.54万元。</t>
  </si>
  <si>
    <t>300313.SZ</t>
  </si>
  <si>
    <t>ST天山</t>
  </si>
  <si>
    <t>昌吉市</t>
  </si>
  <si>
    <t>新疆天山畜牧生物工程股份有限公司</t>
  </si>
  <si>
    <t>http://static.cninfo.com.cn/finalpage/2021-04-09/1209657948.PDF</t>
  </si>
  <si>
    <t>2017年年报；2018 年半年报； 2018年三季报</t>
  </si>
  <si>
    <t>天山生物主要存在未按规定披露关联交易，关联方及大股东进行资金占用、为关联方提供担保的情况，资金占用累计达3.9亿。</t>
  </si>
  <si>
    <t>002450.SZ</t>
  </si>
  <si>
    <t>*ST康得</t>
  </si>
  <si>
    <t>张家港市</t>
  </si>
  <si>
    <t>康得新复合材料集团股份有限公司</t>
  </si>
  <si>
    <t>http://static.cninfo.com.cn/finalpage/2021-01-21/1209153125.PDF</t>
  </si>
  <si>
    <t>（1）债务融资工具发行和存续期的年报中存在虚假记载
2017年至2018年间，康得新向银行间市场合格机构投资者公开发行债务融资工具，包括中期票据和超短期融资券，共募集资金15亿元，但公司在该债务融资工具发行和存续期披露的2015年至2018年财务报告中存在虚假记载。
（2）虚构业务从而虚增利润总额
2015年至2018年，康得新通过虚构销售业务、虚构采购、生产、研发、产品运输费用等方式，虚增营业收入、营业成本、研发费用和销售费用导致利润总额累计虚增多达115.3亿元，其中2017年虚增利润达39.08亿元，占公司当年披露利润总额的134.19%。
（2）虚增银行存款余额
2015至2018年，康得新及其合并财务报表范围内3家子公司在北京银行账户组的资金被实时、全额归集到康得集团另一账户，康得新北京银行账户组各年末实际余额为0，导致银行存款余额累计虚增多达232.53亿元，其中2016年银行存款余额虚增85.29亿元，占当年对外披露净资产的54.67%。</t>
  </si>
  <si>
    <t>http://static.cninfo.com.cn/finalpage/2021-06-29/1210354944.PDF</t>
  </si>
  <si>
    <t>2010；2011；2012；2013；2014；2015；2016；2017</t>
  </si>
  <si>
    <t>2010-2014年年报；2015-2017年半年报；2016-2017年年报；2017年半年报</t>
  </si>
  <si>
    <t>永拓会计师事务所；亚太(集团)会计师事务所；天职国际会计师事务所；立信会计师事务所；大华会计师事务所</t>
  </si>
  <si>
    <t>亿路万源主要存在隐藏重大债务事项、隐藏关联交易、未按规定披露为关联方提供担保的情况，资金占用累计达81,981.88万元。</t>
  </si>
  <si>
    <t>002102.SZ</t>
  </si>
  <si>
    <t>ST冠福</t>
  </si>
  <si>
    <t>泉州市</t>
  </si>
  <si>
    <t>冠福控股股份有限公司</t>
  </si>
  <si>
    <t>http://www.cninfo.com.cn/new/disclosure/detail?plate=szse&amp;orgId=9900001762&amp;stockCode=002102&amp;announcementId=1209034384&amp;announcementTime=2021-01-04</t>
  </si>
  <si>
    <t>1-2年</t>
  </si>
  <si>
    <t>2017年半年报、2017年三季报、2018年一季报、2018年半年报</t>
  </si>
  <si>
    <t>中兴财光华会计师事务所</t>
  </si>
  <si>
    <t>经营性资产；非经营性负债</t>
  </si>
  <si>
    <t>2015 年以来，ST 冠福未履行审议决策程序，违规对外借款、共同借款、开具商业承兑汇票，上述负债未在 ST 冠福相应定期报告资产负债表披露，导致其披露的 2017 年半年报、2017 年第三季度报告、2017 年报、2018 年第一季度报告、2018 年半年报中负债及资产披露存在虚假记载。
同时，冠福2018年未按规定披露对外担保。</t>
  </si>
  <si>
    <t>兴业证券股份有限公司</t>
  </si>
  <si>
    <t>002496.SZ</t>
  </si>
  <si>
    <t>辉丰股份</t>
  </si>
  <si>
    <t>盐城市</t>
  </si>
  <si>
    <t>江苏辉丰农化股份有限公司</t>
  </si>
  <si>
    <t>http://www.szse.cn/disclosure/listed/bulletinDetail/index.html?a45d2e7c-7106-47b2-82f8-229755ad0826</t>
  </si>
  <si>
    <t>1.通过将未执行合同入账、虚增销售单价，虚增营业收入
科菲特利用与新诺化工、农用激素、永远化工的产品销售业务，通过将未执行合同入账、虚增销售单价的方式，虚增2015年营业收入合计1,406.55万元，导致其披露的2015年度财务报表及审计报告中存在虚假记载。</t>
  </si>
  <si>
    <t>600568.SH</t>
  </si>
  <si>
    <t>中珠医疗</t>
  </si>
  <si>
    <t>潜江市</t>
  </si>
  <si>
    <t>中珠医疗控股股份有限公司</t>
  </si>
  <si>
    <t>http://static.sse.com.cn/disclosure/listedinfo/announcement/c/2020-11-11/600568_20201111_1.pdf</t>
  </si>
  <si>
    <t>1.未按规定披露相关关联交易
[1]2018年10月，中珠医疗全资子公司中珠正泰向控股股东中珠集团关联方天水机电开具5,000万元商业承兑汇票；2018年2月至3月，中珠医疗子公司中珠融资开展售后回租、应收工程款保理等业务，向中珠集团关联方转入资金或代中珠集团偿还贷款合计31,000万元；2017年6月至2018年4月，中珠医疗以购买信托产品的方式将自有资金30,000万元委托贷款给控股股东中珠集团关联方广升恒业。上述事项形成控股股东及其关联方非经营性资金占用。
[2]除了上述事项外，中珠医疗还未按规定披露子公司一体医疗向中珠集团支付股权转让履约保证金5,000万元、子公司中珠融资以融资租赁方式向第二大股东一体集团关联方提供贷款2,440万元等4项关联交易事项。
2.未及时披露为关联方提供担保
中珠医疗未按规定及时披露公司为中珠集团签订的协议支付5,000万元履约保证金、子公司一体医疗为第二大股东一体集团及其关联方提供银行存款质押担保等4项为关联方提供担保事项。</t>
  </si>
  <si>
    <t>长江证券股份有限公司</t>
  </si>
  <si>
    <t>宏达矿业</t>
  </si>
  <si>
    <t>上海宏达矿业股份有限公司</t>
  </si>
  <si>
    <t>http://static.cninfo.com.cn/finalpage/2021-11-24/1211684964.PDF</t>
  </si>
  <si>
    <t>2016-2017年年报、2017年半年报</t>
  </si>
  <si>
    <t>资金占用；会计处理粉饰</t>
  </si>
  <si>
    <t>非经营性负债；资金占用</t>
  </si>
  <si>
    <t>宏达矿业未在定期报告中披露关联交易，导致2016年-2017年累计资金占用81,400万元。宏达矿业《2016 年半年报》未披露当期新增对外担保金额0.55亿元，为关联担保；2016年年报未披露当期新增对外担保金额24.30亿元，其中关联担保22.30亿元；2017年年报未披露当期新增对外担保金额23.10亿元，其中，关联担保19.00亿元。</t>
  </si>
  <si>
    <t>300152.SZ</t>
  </si>
  <si>
    <t>科融环境</t>
  </si>
  <si>
    <t>河北省</t>
  </si>
  <si>
    <t>保定市</t>
  </si>
  <si>
    <t>徐州科融环境资源股份有限公司</t>
  </si>
  <si>
    <t>http://www.szse.cn/disclosure/listed/bulletinDetail/index.html?6c05011b-01db-4280-bacd-9684b6a68eab</t>
  </si>
  <si>
    <t>1.涂改项目调试报告日期，虚增2017年利润
科融环境通过将21个项目调试报告的签字日期或现场调试日期由以前年度涂改为2017年，并在2017年确认调试收入，从而虚增2017年利润717.88万元，导致公司2018年4月披露的2017年年报和2019年4月披露的更新后的2017年年报均存在虚假记载。</t>
  </si>
  <si>
    <t>002711.SZ</t>
  </si>
  <si>
    <t>欧浦智网</t>
  </si>
  <si>
    <t>佛山市</t>
  </si>
  <si>
    <t>欧浦智网股份有限公司</t>
  </si>
  <si>
    <t>财报粉饰；违规担保</t>
  </si>
  <si>
    <t>http://www.szse.cn/disclosure/listed/bulletinDetail/index.html?ccc94fcf-ee3a-463f-9249-5146c805e479</t>
  </si>
  <si>
    <t>2017年半年报及年报；2018年半年报</t>
  </si>
  <si>
    <t>1.未按规定披露关联方非经营性占用资金的关联交易情况
2017年3月至2018年8月，欧浦智网在未经过授权的情况下，通过向他人借款后直接转入实际控制人、时任董事长及法定代表人陈礼豪本人及其控制的银行账户的方式，累计向其提供非经营性资金3.07亿元，且未及时披露或在定期报告中披露上述关联交易事项。
2.未按规定披露对外担保
2016年11月至2018年10月期间，欧浦智网未按规定履行公司董事会、股东大会审批程序，为关联方或非关联方提供担保金额合计不低于19.93亿元，也未在当期定期报告中进行披露。</t>
  </si>
  <si>
    <t xml:space="preserve">	
华泰联合证券有限责任公司</t>
  </si>
  <si>
    <t>600290.SH</t>
  </si>
  <si>
    <t>*ST华仪</t>
  </si>
  <si>
    <t>乐清市</t>
  </si>
  <si>
    <t>华仪电气股份有限公司</t>
  </si>
  <si>
    <t>http://static.sse.com.cn/disclosure/listedinfo/announcement/c/new/2021-06-09/600290_20210609_1.pdf</t>
  </si>
  <si>
    <t>2-3年</t>
  </si>
  <si>
    <t>2019年半年报</t>
  </si>
  <si>
    <t>2017 年至 2019 年，华仪电气通过控股股东华仪集团有限公司实际控制的乐清市合颐贸易有限公司、浙江伊赛科技有限公司等公司账户及部分员工个人账户走账，通过多道划转，最终将上市公司资金转至华仪集团及其关联方，上述行为构成关联方非经营性资金占用。
同时，华仪电气未按规定披露担保和募集资金情况。</t>
  </si>
  <si>
    <t>中国中金财富证券有限公司,中信证券股份有限公司</t>
  </si>
  <si>
    <t>600781.SH</t>
  </si>
  <si>
    <t>*ST辅仁</t>
  </si>
  <si>
    <t>周口市</t>
  </si>
  <si>
    <t>辅仁药业集团制药股份有限公司</t>
  </si>
  <si>
    <t>http://www.cninfo.com.cn/new/disclosure/detail?plate=sse&amp;orgId=gssh0600781&amp;stockCode=600781&amp;announcementId=1208614614&amp;announcementTime=2020-10-27</t>
  </si>
  <si>
    <t>3-5年</t>
  </si>
  <si>
    <t>年报</t>
  </si>
  <si>
    <t>辅仁药业未将提供给辅仁集团、辅仁控股的资金记入财务账簿，也未对辅仁集团、辅仁控股非经营性占用上市公司资金情况予以披露，导致其披露的 2015 年、2016 年年报存在虚假记载、重大遗漏。
2017 年，辅仁药业将开药集团纳入合并报表。辅仁药业、开药集团以前年度向辅仁集团、辅仁控股提供的资金，在 2017 年、2018 年绝大部分仍未归还，且发生新的占用，辅仁药业未将相关资金占用情况入账，也未对辅仁集团、辅仁控股非经营性占用上市公司资金情况予以披露，导致其披露的 2017 年、2018 年年报存在虚假记载、重大遗漏。
此外，辅仁药业2018 年未及时披露关联担保事项。</t>
  </si>
  <si>
    <t>002411.SZ</t>
  </si>
  <si>
    <t>延安必康</t>
  </si>
  <si>
    <t>延安市</t>
  </si>
  <si>
    <t>延安必康制药股份有限公司</t>
  </si>
  <si>
    <t>http://www.cninfo.com.cn/new/disclosure/detail?plate=szse&amp;orgId=9900012607&amp;stockCode=002411&amp;announcementId=1208570261&amp;announcementTime=2020-10-16</t>
  </si>
  <si>
    <t>2015 年至 2018 年，陕西必康按照李宗松指示，向陕西天佑连锁药店管理有限公司和陕西松嘉医药有限公司累计转出 43.40 亿元，扣除用于向有关方支付陕西必康销售费用的10.95亿元，剩余32.45亿元中8.17亿元用于支付相关收购款，由陕西松嘉根据新沂必康授权在指定区域内搜集符合条件的标的企业，约定达到并购条件后由上市公司予以收购，但截至调查结束，约定的收购事项并未实施，且相应转出的款项亦未返还上市公司，其余资金主要用于新沂必康投资建设的新医药产业综合体项目。
此外，2017 年 4 月 12 日至 4 月 20 日，陕西必康以预付工程款方式向新沂市远大建筑安装工程有限公司转款 12.52亿元，由新沂远大以提供借款形式通过中间方最终转给关联方江苏北松，构成关联方非经营性资金占用。延安必康通过虚假财务记账、伪造银行对账单等方式，掩盖上述关联方非经营性占用上市公司资金情况，导致上市公司相关年报披露的货币资金账实不符，存在虚增货币资金情形。</t>
  </si>
  <si>
    <t>002629.SZ</t>
  </si>
  <si>
    <t>ST仁智</t>
  </si>
  <si>
    <t>温州市</t>
  </si>
  <si>
    <t>浙江仁智股份有限公司</t>
  </si>
  <si>
    <t>http://www.cninfo.com.cn/new/disclosure/detail?plate=szse&amp;orgId=9900021552&amp;stockCode=002629&amp;announcementId=1208464305&amp;announcementTime=2020-09-22</t>
  </si>
  <si>
    <t>2018年一季报</t>
  </si>
  <si>
    <t>2017年，仁智股份通过虚构油服业务和钢贸业务虚增营业收入、营业成本。
同时，仁智股份未按规定披露商业承兑汇票、资金拆解事项。</t>
  </si>
  <si>
    <t>600080.SH</t>
  </si>
  <si>
    <t>ST金花</t>
  </si>
  <si>
    <t>金花企业（集团）股份有限公司</t>
  </si>
  <si>
    <t>2019 年 1 月 1 日至 2019年 12 月 31 日，金花投资通过非关联方与上市公司签订《借款协议》《财务顾问合同书》、其他关联方西安桑硕和西安鸿辉通过与金花股份及其子公司签订《借款协议》的方式，累计从上市公司拆借资金 27,777 万元，存在关联方非经营性资金占用。</t>
  </si>
  <si>
    <t>国泰君安证券股份有限公司,申万宏源证券有限公司</t>
  </si>
  <si>
    <t>600401.SH</t>
  </si>
  <si>
    <t>海润光伏</t>
  </si>
  <si>
    <t>海润光伏科技股份有限公司</t>
  </si>
  <si>
    <t>http://www.csrc.gov.cn/jiangsu/c103902/c861cf13208aa467cb85ba54b2555cb64/content.shtml（行政处罚决定书，公司已退市）</t>
  </si>
  <si>
    <t>2016年半年报；2016年年报</t>
  </si>
  <si>
    <t>1.未按规定披露关联交易，临时公告未按关联交易事项披露
[1]2016年3月起，海润光伏与其关联方华君金控等存在资金往来，截至2016年6月，上述关联方向海润光伏累计支付1.88亿元，海润光伏向上述关联方累计支付1.23亿元。海润光伏2016年半年报未按规定披露上述债权债务往来类型的关联交易。
[2]2016年3月，海润光伏与其关联方句容中友签订《组件采购合同》，合同金额22,500万元，实际交易额7,987.77万元；2016年5月，海润光伏与句容中友签订《组件采购合同》补充协议，合同金额261.8万元，实际交易额147.11万元。海润光伏2016年半年报未按规定披露上述与日常经营相关的关联交易。
[3]2016年，海润光伏下属子公司红河海润电力投资有限公司与常州中顺签订了《股权转让协议》，拟转让红河蒙自海鑫光伏投资有限公司100%股权，转让价款为3.8亿元。上述股权出售类型的关联交易事项未履行关联交易审议程序，临时公告亦未作为关联交易事项进行披露。
2.未按规定披露关联方资金占用及相关关联交易，且存在虚假记载
2016年10月，海润光伏与其关联方常州中顺签订总金额为2.1亿元的《硅片采购合同》，当日海润光伏向常州中顺预付2.1亿元，实质属于海润光伏与关联方间的资金往来，同年12月常州中顺向海润光伏退回0.4亿元。海润光伏2016年年报将上述1.7亿元债权债务往来类型的关联交易金额虚假记载为正常预付款项。</t>
  </si>
  <si>
    <t>东北证券有限责任公司</t>
  </si>
  <si>
    <t>600983.SH</t>
  </si>
  <si>
    <t>惠而浦</t>
  </si>
  <si>
    <t>安徽省</t>
  </si>
  <si>
    <t>合肥市</t>
  </si>
  <si>
    <t>惠而浦(中国)股份有限公司</t>
  </si>
  <si>
    <t>外资企业</t>
  </si>
  <si>
    <t>http://www.cninfo.com.cn/new/disclosure/detail?plate=sse&amp;orgId=gssh0600983&amp;stockCode=600983&amp;announcementId=1208113291&amp;announcementTime=2020-08-01</t>
  </si>
  <si>
    <t>2015；2016</t>
  </si>
  <si>
    <t>2016年一季报</t>
  </si>
  <si>
    <t>安永华明会计师事务所</t>
  </si>
  <si>
    <t>2015-2016年，惠而浦通过编制虚假的销售订单并确认收入、提前确认未发货的订单收入、少记销售折扣、延迟确认销售费用、收入跨期确认、少记营业成本等方式虚增营业收入和利润。</t>
  </si>
  <si>
    <t>600300.SH</t>
  </si>
  <si>
    <t>维维股份</t>
  </si>
  <si>
    <t>维维食品饮料股份有限公司</t>
  </si>
  <si>
    <t xml:space="preserve">http://www.szse.cn/disclosure/listed/bulletinDetail/index.html?23bd21cb-b6f7-4090-863c-722028161c72
</t>
  </si>
  <si>
    <t xml:space="preserve"> 2017 年半年报、2018 年半年报、2019 年半年报</t>
  </si>
  <si>
    <t>2017 年半年报、2017 年年报、2018 年半年报、2018 年年报、2019 年半年报未按规定披露维维集团占用资金形成的关联交易，维维集团对维维股份资金非经营性占用；经统计，2017年，维维集团全年累计占用 702,900,000 元；2018 年，维维集团全年累计占用 896,800,000元；2019年，维维集团全年累计占用 1,153,650,000 元。</t>
  </si>
  <si>
    <t>西南证券股份有限公司,广发证券股份有限公司,大鹏证券有限责任公司</t>
  </si>
  <si>
    <t>*ST林重</t>
  </si>
  <si>
    <t>http://www.cninfo.com.cn/new/disclosure/detail?plate=szse&amp;orgId=9900016930&amp;stockCode=002535&amp;announcementId=1208214222&amp;announcementTime=2020-08-21</t>
  </si>
  <si>
    <t>营业成本；经营性资产</t>
  </si>
  <si>
    <t>2017 年 12 月 31 日，林州重机将预付给兰州中煤的 1.95 亿元转为对子公司林州朗坤科技有限公司的其他应收款，朗坤科技确认对林州重机的其他应付款并将其他应付款 1.95亿元转入在建工程科目。
同时，朗坤科技将其对林州重机的其他应付款利息进行资本化，即根据林州重机向兰州中煤支付预付账款起计算的利息（313 天、年利率 7.03%）共计 11,918,779.16 元，记入在建工程，同时贷记对林州重机的其他应付款；林州重机将此笔资本化利息借记对朗坤科技的其他应收款，同时抵减财务费用并确认应交增值税销项税。
经查，朗坤科技将 1.95 亿元其他应付款转入在建工程时，并没有收到由兰州中煤提供的设备实物，也没有相关物流单据与发票。因此，其在2017年多计在建工程、财务费用。</t>
  </si>
  <si>
    <t>002164.SZ</t>
  </si>
  <si>
    <t>宁波东力</t>
  </si>
  <si>
    <t>宁波东力股份有限公司</t>
  </si>
  <si>
    <t>http://www.cninfo.com.cn/new/disclosure/detail?plate=szse&amp;orgId=9900003443&amp;stockCode=002164&amp;announcementId=1209142539&amp;announcementTime=2021-01-20</t>
  </si>
  <si>
    <t>2014 年 7 月至 2018 年 3 月，年富供应链存在虚增营业收入、利润，虚增应收款项， 隐瞒关联关系及关联交易等行为。年富供应链向宁波东力提供了含有上述虚假信息的 财务报表，导致宁波东力 2016 年 12 月 13 日披露的《深圳市年富供应链有限公司审计 报告及财务报表（2014 年 1 月 1 日至 2016 年 9 月 30 日止）》（以下简称《审计报告 及财务报表》）和《交易报告书（草案）》、2017 年 7 月 15 日披露的《交易报告书（修 订稿）》、2018 年 4 月 26 日披露的 2017 年年报和 2018 年第一季度报告存在虚假 记载，2017 年年报存在重大遗漏。</t>
  </si>
  <si>
    <t>600179.SH</t>
  </si>
  <si>
    <t>ST安通</t>
  </si>
  <si>
    <t>齐齐哈尔市</t>
  </si>
  <si>
    <t>安通控股股份有限公司</t>
  </si>
  <si>
    <t>http://static.sse.com.cn/disclosure/listedinfo/announcement/c/2020-07-04/600179_20200704_1.pdf</t>
  </si>
  <si>
    <t>2018-2019年半年报；2018年年报</t>
  </si>
  <si>
    <t>华普天健会计师事务所；大华会计师事务所</t>
  </si>
  <si>
    <t>1.未披露控股股东及其关联方非经营性占用资金的关联交易情况
2018年1月至2019年8月期间，ST安通多家子公司和孙公司的资金通过易通物流等26家公司和2个自然人转给ST安通控股股东实际使用，形成控股股东非经营性占用资金累计41.85亿元，且ST安通未及时及未在定期报告中完整披露控股股东非经营性占用资金的关联交易情况。
2.未及时披露及未在定期报告中披露对外担保情况
2017年2月至2019年3月，ST安通及其子公司对外提供担保（不含对子公司的担保）共30笔，金额累计63.34亿元，但ST安通未及时及未在相应年份定期报告中完整披露对外担保情况。
3.未及时及未在定期报告中披露重大诉讼和仲裁事项
2018年5月至2020年5月，ST安通共计发生147笔诉讼和仲裁事项，累计涉案金额37.89亿元，但公司未及时履行信息披露义务，也未在2019年半年报中完整披露上述事项。</t>
  </si>
  <si>
    <t>002517.SZ</t>
  </si>
  <si>
    <t>恺英网络</t>
  </si>
  <si>
    <t>晋江市</t>
  </si>
  <si>
    <t>恺英网络股份有限公司</t>
  </si>
  <si>
    <t>http://www.cninfo.com.cn/new/disclosure/detail?plate=szse&amp;orgId=9900016208&amp;stockCode=002517&amp;announcementId=1208012374&amp;announcementTime=2020-07-08</t>
  </si>
  <si>
    <t>2018 年 9 月 10 日，上海恺英网络科技有限公司以向宁波九晋投资合伙企业增资为由，通过上海恺英子公司上海悦腾网络科技有限公司向宁波九晋支付 5,000 万元。该款项实际为上海恺英为表达与蓝沙信息技术（上海）有限公司及相关主体达成和解的善意，作为前期双方纠纷的和解意向金，由宁波九晋代为保管。
2018 年 9 月 29 日，上海悦腾将该笔5,000 万元款项计入可供出售金融资产科目核算。在恺英网络 2018 年年报中，上海悦腾将前述支付给宁波九晋的 5,000 万元由可供出售金融资产调整至其他应收款科目核算，并全额计提减值准备，恺英网络的合并财务报表对前述款项相应全额计提减值准备 5,000 万元。
恺英网络对上述 5,000 万元款项全额计提减值准备依据不充分，上海悦腾作为恺英
网络的全资二级子公司，合并财务报表后导致恺英网络 2018 年度虚减净利润4,375 万元。</t>
  </si>
  <si>
    <t>康得新</t>
  </si>
  <si>
    <t>http://www.szse.cn/disclosure/listed/bulletinDetail/index.html?7e9fe308-ff7d-4fd6-8a84-dd13639bf8bd</t>
  </si>
  <si>
    <t>经营性资产；营业收入；营业成本；其他成本</t>
  </si>
  <si>
    <t>1.虚构业务从而虚增利润总额
2015年至2018年，康得新通过虚构销售业务、虚构采购、生产、研发费用、产品运输费用等方式，虚增营业收入、营业成本、研发费用和销售费用，导致利润总额累计虚增多达115.31亿元，其中2017年虚增利润达39.08亿元，占公司当年披露利润总额的134.19%。
2.虚增银行存款余额
2015至2018年，康得新及合并财务报表范围内3家子公司的4个北京银行账户资金被实时、全额归集到康得集团北京银行另一账户，康得新北京银行账户组各年末实际余额为0，导致银行存款余额累计虚增多达332.58亿元，其中2018年银行存款余额虚增181.55亿元，占当年对外披露净资产的67.25%。
3.未及时披露及未在年报中披露为关联方提供担保的情况
2016至2018年，康得新子公司康得新光电以大额专户资金存单为康得集团提供担保，上述年份担保债务本金分别为14.83亿元、14.63亿元、14.63亿元，但康得新未在签订担保合同之日起两个交易日内，披露其签订担保合同及对外提供担保事项。另外，康得新未在2016年至2018年年报中披露其为关联方提供担保的情况，导致相关年报存在重大遗漏。
4.未如实披露募集资金使用情况
2015年和2016年，康得新以非公开发行方式分别募集资金净额29.82亿元、47.84亿元，用于向康得新光电增资。2018年7月至12月期间，康得新将募集资金从专户转出，以支付设备采购款的名义分别向化学赛鼎、宇龙汽车支付21.74亿元、2.79亿元，该资金被转出并经过多道流转，主要资金最终回流至康得新，用于归还银行贷款、配合虛增利润等方面。康得新披露报告期内已使用募集资金总额36.88亿元，全部用于项目建设。康得新未如实披露募集资金使用情况，导致2018年年报存在虚假记载。</t>
  </si>
  <si>
    <t>600634.SH</t>
  </si>
  <si>
    <t>*ST富控</t>
  </si>
  <si>
    <t>上海富控互动娱乐股份有限公司</t>
  </si>
  <si>
    <t>2013；2014；2015；2016；2017；2018</t>
  </si>
  <si>
    <t>5年以上</t>
  </si>
  <si>
    <t>2017年半年报、18年半年报</t>
  </si>
  <si>
    <t>中汇会计师事务所；众华会计师事务所</t>
  </si>
  <si>
    <t>公司未在定期报告中披露关联交易，2014 年至 2018 年上半年，富控互动及其子公司与颜静刚等关联方进行提供资金、日常购销、购买股权等业务，构成富控互动与颜静刚等关联方之间的关联交易。共计747,700万元，其中2017年占用资金最多，为330,500万元；公司在定期报告中虚增利润总额 ，2013年至2016年共计虚增利润44,386.65万元，其中2015年虚增利润最多，为18,833.96万元；未及时披露及未在定期报告中披露对外担保；未在定期报告中披露或有负债。</t>
  </si>
  <si>
    <t>600525.SH</t>
  </si>
  <si>
    <t>长园集团</t>
  </si>
  <si>
    <t>长园集团股份有限公司</t>
  </si>
  <si>
    <t>http://www.cninfo.com.cn/new/disclosure/detail?plate=sse&amp;orgId=gssh0600525&amp;stockCode=600525&amp;announcementId=1208608018&amp;announcementTime=2020-10-24</t>
  </si>
  <si>
    <t>2016 年 6 月 7 日，长园集团与上海和鹰实业发展有限公司等 16 名股东签订《股份转让协议》，购买上海和鹰机电科技股份有限公司(后更名为长园和鹰)80%股权。2016 年 7 月 28 日，长园和鹰成为长园集团控股子公司。自 2016 年 8 月起，长园集团将长园和鹰纳入合并报表范围。
长园和鹰通过虚构海外销售、提前确认收入、重复确认收入、签订“阴阳合同”、项目核算不符合会计准则等多种方式虚增业绩，导致长园集团 2016 年、2017 年年报中披露的财务数据存在虚假记载。</t>
  </si>
  <si>
    <t>招商证券股份有限公司,国信证券股份有限公司</t>
  </si>
  <si>
    <t>600666.SH</t>
  </si>
  <si>
    <t>奥瑞德</t>
  </si>
  <si>
    <t>奥瑞德光电股份有限公司</t>
  </si>
  <si>
    <t>http://static.sse.com.cn/disclosure/listedinfo/announcement/c/2020-06-10/600666_20200610_1.pdf</t>
  </si>
  <si>
    <t>2017-2018年一季报；2016-2018年半年报及三季报；2016-2017年年报</t>
  </si>
  <si>
    <t>1.定期报告中财务报表存在虚假记载
奥瑞德及其子公司相关借款、担保事项以及其子公司奥瑞德有限虚构设备销售、虚构应收账款的收回，导致奥瑞德累计虚增利润总额39,904.16万元，且2016年半年报至2018年三季报期间的10份定期报告存在虚假记载。
2.未披露重大合同、重大债务违约及诉讼、对外担保及诉讼情况
[1]2017年至2018年，奥瑞德未及时披露7起重大合同、重大债务违约及诉讼事项，相关借入资金达121,500万元，导致相关定期报告存在重大遗漏。
[2]奥瑞德未及时披露对国都控股、上海爱建提供的连带责任保证担保及后续的诉讼事项，也未在定期报告中披露，导致2017年三季报至2018年三季报期间的定期报告存在重大遗漏。
3.未披露关联方资金占用及关联交易的情况
2017年8月至12月，奥瑞德及子公司奥瑞德有限借入的资金先后转入公司实控人左洪波及其控制的银行账户，资金使用用途和具体流向由左洪波决定，部分资金用于归还其个人借款。奥瑞德未及时且未在相关定期报告中进行披露上述事项，导致相关报告存在重大遗漏。此外，奥瑞德曾于2018年4月28日披露的关联方资金占用情况的专项说明与事实不符，存在重大遗漏。
4.未披露关联方提供担保的关联交易情况
2017年8月至9月，奥瑞德控股股东及其关联方为奥瑞德及其子公司借款提供担保，关联担保金额达到年报披露标准，但公司未披露上述关联交易事项，导致2017年年报存在重大遗漏。</t>
  </si>
  <si>
    <t>西南证券股份有限公司,海通证券股份有限公司</t>
  </si>
  <si>
    <t>000760.SZ</t>
  </si>
  <si>
    <t>*ST斯太</t>
  </si>
  <si>
    <t>斯太尔动力股份有限公司</t>
  </si>
  <si>
    <t>财报粉饰；信息披露违法违规</t>
  </si>
  <si>
    <t>http://www.cninfo.com.cn/new/disclosure/detail?plate=szse&amp;orgId=gssz0000760&amp;stockCode=000760&amp;announcementId=1207895169&amp;announcementTime=2020-06-04</t>
  </si>
  <si>
    <t>2015年，斯太尔通过虚构技术许可业务，将武进国家高新技术产业开发区管理委员会拨付的 1 亿元用于斯太尔柴油发动机项目的专项扶持资金，以子公司斯太尔动力（江苏）投资有限公司EM11 柴油发动机专有技术许可收入入账，并在扣除税金后确认为主营业务收入，据此虚增 2014 年度营业收入、利润总额、净利润。
2015年，斯太尔通过变更政府奖励款受益人的方式，将武进高新区管委会应付常州斯太尔的 8,050 万元政府奖励款实际支付给其他公司。斯太尔 2015 年报未披露上述事项，造成虚减 2015 年度营业外收入和利润总额。
2016年，斯太尔通过虚构技术许可业务，将其从江苏中关村科技产业园管理委员会预收 2 亿元政府奖励资金，包装成子公司江苏斯太尔的三款非道路柴油发动机技术许可收入，虚增营业收入、净利润、利润总额。</t>
  </si>
  <si>
    <t>长江证券股份有限公司,国泰君安证券股份有限公司</t>
  </si>
  <si>
    <t>000835.SZ</t>
  </si>
  <si>
    <t>*ST长动</t>
  </si>
  <si>
    <t>成都市</t>
  </si>
  <si>
    <t>长城国际动漫游戏股份有限公司</t>
  </si>
  <si>
    <t>http://www.cninfo.com.cn/new/disclosure/detail?plate=szse&amp;orgId=gssz0000835&amp;stockCode=000835&amp;announcementId=1207858455&amp;announcementTime=2020-05-26</t>
  </si>
  <si>
    <t>2017 年半年报</t>
  </si>
  <si>
    <t>2017 年 6 月-8 月，长城动漫子公司北京新娱向孙某岳等 12 个自然人账户支付了共 389 万元款项，用于支付北京新娱有关的广告费或促销费，北京新娱将 389 万元款项在 2017 年核算为预付账款，未计入营业费用。
2017 年 3 月—12 月，李嘉嘉代北京新娱向孙某岳个人账户支付北京新娱2017 年游戏业务促销费398 万元，但北京新娱财务账内未进行核算。
2017 年 5 月-6 月，北京新娱以支付股权投资款为依据向天津某公司付款后，安排天津某公司将其中 303 万元资金用于实际支付有关游戏业务广告费，北京新娱财务账面对此核算为长期股权投资，后又调整为预付账款，但北京新娱最终未取得天津某公司股权及其他资产，未将 303 万元资金支出据实确认为广告费用。
长城动漫子公司上海天芮2017 年对客户公司确认的 713 万元销售收入所对应资金均来自于上海天芮总经理洪某刚，上海天芮收款后又将其中 704.5 万元退还给洪某刚，相关的经济利益实际上并未流入上海天芮，上述贸易不具有商业实质。因此，2017年长城动漫多计营业收入、少计营业成本、多计净利润。</t>
  </si>
  <si>
    <t>002210.SZ</t>
  </si>
  <si>
    <t xml:space="preserve">飞马国际 </t>
  </si>
  <si>
    <t>深圳市飞马国际供应链股份有限公司</t>
  </si>
  <si>
    <t>http://www.szse.cn/disclosure/listed/bulletinDetail/index.html?0547b7ab-d1a8-4d62-b266-d8afc278fba6</t>
  </si>
  <si>
    <t>1.未按规定披露关联交易事项、重大担保事项及控股股东股权质押事项
[1]2018年7月至8月，飞马国际及全资子公司以预付款方式，经上海长然、上海昌何、合拓矿业中转，向控股股东飞马投资转入137,459万元，且该关联交易事项未按照规定及时披露。
[2]2018年5月至8月，飞马国际控股子公司东莞飞马对外提供重大担保总额达24亿元，但飞马国际未按照规定及时披露。
[3]2018年6月至9月，飞马国际未收到飞马投资通知，并未按照规定及时披露其所持公司股票质押事项。2018年9月，深交所就股票质押事项下发问询函，飞马国际向飞马投资核实后才进行披露。</t>
  </si>
  <si>
    <t>603111.SH</t>
  </si>
  <si>
    <t>康尼机电</t>
  </si>
  <si>
    <t>南京康尼机电股份有限公司</t>
  </si>
  <si>
    <t>http://www.cninfo.com.cn/new/disclosure/detail?plate=sse&amp;orgId=9900022961&amp;stockCode=603111&amp;announcementId=1210614183&amp;announcementTime=2021-07-31</t>
  </si>
  <si>
    <t>2015；2016；2017</t>
  </si>
  <si>
    <t>江苏苏亚金诚会计师事务所</t>
  </si>
  <si>
    <t>营业收入；营业成本；经营性资产；经营性负债</t>
  </si>
  <si>
    <t>2015 年至 2017 年，龙昕科技通过虚开增值税发票或未开票即确认收入的方式，通过客户欧朋达科技（深圳）有限公司、深圳市东方亮彩精密技术有限公司等 11 家公司，在正常业务基础上累计虚增收入 90,069.42 万元。
龙昕科技虚增收入导致各期末形成大量虚假应收账款余额。同时，龙昕科技按正常业务毛利率水平，虚假结转成本，导致2015-2017年虚增成本。
此外，为平衡结转的虚假成本，龙昕科技倒算出需采购的原材料数据，进行虚假采购，购导致各期末形成大量虚假应付账款余额。</t>
  </si>
  <si>
    <t>600086.SH</t>
  </si>
  <si>
    <t>*ST金钰</t>
  </si>
  <si>
    <t>鄂州市</t>
  </si>
  <si>
    <t>东方金钰股份有限公司</t>
  </si>
  <si>
    <t>http://www.cninfo.com.cn/new/disclosure/detail?plate=sse&amp;orgId=gssh0600086&amp;stockCode=600086&amp;announcementId=1208444944&amp;announcementTime=2020-09-16</t>
  </si>
  <si>
    <t>大信会计师事务所；大华会计师事务所</t>
  </si>
  <si>
    <t>东方金钰通过虚构其所控制的瑞丽市姐告宏宁珠宝有限公司与普某腊、保某、李某青、凤某、自某堵、张某梅等六名自然人名义客户之间的翡翠原石销售交易，虚增营业收入、营业成本、利润总额。</t>
  </si>
  <si>
    <t>中信证券股份有限公司,长江证券股份有限公司</t>
  </si>
  <si>
    <t>600701.SH</t>
  </si>
  <si>
    <t>*ST工新</t>
  </si>
  <si>
    <t>哈尔滨工大高新技术产业开发股份有限公司</t>
  </si>
  <si>
    <t>其他企业</t>
  </si>
  <si>
    <t>http://static.sse.com.cn/disclosure/listedinfo/announcement/c/2020-04-30/600701_20200430_2.pdf</t>
  </si>
  <si>
    <t>经营性资产；经营性负债；其他成本，资金占用</t>
  </si>
  <si>
    <t>公司关联方非经营性占用上市公司资金未及时披露，2016 年 12 月至 2017 年 12 月期间，工大高新累计向关联方工大集团提供资金 10.16 亿元，形成关联方占用上市公司资金 10.16 亿元；公司对外担保未及时披露；公司未及时披露多起重大诉讼和仲裁；公司未及时披露主要账户被冻结情况；公司未及时披露重要子公司股权被冻结情况；公司未及时披露重大债务到期未清偿事项；公司存在重大会计差错，导致2016年、2017年年报财务数据披露不真实、不准确。</t>
  </si>
  <si>
    <t>002766.SZ</t>
  </si>
  <si>
    <t>ST索菱</t>
  </si>
  <si>
    <t>深圳市索菱实业股份有限公司</t>
  </si>
  <si>
    <t>http://www.cninfo.com.cn/new/disclosure/detail?plate=szse&amp;orgId=9900023703&amp;stockCode=002766&amp;announcementId=1208886438&amp;announcementTime=2020-12-11</t>
  </si>
  <si>
    <t>瑞华会计师事务所；亚太（集团）会计师事务所</t>
  </si>
  <si>
    <t>2016 年 1 月至 2018 年 12 月，索菱股份虚增营业收入、虚减管理费用、财务费用。
索菱股份 2018 年年报中未披露实际控制人非经营性占用资金的情况，存在重大遗漏。
同时，2017-2018年索菱未按规定披露对外担保情况。</t>
  </si>
  <si>
    <t>002341.SZ</t>
  </si>
  <si>
    <t>新纶科技</t>
  </si>
  <si>
    <t>深圳市新纶科技股份有限公司</t>
  </si>
  <si>
    <t>http://www.cninfo.com.cn/new/disclosure/detail?plate=szse&amp;orgId=9900010253&amp;stockCode=002341&amp;announcementId=1207851970&amp;announcementTime=2020-05-25</t>
  </si>
  <si>
    <t>2016 年至 2018 年，新纶科技通过全资子公司新纶科技(常州)有限公司与自然人张某控制的多家公司虚构贸易业务，虚增收入、成本及利润。
虚构的贸易业务没有物流发生，新纶科技伪造相应的出库和入库单据，并按采购金额的 15%计算税费和采购金额的 3%计算手续费支付给张某控制的公司，同时将同一批货物销售给张某控制的相关公司，整个贸易业务的物料购销形成闭环，对应的收付款形成资金闭环。
同时，2017年新纶科技未按规定披露关联交易及对外担保事项。</t>
  </si>
  <si>
    <t>600830.SH</t>
  </si>
  <si>
    <t>香溢融通</t>
  </si>
  <si>
    <t>香溢融通控股集团股份有限公司</t>
  </si>
  <si>
    <t>http://www.cninfo.com.cn/new/disclosure/detail?plate=sse&amp;orgId=gssh0600830&amp;stockCode=600830&amp;announcementId=1207474223&amp;announcementTime=2020-04-10</t>
  </si>
  <si>
    <t xml:space="preserve">2015 年12月下旬，香溢融通子公司香溢融通（浙江）投资有限公司将其持有的东海瑞京——瑞龙7号专项资产管理计划的收益权转让给宁波开泰投资合伙企业（有限合作），转让价款 6,000 万元。香溢融通子公司浙江香溢金联有限公司将其持有的浦银安盛—浦发银行—君证1号资产管理计划的收益权转让给宁波超宏投资咨询有限公司和宁波九牛投资咨询有限公司，转让价款共计4300万元。
因瑞龙7号和君证1号收益权转让附带担保，香溢融通当期不得确认投资收益，但香溢融通隐瞒担保事项，提前确定投资收益，并为了履行担保义务，虚构投资业务，导致香溢融通2015-2016年利润存在虚假记载。
</t>
  </si>
  <si>
    <t>300093.SZ</t>
  </si>
  <si>
    <t>金刚玻璃</t>
  </si>
  <si>
    <t>广东金刚玻璃科技股份有限公司</t>
  </si>
  <si>
    <t>http://www.cninfo.com.cn/new/disclosure/detail?plate=szse&amp;orgId=9900012451&amp;stockCode=300093&amp;announcementId=1207525205&amp;announcementTime=2020-04-20</t>
  </si>
  <si>
    <t>2015半年报、2016半年报、2017半年报</t>
  </si>
  <si>
    <t>北京永拓会计师事务所</t>
  </si>
  <si>
    <t>建筑材料</t>
  </si>
  <si>
    <t>2015 年 1 月至 2017 年 12 月，金刚玻璃通过伪造定期存款合同和虚构利息收款方式虚增利息收入，通过虚构销售业务方式虚增销售收入及款，并通过虚增产量分配真实成本的方式虚增营业成本。
2015 年 1 月至 2016 年 12 月，金刚玻璃通过财务不记账、虚假记账，伪造定期存款合同，配合营业收入造假虚构销售回款等方式，虚增货币资金。
同时，金刚玻璃在 2016 年至 2018 年期间未按规定披露关联方非经营性占用资金的关联交易情况。</t>
  </si>
  <si>
    <t>000995.SZ</t>
  </si>
  <si>
    <t>皇台酒业</t>
  </si>
  <si>
    <t>甘肃省</t>
  </si>
  <si>
    <t>武威市</t>
  </si>
  <si>
    <t>甘肃皇台酒业股份有限公司</t>
  </si>
  <si>
    <t>http://www.cninfo.com.cn/new/disclosure/detail?plate=szse&amp;orgId=gssz0000995&amp;stockCode=000995&amp;announcementId=1208522129&amp;announcementTime=2020-10-09</t>
  </si>
  <si>
    <t>希格玛会计师事务所</t>
  </si>
  <si>
    <t xml:space="preserve">皇台酒业 2016 年年报虚假记载库存商品账面余额86,298,783.30 元。 </t>
  </si>
  <si>
    <t>中国中金财富证券有限公司,海通证券股份有限公司</t>
  </si>
  <si>
    <t>002427.SZ</t>
  </si>
  <si>
    <t>ST尤夫</t>
  </si>
  <si>
    <t>湖州市</t>
  </si>
  <si>
    <t>浙江尤夫高新纤维股份有限公司</t>
  </si>
  <si>
    <t>http://www.szse.cn/disclosure/listed/bulletinDetail/index.html?7f0b1e41-2e80-45ff-8789-5dd321fbba8b</t>
  </si>
  <si>
    <t>2017年半年报、2017年年报、2018年半年报</t>
  </si>
  <si>
    <t>众华会计师事务所；利安达会计师事务所</t>
  </si>
  <si>
    <t>尤夫股份未在2017-2018年中披露关联交易，关联方累计资金占用5.07亿元；未在2016-2018年及时披露及未在定期报告中披露对外担保。</t>
  </si>
  <si>
    <t>002188.SZ</t>
  </si>
  <si>
    <t>ST巴士</t>
  </si>
  <si>
    <t>巴士在线股份有限公司</t>
  </si>
  <si>
    <t>http://www.cninfo.com.cn/new/disclosure/detail?plate=szse&amp;orgId=9900003882&amp;stockCode=002188&amp;announcementId=1207483134&amp;announcementTime=2020-04-13</t>
  </si>
  <si>
    <t>1年以内</t>
  </si>
  <si>
    <t>2017年一季报、2017年半年报、2017年三季报</t>
  </si>
  <si>
    <t>巴士股份全资子公司巴士科技违反《企业会计准则第14号--收入》的规定，在收入确认依据不充分的情况下，对其部分经营业务确认收入，巴士科技纳入巴士股份合并报表范围后，导致巴士股份2017年虚增营业收入、净利润。</t>
  </si>
  <si>
    <t>第一创业证券股份有限公司</t>
  </si>
  <si>
    <t>000981.SZ</t>
  </si>
  <si>
    <t>银亿股份</t>
  </si>
  <si>
    <t>兰州市</t>
  </si>
  <si>
    <t>银亿股份有限公司</t>
  </si>
  <si>
    <t>http://www.szse.cn/disclosure/listed/bulletinDetail/index.html?f70e03a2-75b6-4996-8f52-2ef853d465b3</t>
  </si>
  <si>
    <t>1.未及时披露子公司代关联方银亿集团偿还借款事项
银亿集团为银亿股份控股股东银亿控股的控股股东，与银亿股份构成关联关系。2018年9月，为偿还银亿集团所欠2.88亿元借款，银亿股份子公司银亿新城将准备出售的商品房过户至第三方，并确认为销售收入，从而形成银亿股份子公司代关联方银亿集团偿还借款事项，且银亿股份未及时履行信息披露义务。
2.未及时披露子公司通过新世纪大酒店向银亿集团提供借款事项
2018年6月，银亿股份子公司银亿房产与新世纪大酒店签订股权转让协议，新世纪大酒店将银亿房产支付的8亿元预付款，通过第三方等中间环节转入银亿集团及其关联方账户。后终止股权转让协议时，新世纪大酒店将银亿集团及其关联方转入的8亿元，向银亿房产归还预付款。上述行为形成银亿房产通过新世纪大酒店向银亿集团提供8亿元借款事项，且银亿股份未及时履行信息披露义务。
3.未及时披露与关联方发生的关联交易
[1]2018年5月至8月，银亿股份子公司银亿房产分别与关联方盈日金属、港通凯邦和卓越圣龙签订协议，购买3家公司名下土地及地上建筑物，但银亿股份未及时履行信息披露义务。
[2]2017年，银亿股份子公司银亿时代、凯启精密分别与关联方东方甬恒、圣峰贸易签订合同，套取中建投信托发放的指定用途的项目贷款，但银亿股份未及时履行信息披露义务。</t>
  </si>
  <si>
    <t>光大兴陇信托有限责任公司</t>
  </si>
  <si>
    <t>300363.SZ</t>
  </si>
  <si>
    <t>博腾股份</t>
  </si>
  <si>
    <t>重庆</t>
  </si>
  <si>
    <t>重庆市</t>
  </si>
  <si>
    <t>重庆博腾制药科技股份有限公司</t>
  </si>
  <si>
    <t>http://www.cninfo.com.cn/new/disclosure/detail?plate=szse&amp;orgId=9900022740&amp;stockCode=300363&amp;announcementId=1207811433&amp;announcementTime=2020-05-15</t>
  </si>
  <si>
    <t>2018年半年报、2018三季报、2019年一季报</t>
  </si>
  <si>
    <t>经营性资产；经营性负债；非经营性负债；资金占用</t>
  </si>
  <si>
    <t>2018 年 4 月 18 日至 9 月 30 日期间，博腾股份累计向实际控制人提供资金26,474 万元，但博腾股份 2018年半年报和第三季度报告未按规定披露关联方非经营性资金占用的关联交易情况，存在虚假记载和重大遗漏。</t>
  </si>
  <si>
    <t>002147.SZ</t>
  </si>
  <si>
    <t>ST新光</t>
  </si>
  <si>
    <t>马鞍山市</t>
  </si>
  <si>
    <t>新光圆成股份有限公司</t>
  </si>
  <si>
    <t>http://www.szse.cn/disclosure/listed/bulletinDetail/index.html?f012055b-6582-4921-ac8c-66bc62ed63b3（行政处罚书，公司已退市）</t>
  </si>
  <si>
    <t>1.假借支付第三方股权收购款、债务转移，向控股股东提供资金
[1]2018年，ST新光子公司万某地产以支付股权收购款的名义向南国某豆划转7.6亿元资金，南国某豆通过无锡源某投资管理有限公司将该笔资金最终划转至ST新光控股股东新光集团。
[2]2018年，在未经债权人同意的情况下，ST新光及其子公司万某地产将应还新疆华某等四位债权人的累计6.75亿元资金直接转入新光集团，且新光集团并未向债权人归还款项。
2.未按规定披露违规担保及共同借款事项
[1]2017年12月至2018年9月，ST新光违规为董事长周晓光等关联方提供担保金额29.52亿元，其中2018年1月至6月发生的金额为26.02亿元。
[2]2018年，新光集团向自然人方某校借款8,000万元，ST新光及其子公司义乌某中心作为新光集团及其子公司新某饰品的共同借款人签字。
ST新光未按规定及时披露或在2018年中期报告中披露上述关联交易、违规担保及共同借款事项。</t>
  </si>
  <si>
    <t>华泰证券股份有限公司</t>
  </si>
  <si>
    <t>002513.SZ</t>
  </si>
  <si>
    <t>蓝丰生化</t>
  </si>
  <si>
    <t>江苏蓝丰生物化工股份有限公司</t>
  </si>
  <si>
    <t>http://www.szse.cn/disclosure/listed/bulletinDetail/index.html?32f84faf-154a-4f49-8a55-59448055a939</t>
  </si>
  <si>
    <t>2016-2017年半年报；2016年年报</t>
  </si>
  <si>
    <t>1.未按规定披露蓝丰生化与关联方之间的关联交易
2016-2017年，蓝丰生化全资子公司方舟制药通过资金划拨不入账的方式，向时任副董事长王宇实际控制的方舟置业、宁夏华宝、禾博生物及王宇指定的单位或个人划拨资金合计6.02亿元，该行为实质构成蓝丰生化向关联自然人王宇提供财务资助的关联交易。但蓝丰生化既未履行关联交易决策程序，也未在相关定期报告中予以披露。</t>
  </si>
  <si>
    <t>600610.SH</t>
  </si>
  <si>
    <t>中毅达</t>
  </si>
  <si>
    <t>福泉市</t>
  </si>
  <si>
    <t>上海中毅达股份有限公司</t>
  </si>
  <si>
    <t>http://static.sse.com.cn/disclosure/listedinfo/announcement/c/2019-12-17/600610_20191217_3.pdf</t>
  </si>
  <si>
    <t>2017 年年报</t>
  </si>
  <si>
    <t>四川华信（集团）会计师事务所</t>
  </si>
  <si>
    <t>1.未及时披露实际控制人变更事项
2016年4月，中毅达控股股东大申集团有限公司董事长何晓阳与股权受让方签署《股权转让协议书》，拟转让其持有的大申集团股份。2016年8月，中毅达的实际控制人发生变更。2017年7月，中毅达披露了何晓阳提交的上述全部协议及相关资料，未及时披露实际控制人变更事项。
2.未按规定披露关联交易、虚假记载关联方事项
2017年7月、9月，中毅达控股子公司新疆中毅达与深圳宏利创分别签订无真实业务往来的《购销合同》《合同部分终止协议》，新疆中毅达向深圳宏利创支付资金累计8,938万元，深圳宏利创累计返还资金6,799.96万元，中毅达未及时披露上述资金往来构成的关联交易，且虚假记载上述交易对手非关联方。</t>
  </si>
  <si>
    <t>002263.SZ</t>
  </si>
  <si>
    <t>大东南</t>
  </si>
  <si>
    <t>浙江大东南股份有限公司</t>
  </si>
  <si>
    <t>财报粉饰；其他信息披露违规；违规担保</t>
  </si>
  <si>
    <t>http://www.cninfo.com.cn/new/disclosure/detail?plate=szse&amp;orgId=9900005061&amp;stockCode=002263&amp;announcementId=1207215648&amp;announcementTime=2020-01-02</t>
  </si>
  <si>
    <t>大东南集团和诸暨万能在 2016-2018 年间频繁、大量非经营性占用大东南股份和宁波万象资金。大东南未在 2016 年年报、2017 年半年报、2017 年年报、2018 年半年报等定期报告中如实披露关联方资金占用情况。
同时，2016-2018年大东南未按规定披露对外担保和共同借款情况。</t>
  </si>
  <si>
    <t>*ST辉丰</t>
  </si>
  <si>
    <t>江苏辉丰生物农业股份有限公司</t>
  </si>
  <si>
    <t>http://www.cninfo.com.cn/new/disclosure/detail?plate=szse&amp;orgId=9900015672&amp;stockCode=002496&amp;announcementId=1207194641&amp;announcementTime=2019-12-26</t>
  </si>
  <si>
    <t>2016-2017年，辉丰生物通过虚构购销贸易虚增营业收入、营业成本。
同时，2016-2017年，辉丰生物未按规定披露环保相关事项及高管被采取刑事强制措施的事项。</t>
  </si>
  <si>
    <t>300216.SZ</t>
  </si>
  <si>
    <t>千山退(退市)</t>
  </si>
  <si>
    <t>湖南千山制药机械股份有限公司</t>
  </si>
  <si>
    <t>www.szse.cn/disclosure/listed/bulletinDetail/index.html?6eaa2f86-5fe1-4b0b-9521-d3789ea55c74</t>
  </si>
  <si>
    <t>2014年12月9日，千山药机与华冠花炮签订了烟花生产线合同，销售数量10条，销售金额10,500万元。千山药机2015年确认烟花生产线的销售收入不符合《企业会计准则第14号-收入》(财会[2006]3号)以及公司对外披露的收入确认会计政策。上述行为导致公司2015年虚增收入和利润。
2015年，千山药机通过虚构销售回款，虚减应收账款、虚增利润。
2016年，千山药机未如实对解除与太平洋证券的应收账款保理业务进行会计处理，导致2016年度虚减应收账款、虚减应收账款坏账准备、虚增利润。
2016年，千山药机违规确认与华冠花炮的烟花生产线销售收入，虚增销售收入、虚增利润。
2016年，千山药机通过及虚列的银行存款支出、虚列背书支付等方式虚增在建工程。
2017年，千山药机未按规定对关联方非经营性占用公司资金履行临时报告义务。</t>
  </si>
  <si>
    <t>000408.SZ</t>
  </si>
  <si>
    <t>*ST藏格</t>
  </si>
  <si>
    <t>青海省</t>
  </si>
  <si>
    <t>格尔木市</t>
  </si>
  <si>
    <t>藏格控股股份有限公司</t>
  </si>
  <si>
    <t>http://static.cninfo.com.cn/finalpage/2019-12-03/1207130135.PDF</t>
  </si>
  <si>
    <t>2017年7月至2018年12月期间，藏格控股通过开展虚假贸易业务的方式，虚增营业收入和营业利润、应收账款和预付账款。
同时，藏格控股2018年未按规定披露其控股股东西藏藏格创业投资集团有限公司及其关联方非经营性占用藏格控股资金事项。</t>
  </si>
  <si>
    <t>河北证券有限责任公司</t>
  </si>
  <si>
    <t>000806.SZ</t>
  </si>
  <si>
    <t>银河生物</t>
  </si>
  <si>
    <t>北海市</t>
  </si>
  <si>
    <t>北海银河生物产业投资股份有限公司</t>
  </si>
  <si>
    <t>http://www.szse.cn/disclosure/listed/bulletinDetail/index.html?669d08ed-be25-42db-a4c6-3c05243d5db2</t>
  </si>
  <si>
    <t>2016-2017年年报；2017-2018年半年报</t>
  </si>
  <si>
    <t>1.未按规定披露关联方非经营性占用资金的关联交易
2016-2018年，银河生物及其子公司通过直接或间接向关联企业划转资金、代关联方还款、对外借款供关联企业使用、向关联方开具没有真实交易背景的商业承兑汇票等方式，持续为银河集团等关联方提供资金合计18.27亿元。
2.未按规定披露为关联方提供担保的情况和重大诉讼信息
[1]2016年7月至2018年3月，银河生物及子公司共计15次为银河集团等关联方对外借款提供担保，担保累计金额15.44亿元，且公司未按规定对上述事项履行股东大会、董事会审议程序。
[2]2017年10月至2019年1月，银河生物涉及民事诉讼18起，涉诉金额合计不少于15.65亿元。
3.未按规定披露银河集团所持公司股份被司法冻结事项
2018年4月至6月，银河集团持有的公司股份先后被深圳市中级人民法院等多个法院冻结和轮候冻结，冻结股份数合计占银河集团所持公司股份数的100%。直至2018年8月7日，银河生物才对上述事项进行公开披露。
银河生物未按规定及时且未在相关定期报告中真实、完整披露上述事项，导致相关定期报告存在虚假记载和重大遗漏。</t>
  </si>
  <si>
    <t>光大证券股份有限公司,海南港澳国际信托投资有限公司</t>
  </si>
  <si>
    <t>000939.SZ</t>
  </si>
  <si>
    <t>凯迪退</t>
  </si>
  <si>
    <t>武汉市</t>
  </si>
  <si>
    <t>凯迪生态环境科技股份有限公司</t>
  </si>
  <si>
    <t>财报粉饰；其他信息披露违法违规；经营不当</t>
  </si>
  <si>
    <t>http://www.cninfo.com.cn/new/disclosure/detail?plate=szse&amp;orgId=gssz0000939&amp;stockCode=000939&amp;announcementId=1207783741&amp;announcementTime=2020-05-13</t>
  </si>
  <si>
    <t>营业成本；经营性资产；资金占用</t>
  </si>
  <si>
    <t>2015 年 1 月 1 日至 2017 年 12 月 31 日期间，凯迪生态部分借款费用资本化的在建电厂存在停建情形。暂停相关停建电厂的借款费用资本化的会计处理，导致 2015 年、2016 年、2017 年财务报告存在虚增在建工程、虚减财务费用、虚增利润总额的情形。
2017 年 5 月 11 日至 2018 年 3 月 15 日期间，凯迪生态向关联方支付 5.88 亿元款项，无商业实质部分资金往来形成非经营性资金占用，构成未按规定披露关联交易。
2017年11月，凯迪生态与关联方之间 2.94 亿元资金往来形成非经营性资金占用，构成未按规定披露关联交易。
同时，凯迪生态在2018年未按规定披露重大债务违约和关联交易事项。</t>
  </si>
  <si>
    <t>600651.SH</t>
  </si>
  <si>
    <t>*ST飞乐</t>
  </si>
  <si>
    <t>上海飞乐音响股份有限公司</t>
  </si>
  <si>
    <t>http://www.cninfo.com.cn/new/disclosure/detail?plate=sse&amp;orgId=gssh0600651&amp;stockCode=600651&amp;announcementId=1207059946&amp;announcementTime=2019-11-02</t>
  </si>
  <si>
    <t>2017年半年报、2017年三季报、2017年业绩预告</t>
  </si>
  <si>
    <t>2017 年上半年，飞乐音响与贵州省沿河土家族自治县人民政府就”智慧沿河”建设项目开展合作；2017 年下半年，飞乐音响与贵州省台江县人民政府”智慧台江”项目开展合作。
“智慧沿河”“智慧台江”项目确认收入不符合条件，导致飞乐音像2017年定期报告存在虚假记载。</t>
  </si>
  <si>
    <t>000971.SZ</t>
  </si>
  <si>
    <t>高升控股</t>
  </si>
  <si>
    <t>仙桃市</t>
  </si>
  <si>
    <t>高升控股股份有限公司</t>
  </si>
  <si>
    <t>http://www.szse.cn/disclosure/listed/bulletinDetail/index.html?85cba2e5-0963-4464-b7f9-b553d645b451</t>
  </si>
  <si>
    <t>1.未按规定披露与关联方之间的关联交易
2018年，高升控股与董云巍等签订4,000万元《借款及保证协议》，约定董云巍等将资金直接打入高升控股的关联方文化硅谷账户。随后，董云巍、鄢宇晴分别将合计4,000万元资金打入文化硅谷账户。高升控股拆借资金供关联方使用，构成关联交易，但高升控股未按规定履行关联交易审议程序并及时披露。
2.未在2017年年报中披露为关联方担保的关联交易
[1] 2017年，高升控股分别与其控股股东北京宇驰瑞德投资有限公司等作为共同借款人，与出借人赵从宾等签订借款协议，借款金额合计2.1亿元，实质形成关联担保行为。高升控股未按规定披露上述关联交易，且该关联事项未履行关联交易审议程序。
[2] 2017年，高升控股分别与上海汐麟投资管理有限公司等签订保证合同，为高升控股关联方宇驰瑞德等合计19.21亿元的借款提供担保。高升控股未按规定披露上述关联交易，且该关联事项未履行关联交易审议程序。</t>
  </si>
  <si>
    <t>安信证券股份有限公司，长江证券股份有限公司</t>
  </si>
  <si>
    <t>300090.SZ</t>
  </si>
  <si>
    <t>盛运退</t>
  </si>
  <si>
    <t>桐城市</t>
  </si>
  <si>
    <t>安徽盛运环保（集团）股份有限公司</t>
  </si>
  <si>
    <t>http://www.cninfo.com.cn/new/disclosure/detail?plate=szse&amp;orgId=9900012228&amp;stockCode=300090&amp;announcementId=1207074217&amp;announcementTime=2019-11-08</t>
  </si>
  <si>
    <t>经营性资产；非经营性负债；资金占用</t>
  </si>
  <si>
    <t>2016年，盛运环保及其 13 个子公司名下 23 个银行账户未纳入财务核算，少计资产、负债。
2017年，盛运环保未按规定披露关联方非经营性资金占用情况。
同时，2014-2018年，盛运环保未按规定披露对外担保事项；2014-2017年未按规定披露逾期债务情况。</t>
  </si>
  <si>
    <t>太平洋证券股份有限公司</t>
  </si>
  <si>
    <t>山东东方海洋科技股份有限公司</t>
  </si>
  <si>
    <t>http://www.cninfo.com.cn/new/disclosure/detail?plate=szse&amp;orgId=9900001344&amp;stockCode=002086&amp;announcementId=1206956118&amp;announcementTime=2019-09-30</t>
  </si>
  <si>
    <t>2016年报、2017半年报、2017年报、2018半年报、2018年报</t>
  </si>
  <si>
    <t>经营性资产；经营性负债；资金占用</t>
  </si>
  <si>
    <t>2017年4月10日，东方海洋与兴业国际信托有限公司签署信托贷款合同，贷款8,000万元。2017年5月9日，兴业信托向东方海洋发放贷款，扣除80万元保证金后，实际到账7,920万元。东方海洋通过水产中心、屯德水产、东方海洋集团等过渡账户将上述资金用于员工持股计划，贷款利息由员工承担。因对该笔业务未进行会计确认和计量，导致东方海洋2017半年报、2017年报少计短期借款、其他应收款7,920万元；2016年至2018年，方海洋对其与关联方之间发生的部分资金往来未按规定计提利息收入并记账、未按规定对开具的商业承兑汇票进行会计确认和计量、洋未对其与关联方之间发生的非经营性资金往来进行确认和计量、未对与深圳中安、安徽中安开展的融资租赁业务进行会计确认和计量，导致其少计其他应付款、利息收入、应付票据等科目。</t>
  </si>
  <si>
    <t>002650.SZ</t>
  </si>
  <si>
    <t>ST加加</t>
  </si>
  <si>
    <t>宁乡市</t>
  </si>
  <si>
    <t>加加食品集团股份有限公司</t>
  </si>
  <si>
    <t>http://www.cninfo.com.cn/new/disclosure/detail?plate=szse&amp;orgId=9900021914&amp;stockCode=002650&amp;announcementId=1207303771&amp;announcementTime=2020-02-13</t>
  </si>
  <si>
    <t>2018年未按规定披露控股股东非经营性资金占用情况；2017年未按规定披露与控股股东关联方交易情况、为控股股东提供担保情况。</t>
  </si>
  <si>
    <t>002742.SZ</t>
  </si>
  <si>
    <t>三圣股份</t>
  </si>
  <si>
    <t>重庆三圣实业股份有限公司</t>
  </si>
  <si>
    <t>http://www.cninfo.com.cn/new/disclosure/detail?plate=szse&amp;orgId=9900022970&amp;stockCode=002742&amp;announcementId=1206917277&amp;announcementTime=2019-09-12</t>
  </si>
  <si>
    <t>2018年半年报、2018年三季报</t>
  </si>
  <si>
    <t xml:space="preserve">2018年，三圣股份通过虚增预付账款等方式虚增净利润。
同时，2018年，三生股份未按规定披露关联方非经营性资金占用情况。
</t>
  </si>
  <si>
    <t>000636.SZ</t>
  </si>
  <si>
    <t>风华高科</t>
  </si>
  <si>
    <t>肇庆市</t>
  </si>
  <si>
    <t>广东风华高新科技股份有限公司</t>
  </si>
  <si>
    <t>http://www.cninfo.com.cn/new/disclosure/detail?plate=szse&amp;orgId=gssz0000636&amp;stockCode=000636&amp;announcementId=1207109630&amp;announcementTime=2019-11-25</t>
  </si>
  <si>
    <t>2016年半年报</t>
  </si>
  <si>
    <t>经营性资产；其他成本</t>
  </si>
  <si>
    <t>风华高科披露《2016 年年报》，其中列示的应收账款事项未包含部分应收账款，导致风华高科少计提资产减值损失，虚增利润总额。
2017年，风华高科未及时披露董事会及监事会决议。</t>
  </si>
  <si>
    <t>广东证券股份有限公司,大鹏证券有限责任公司</t>
  </si>
  <si>
    <t>002072.SZ</t>
  </si>
  <si>
    <t>凯瑞德</t>
  </si>
  <si>
    <t>荆门市</t>
  </si>
  <si>
    <t>凯瑞德控股股份有限公司</t>
  </si>
  <si>
    <t>http://www.szse.cn/disclosure/listed/bulletinDetail/index.html?92d23f1d-12f1-4d6f-9363-6dbeefb6fac1</t>
  </si>
  <si>
    <t>2014年年报</t>
  </si>
  <si>
    <t>其他收入；经营性负债</t>
  </si>
  <si>
    <t>1.违规核销应付账款，虚增净利润
凯瑞德违规核销31笔应付账款，并将核销金额1,376万元计入2014年营业外收入，导致公司2014年年报披露的应付账款、营业外收入、净利润等项目存在虚假记载。
2.未将出售子公司股权事项披露为关联交易
2014年凯瑞德出售子公司杰之盟100%股权事项，名义上为凯瑞德与浙江亿富之间发生的关联交易，但实质上为凯瑞德与当时公司实际控制人吴联模之间的关联交易。但凯瑞德在临时公告和定期公告中并未如实将上述事项披露为关联交易，导致相关公告内容存在虚假记载。
3.未按规定披露与关联方发生的非经营性资金往来
2014年至2016年6月期间，凯瑞德与实控人吴联模控股的第五季国际、第五季实业发生大量属于关联交易的非经营性资金往来。但凯瑞德未及时且未在相关定期报告中披露上述事项。</t>
  </si>
  <si>
    <t>600518.SH</t>
  </si>
  <si>
    <t>ST康美</t>
  </si>
  <si>
    <t>康美药业股份有限公司</t>
  </si>
  <si>
    <t>http://www.cninfo.com.cn/new/disclosure/detail?plate=sse&amp;orgId=gssh0600518&amp;stockCode=600518&amp;announcementId=1207813837&amp;announcementTime=2020-05-15</t>
  </si>
  <si>
    <t>2018半年报</t>
  </si>
  <si>
    <t>广东正中珠江会计师事务所</t>
  </si>
  <si>
    <t>2016 年1月1日至2018年6月30日，康美药业通过财务不记账、虚假记账，伪造、变造大额定期存单或银行对账单，配合营业收入造假伪造销售回款等方式，虚增货币资金。
康美药业在《2018 年年报》中将前期未纳入报表的亳州华佗国际中药城、普宁中药城、普宁中药城中医馆、亳州新世界、甘肃陇西中药城、玉林中药产业园等6个工程项目纳入表内，虚增固定资产、在建工程、投资性房地产。
康美药业《2016 年年报》《2017 年年报》《2018 年半年报》《2018年年报》中虚增营业收入、利息收入及营业利润。
同时，康美药业《2016 年年报》《2017 年年报》《2018 年年报告》中存在重大遗漏，未按规定披露控股股东及其关联方非经营性占用资金的关联交易情况。</t>
  </si>
  <si>
    <t>600807.SH</t>
  </si>
  <si>
    <t>济南高新</t>
  </si>
  <si>
    <t>济南市</t>
  </si>
  <si>
    <t>济南高新发展股份有限公司</t>
  </si>
  <si>
    <t>http://www.cninfo.com.cn/new/disclosure/detail?plate=sse&amp;orgId=gssh0600807&amp;stockCode=600807&amp;announcementId=1207021647&amp;announcementTime=2019-10-26</t>
  </si>
  <si>
    <t>2014；2015；2016；2017</t>
  </si>
  <si>
    <t>2016 年半年报、2017 年半年报、2018 年半年报</t>
  </si>
  <si>
    <t>营业成本；其他收入；其他成本；资金占用</t>
  </si>
  <si>
    <t>济南高新2017 年在不符合股权转让投资收益确认条件时确认了投资收益，2015-2017年未及时确认工程成本，2016-2017年少计财务费用，2015-2017年少计所得税费用，2014-2016年少计营业成本。
同时，济南高新未按规定披露关联交易、对外担保、债务违约事项.</t>
  </si>
  <si>
    <t>山东省国际信托股份有限公司,申万宏源证券有限公司</t>
  </si>
  <si>
    <t>300189.SZ</t>
  </si>
  <si>
    <t>神农科技</t>
  </si>
  <si>
    <t>海南神农科技股份有限公司</t>
  </si>
  <si>
    <t>http://static.cninfo.com.cn/finalpage/2019-09-23/1206939876.PDF</t>
  </si>
  <si>
    <t xml:space="preserve">立信会计师事务所 </t>
  </si>
  <si>
    <t>神农科技 2014 年至 2016 年通过虚构种子销售业务分别虚增主营业务收入 54,057,684.25 元、22,235,969.95 元、7,514,012.75 元。神农科技 2015 年通过实施无商业实质的品种权转让业务虚增利润25,150,000 元。</t>
  </si>
  <si>
    <t>000892.SZ</t>
  </si>
  <si>
    <t>欢瑞世纪</t>
  </si>
  <si>
    <t>欢瑞世纪联合股份有限公司</t>
  </si>
  <si>
    <t>http://static.cninfo.com.cn/finalpage/2019-11-05/1207064337.PDF</t>
  </si>
  <si>
    <t>经营性资产；营业收入；其他成本；资金占用</t>
  </si>
  <si>
    <t>欢瑞影视 2013 年因提前确认收入虚增营业收入 69,396,226.42 元；2014 年因提前确认收入虚增营业收入 27,894,339.63 元。欢瑞影视虚构收回应收款项 25,500,000.00 元，造成 2015 年年报少计提坏账准备4,250,000.00 元，2016 年半年报少计提坏账准备 4,675,000.00 元。欢瑞影视推迟计提应收款项坏账准备，造成 2013 年少计提坏账准备 52,000.00元，2014 年少计提坏账准备 208,000.00元,2015 年少计提坏账准备 2,340,000.00 元。欢瑞影视 2013 年年报未披露关联方占用资金 700 万元的关联交易，2014 年年报未披露关联方占用资金余额 700 万元的关联交易，2015 年年报未披露关联方占用资金余额 3000 万元的关联交易，2016 年半年报未披露关联方占用资金余额 3000 万元的关联交易。</t>
  </si>
  <si>
    <t>国信证券股份有限公司,中信建投证券股份有限公司</t>
  </si>
  <si>
    <t>002069.SZ</t>
  </si>
  <si>
    <t>獐子岛</t>
  </si>
  <si>
    <t>獐子岛集团股份有限公司</t>
  </si>
  <si>
    <t>http://www.cninfo.com.cn/new/disclosure/detail?plate=szse&amp;orgId=9900000781&amp;stockCode=002069&amp;announcementId=1207960708&amp;announcementTime=2020-06-25</t>
  </si>
  <si>
    <t>营业成本；其他成本</t>
  </si>
  <si>
    <t xml:space="preserve">2016-2017年，獐子岛度账面结转捕捞面积较实际捕捞面积少，由此，獐子岛虚减营业成本 ；獐子岛公司在未显示捕捞航行轨迹的区域进行了底播，根据会计核算一贯性原则，上述区域既往库存资产应作核销处理，由此，獐子岛虚减了营业外支出。
同时，根据獐子岛公司《年终盘点公告》和《核销公告》，减值区域与捕捞船只实际作业区域存在重合，经第三方专业机构测算，减值海域中 2015 年和 2016 年底播的虾夷扇贝分别有 6.38 万亩、0.13 万亩已在以往年度采捕，由此，獐子岛公司虚增资产减值损失
1,110.52 万元。
</t>
  </si>
  <si>
    <t>002122.SZ</t>
  </si>
  <si>
    <t>*ST天马</t>
  </si>
  <si>
    <t>天马轴承集团股份有限公司</t>
  </si>
  <si>
    <t>http://www.cninfo.com.cn/new/disclosure/detail?plate=szse&amp;orgId=9900002421&amp;stockCode=002122&amp;announcementId=1207067395&amp;announcementTime=2019-11-06</t>
  </si>
  <si>
    <t>2017年半年报、2017年三季报</t>
  </si>
  <si>
    <t>经营性资产；非经营性资产；非经营性负债；其他成本；资金占用</t>
  </si>
  <si>
    <t>1.未真实披露收购天马股份的资金来源
在关联方喀什星河用于收购天马股份的资金中，有15亿实际来自关联方星河互联向信托公司的借款，而非公告所称星河互联的股东投入及经营所获资金。
2.关联方资金占用及未披露关联交易 
2017年9月至2018年2月期间，天马股份控股股东徐茂栋占用资金达10.21亿元；天马股份未履行临时披露义务，且未在相关定期报告中披露上述资金占用情况；2018年未按规定披露公司为关联方星河世界的2亿元借款提供担保。
3.不当编制合并报表导致财务报告虚假记载
天马股份通过所控制的诚合基金以16.61亿元的价格收购喀什基石99%股权，但相关定期报告均未将诚合基金纳入合并，导致累计虚减资产、负债总额均为23.26亿元。</t>
  </si>
  <si>
    <t>600399.SH</t>
  </si>
  <si>
    <t>ST抚钢</t>
  </si>
  <si>
    <t>抚顺市</t>
  </si>
  <si>
    <t>抚顺特殊钢股份有限公司</t>
  </si>
  <si>
    <t>http://www.cninfo.com.cn/new/disclosure/detail?plate=sse&amp;orgId=gssh0600399&amp;stockCode=600399&amp;announcementId=1207199295&amp;announcementTime=2019-12-27</t>
  </si>
  <si>
    <t>2017年三季报</t>
  </si>
  <si>
    <t>钢铁</t>
  </si>
  <si>
    <t>营业成本；其他成本；经营性资产；非经营性资产</t>
  </si>
  <si>
    <t>2010 年至 2016 年度、2017 年 1 月至 9 月，抚顺特钢通过伪造、变造原始凭证及记账凭证、修改物供系统、成本核算系统、财务系统数据等方式调整存货中返回钢数量、金额，虚增涉案期间各定期报告期末存货。
2013 年至 2014 年，抚顺特钢通过伪造、变造原始凭证及记账凭证等方式虚假领用原材料，将以前年度虚增的存货转入在建工程，虚增 2013 年至 2014 年年报期末在建工程。
2013 年和 2015 年，抚顺特钢通过伪造、变造记账凭证及原始凭证等方式将虚增的在建工程转入固定资产，虚增 2013 年和 2015 年年报期末固定资产。
2014 年至 2016 年度、2017 年 1 月至 9 月，抚顺特钢将虚增后的固定资产计提折旧，虚增 2014 年至 2016 年年报和 2017 年第三季度报告期末固定资产折旧额。
2010 年至 2016 年度、2017 年 1 月至 9 月，抚顺特钢通过伪造、变造记账凭证及原始凭证、修改物供系统、成本核算系统、财务系统数据等方式调整存货中“返回钢”数量、金额，将应计入当期成本的原材料计入存货，导致涉案期间少结转主营业务成本。</t>
  </si>
  <si>
    <t>000670.SZ</t>
  </si>
  <si>
    <t>*ST盈方</t>
  </si>
  <si>
    <t>盈方微电子股份有限公司</t>
  </si>
  <si>
    <t>http://www.cninfo.com.cn/new/disclosure/detail?plate=szse&amp;orgId=gssz0000670&amp;stockCode=000670&amp;announcementId=1207064503&amp;announcementTime=2019-11-05</t>
  </si>
  <si>
    <t>2015年盈方微约定开展数据中心服务业务，但当年8月、9月并未实际履行相关义务，却根据合同约定的付款金额确认收入，导致子公司上海盈方微及美国盈方微2015 年财务报表虚增营业收入，同时等额虚增虚减营业成本与期间费用，最终导致盈方微 2015 年年报虚增利润总额 2356万元，占当期披露利润总额的 245.08%。</t>
  </si>
  <si>
    <t>中信证券股份有限公司,海南省信托投资公司,国泰君安证券股份有限公司</t>
  </si>
  <si>
    <t>002259.SZ</t>
  </si>
  <si>
    <t>ST升达</t>
  </si>
  <si>
    <t xml:space="preserve">四川升达林业产业股份有限公司 </t>
  </si>
  <si>
    <t>http://www.szse.cn/disclosure/listed/bulletinDetail/index.html?68bfe8d8-61ed-4879-b8db-f438c54f6c7b</t>
  </si>
  <si>
    <t>四川华信(集团)会计师事务所</t>
  </si>
  <si>
    <t>1.未按规定披露关联交易
[1]2018年，ST升达与顾某昌等三位债权人签订借款协议，合同约定债权人将约定金额划入升达集团账户，实际转账合计0.61亿元；ST升达经剑阁县禹鑫化工有限公司等多个第三方划款给升达集团等关联方，资金金额合计1.95亿元；升达集团先后违约多项借款，ST升达及子公司作为担保方代其偿还借款6.17亿元。
[2]ST升达未按规定及时披露临时报告，且披露的2018年中期报告存在重大遗漏。
2.未按规定披露对外提供的重大担保
[1]2017年，ST升达子公司贵州中弘以定期存单为质押物为升达集团及其子公司提供质押担保，担保金额5亿元；ST升达为升达集团等关联人借款提供担保，担保金额2.80亿元。
[2]ST升达未按规定及时披露临时报告，且披露的2017年年报存在重大遗漏。
3.未按规定披露重大诉讼
截至2018年7月23日，ST升达累计诉讼（仲裁）事项涉及金额共计2.12亿元，占ST升达2017年经审计净资产比例约为10.85%，触发披露节点。ST升达应当于7月25日前披露上述案件相关情况，但直至8月28日，公司才对上述案件予以首次披露。</t>
  </si>
  <si>
    <t>300362.SZ</t>
  </si>
  <si>
    <t>天翔环境</t>
  </si>
  <si>
    <t>成都天翔环境股份有限公司</t>
  </si>
  <si>
    <t>http://www.cninfo.com.cn/new/disclosure/detail?plate=szse&amp;orgId=9900022325&amp;stockCode=300362&amp;announcementId=1206296019&amp;announcementTime=2019-05-23</t>
  </si>
  <si>
    <t>2018年，天翔环境未及时披露实际控制人非经营性占用资金及相关关联交易情况。同时，天翔环境未按规定披露为关联方提供担保的情况。</t>
  </si>
  <si>
    <t>600654.SH</t>
  </si>
  <si>
    <t>飞乐股份</t>
  </si>
  <si>
    <t xml:space="preserve">上海飞乐股份有限公司 </t>
  </si>
  <si>
    <t>http://static.sse.com.cn/disclosure/listedinfo/announcement/c/2019-04-02/600654_20190402_1.pdf</t>
  </si>
  <si>
    <t>2013年年报</t>
  </si>
  <si>
    <t>1.将“班班通”项目计入盈利预测，虚增估值
2014年2月14日，飞乐股份董事会审议通过议案，决定向中恒汇志发行股份，购买其持有的中安消技术100%股权并募集配套资金。中安消技术在“班班通”项目存在重大变化难以履行的情况下，仍将其计入2014年盈利预测，导致其提供给飞乐股份的信息不真实、准确，存在误导性陈述，致使飞乐股份重组置入资产评估值严重虚增。
2.项目不符合收入确认条件
2013年12月底，“智慧石拐”项目尚未招标，相关合同总收入不能够可靠估计，飞乐股份子公司中安消技术在不符合收入确认条件情况下按完工百分比法确认该项目收入，导致2013年度营业收入虚增 5,000万元，2013年度经审计的财务报告存在虚假记载。
3.BT项目收入未按公允价值计量
飞乐股份子公司中安消技术对4个BT项目建造期间的收入确认未按公允价值计量，而是直接以合同金额的完工百分比确认收入和长期应收款项，导致2013年虚增营业收入515万元，2013年度经审计的财务报告存在虚假记载。
飞乐股份根据上述事项披露的重大资产重组文件存在误导性陈述、虚假记载。</t>
  </si>
  <si>
    <t>中国经济开发信托投资公司</t>
  </si>
  <si>
    <t>000693.SZ</t>
  </si>
  <si>
    <t>ST华泽</t>
  </si>
  <si>
    <t>成都华泽钴镍材料股份有限公司</t>
  </si>
  <si>
    <t>http://www.szse.cn/disclosure/listed/bulletinDetail/index.html?7b2765b3-ceb4-4767-a629-24c9f2dc7f43</t>
  </si>
  <si>
    <t>2016年年报</t>
  </si>
  <si>
    <t>1.未按规定披露关联方非经营性资金占用及相关的关联交易情况
2016年4月至5月，建行西安高新支行先后两次与华江新材料、陕西华泽，王涛等多方签订《借款债务转移协议》，约定华江新材料对建行西安高新支行的合计6,082万元债务由陕西华泽承担。在上述债务转移事项发生期间，ST华泽持有陕西华泽100%股权，王涛是ST华泽股东，也是华江新材料的实际控制人之一。因此上述事项构成关联交易，但ST华泽未及时披露该事项。
2.未按规定披露王涛、王辉股份冻结相关事项
王辉系ST华泽第一大股东，持股占比19.77%；王涛系ST华泽第二大股东，持股占比15.49%。2016年8月至12月，ST华泽四次未及时披露王涛、王辉股份冻结相关事项。
3.未按规定披露临时股东大会议案
2018年3月，持有ST华泽3%以上股份的康博恒智和深圳聚友委派吴锋向ST华泽递交2018年第二次股东大会提案，但ST华泽未按规定及时披露上述临时股东大会议案。</t>
  </si>
  <si>
    <t>国金证券股份有限公司,国泰君安证券股份有限公司</t>
  </si>
  <si>
    <t>002181.SZ</t>
  </si>
  <si>
    <t>粤传媒</t>
  </si>
  <si>
    <t>广东广州日报传媒股份有限公司</t>
  </si>
  <si>
    <t>http://www.cninfo.com.cn/new/disclosure/detail?plate=szse&amp;orgId=9900003823&amp;stockCode=002181&amp;announcementId=1209869701&amp;announcementTime=2021-04-30</t>
  </si>
  <si>
    <t>2014；2015</t>
  </si>
  <si>
    <t>2015年半年报</t>
  </si>
  <si>
    <t>营业收入；其他成本</t>
  </si>
  <si>
    <t>自 2014 年 7 月 1 日起，粵传媒将香榭丽财务数据纳入合并会计报告编制范围。香榭丽方面通过共计 108 份虚假合同虚增净利润共计2.55亿元，导致粤传媒 2014 年年报和 2015 年半年报信息披露违法。香榭丽财务造假具体手法为:一是通过伪造或配合的方式伪造合同签名、签章制作假合同；二是通过与广告代理公司签订合同，随后取消合同但仍将该合同进行财务记账；三是调整合同折扣，即通过调高合同折扣(合同显示的折扣价比实际履行的折扣价高)，按照合同折扣入账的方式虚增利润。同时，香榭丽以其自有产权的户外LED显示屏为其股东、实际控制人叶玫2000万元个人债务提供担保的事实未被披露；</t>
  </si>
  <si>
    <t>000010.SZ</t>
  </si>
  <si>
    <t>美丽生态</t>
  </si>
  <si>
    <t>深圳美丽生态股份有限公司</t>
  </si>
  <si>
    <t>http://www.cninfo.com.cn/new/disclosure/detail?plate=szse&amp;orgId=gssz0000010&amp;stockCode=000010&amp;announcementId=1206496550&amp;announcementTime=2019-08-05</t>
  </si>
  <si>
    <t>其他收入；非经营性资产</t>
  </si>
  <si>
    <t>美丽生态在2015年年报中对子公司八达园林盘盈生物资产的会计处理不当，导致虚增营业外收入。
同时；美丽生态在重大资产重组文件中对阜宁县金沙湖项目和镇江市官塘新城路网绿化工程的进展情况及项目2015年收入预测披露存在误导性陈述；在重大资产重组文件中未如实披露框架协议等的最新进展情况，存在误导性陈述；未及时披露金沙湖项目终止的重大事件，信息披露存在重大遗漏。</t>
  </si>
  <si>
    <t>300056.SZ</t>
  </si>
  <si>
    <t>三维丝</t>
  </si>
  <si>
    <t>厦门三维丝环保股份有限公司</t>
  </si>
  <si>
    <t>http://static.cninfo.com.cn/finalpage/2019-05-07/1206234548.PDF</t>
  </si>
  <si>
    <t>2016 年一季报、2016 年半年报、2016 年三季报</t>
  </si>
  <si>
    <t>资金占用；其他收入</t>
  </si>
  <si>
    <t>2016 年 3 月、4 月，厦门坤拿和东之晶对厦门珀挺形成关联方非经营性资金占用，占用资金余额分别为 20,975,545.55 元、12,152,117.84 元。为齐星集团合同履行存在不确定性，中创环保应冲回 2016 年度北京洛卡和厦门洛卡对齐星电力确认的收入，同时对相关存货及 2016 年初应收款项计提减值准备，但实际未进行此项处理。三维丝未对原持有的厦门珀挺 20％的股权 按照购买日的公允价值进行重新计量，未确认投资收益 104,264,933.52 元。</t>
  </si>
  <si>
    <t>000519.SZ</t>
  </si>
  <si>
    <t>中兵红箭</t>
  </si>
  <si>
    <t>湘潭市</t>
  </si>
  <si>
    <t>中兵红箭股份有限公司</t>
  </si>
  <si>
    <t>http://static.cninfo.com.cn/finalpage/2018-11-02/1205574974.PDF</t>
  </si>
  <si>
    <t>2014 至 2015 年中南钻石少计提坏账准备 93.7 万元、1144.43 万元,2016 年多计提 555.99 万元,导致中兵红箭 2014 年至 2015 年虚增利润 93.7 万元、1144.43 万元,2016 年虚减利润555.99 万元。将不符合收入确认条件的相关经济业务确认为销售收入，未按企业会计准则要求核算销售退回,虚增 2015 年度收入、利润，合计导致中兵红箭 2015 年度虚增收入 1864.79 万元,虚增利润 1586.46 万元。</t>
  </si>
  <si>
    <t>阿克苏地区</t>
  </si>
  <si>
    <t>http://www.szse.cn/disclosure/listed/bulletinDetail/index.html?d25d4761-b7d0-427c-bc3e-a4316afb6ca5</t>
  </si>
  <si>
    <t>1.未按规定披露关联方非经营性占用资金的关联交易
2017年6月7日至12月31日，新疆浩源以预付材料款的名义累计向关联方友邦数贸提供资金1.7亿元，同期收到还款1.7亿元。上述资金占用及关联交易新疆浩源未按规定履行信息披露义务。
2018年1月2日至2月2日，新疆浩源及其控股子公司上海源晗累计向关联方友邦数贸提供资金3.6亿元，截至2018年4月20日，收到归还本金3.6亿元、利息608.88万元。其中，1.4亿元为新疆浩源以预付材料款的名义向友邦数贸划转资金，2.2亿元为新疆浩源控股子公司上海源晗与友邦数贸签订资金使用合同，向友邦数贸划转资金。上述关联交易新疆浩源未按规定履行信息披露义务。</t>
  </si>
  <si>
    <t>300269.SZ</t>
  </si>
  <si>
    <t>联建光电</t>
  </si>
  <si>
    <t>深圳市联建光电股份有限公司</t>
  </si>
  <si>
    <t>http://static.cninfo.com.cn/finalpage/2018-12-21/1205681241.PDF</t>
  </si>
  <si>
    <t>2014 年至 2016 年，四川分时广告传媒有限公司通过虚构广告业务收入、跨期确认广告业务收入等方式，共虚增营业收入61,787,035.34 元，虚增利润 60,472,468.90 元。</t>
  </si>
  <si>
    <t>000566.SZ</t>
  </si>
  <si>
    <t>海南海药</t>
  </si>
  <si>
    <t>海南海药股份有限公司</t>
  </si>
  <si>
    <t>http://www.szse.cn/disclosure/listed/bulletinDetail/index.html?dd2c13a9-ad0b-4e8f-a2a0-33950855a058</t>
  </si>
  <si>
    <t>300267.SZ</t>
  </si>
  <si>
    <t>尔康制药</t>
  </si>
  <si>
    <t>浏阳市</t>
  </si>
  <si>
    <t>湖南尔康制药股份有限公司</t>
  </si>
  <si>
    <t>http://static.cninfo.com.cn/finalpage/2018-06-14/1205061536.PDF</t>
  </si>
  <si>
    <t>2015年尔康制药将尔康柬埔寨购入的200吨改性淀粉通过广州某食品公司、上海某实业公司等中间商间接销往尔康制药，虚假确认确认营业收入18,058,880.00元。2016年，尔康香港将从尔康柬埔寨购入的1878吨改性淀粉通过广州某食品公司、上海某实业公司等中间商间接销往尔康制药，虚假确认营业收入229,315,853.50元。2016年尔康制药全资子公司尔康柬埔寨存在216吨改性淀粉销售退回未确认，虚增营业收入25,759,338.34元，</t>
  </si>
  <si>
    <t>西部证券股份有限公司</t>
  </si>
  <si>
    <t>002473.SZ</t>
  </si>
  <si>
    <t>ST圣莱</t>
  </si>
  <si>
    <t>宁波圣莱达电器股份有限公司</t>
  </si>
  <si>
    <t>http://static.cninfo.com.cn/finalpage/2018-05-11/1204929627.PDF</t>
  </si>
  <si>
    <t>圣莱达通过虚构影视版权转让业务虚增 2015 年度收入和利润 1000 万元，虚增净利润 750 万元。圣莱达通过虚构财政补助虚增 2015 年度收入和利润 1000 万元，虚增净利润750 万元。</t>
  </si>
  <si>
    <t>002070.SZ</t>
  </si>
  <si>
    <t>众和退</t>
  </si>
  <si>
    <t xml:space="preserve">	莆田市</t>
  </si>
  <si>
    <t>福建众和股份有限公司</t>
  </si>
  <si>
    <t>http://www.szse.cn/disclosure/listed/bulletinDetail/index.html?547d6673-6041-4bbd-9db4-d13de6c2c383（行政处罚书，事先告知书对于违规内容没有具体说明只有标题，内容不全）</t>
  </si>
  <si>
    <t>2016年一季报；2016年半年报；2016年三季报；2017年一季报；2017年半年报</t>
  </si>
  <si>
    <t>福建华兴会计师事务所</t>
  </si>
  <si>
    <t>非经营性负债</t>
  </si>
  <si>
    <t>1.2016年、2017年部分定期报告存在虚假记载
2015年1月，中融信托向*ST众和的控股子公司金鑫矿业提供2亿元贷款，*ST众和为合同保证人。2016年2月，贷款到期，但金鑫矿业与保证人均未按规定偿还贷款本息，*ST众和未按规定计提逾期贷款的罚息，导致其2016、2017年部分定期报告累计少计提罚息3067.08万元，累计虚增归母净利润2167.29万元。
2.未及时披露重大事项
[1]未及时披露未能清偿到期重大债务情况
2016年2月，*ST众和控股子公司金鑫矿业2亿元贷款到期，其与保证人*ST众和均未偿还到期贷款，*ST众和应及时披露此重大债务违约，但公司直至2016年7月才披露贷款违约情况。
[2]未及时披露主要资产被查封情况
因*ST众和控股子公司金鑫矿业和*ST众和均未偿还中融信托贷款本息，金鑫矿业持有的马尔康党坝锂辉石矿采矿权于2016年7月被法院查封。该采矿权属于公司主要资产，应予及时披露，但*ST众和直至2017年3月才披露该情况。
[3]未及时披露订立转让子公司股权的重要合同情况
2016年11月，*ST众和控股子公司厦门巨巢、众和设计向受让方莆田市国货精品商贸有限公司转让二者合计持有的浙江雷奇服装有限责任公司99.64%股权，*ST众和应及时披露此重大事件，但公司直至2017年4月才披露该合同情况。
[4]未及时披露公司董事长许建成被司法机关采取强制措施的情况
2017年3月，*ST众和董事长兼总裁许建成因涉嫌合同诈骗罪被逮捕，*ST众和应及时披露该重大事件，但公司直至2017年5月才予以披露。</t>
  </si>
  <si>
    <t>002194.SZ</t>
  </si>
  <si>
    <t>武汉凡谷</t>
  </si>
  <si>
    <t>武汉凡谷电子技术股份有限公司</t>
  </si>
  <si>
    <t>http://static.cninfo.com.cn/finalpage/2018-03-06/1204452216.PDF</t>
  </si>
  <si>
    <t>2016年半年报、2016年三季报</t>
  </si>
  <si>
    <t>武汉凡谷 2016 年 4 月至 6 月少计自制半成品的领用，由此导致公司 2016年半年报合并报表虚增营业利润 15,595,879.52 元，虚增存货 15,595,879.52元，公司虚增的营业利润占当期披露营业利润的 51.17%。武汉凡谷 2016 年 4 月至 9 月少计自制半成品的领用，由此导致公司 2016年第三季度报告合并报表虚增营业利润 38,106,460.58 元，虚增存货53,702,340.10元，公司虚增的营业利润占当期披露营业利润的 115.09%。</t>
  </si>
  <si>
    <t>600370.SH</t>
  </si>
  <si>
    <t>三房巷</t>
  </si>
  <si>
    <t>江苏三房巷实业股份有限公司</t>
  </si>
  <si>
    <t>http://static.cninfo.com.cn/finalpage/2018-02-02/1204385329.PDF</t>
  </si>
  <si>
    <t>2014年度，三房巷集团及其子公司13次占用三房巷股份资金37,800万元，当年全部归还。2015年度，三房巷集团及其子公司18次占用三房巷股份资金63,500万元，当年全部归还。</t>
  </si>
  <si>
    <t>600680.SH</t>
  </si>
  <si>
    <t>*ST上普</t>
  </si>
  <si>
    <t>上海普天邮通科技股份有限公司</t>
  </si>
  <si>
    <t>http://static.sse.com.cn/disclosure/listedinfo/announcement/c/2018-01-10/600680_20180110_1.pdf</t>
  </si>
  <si>
    <t>众环海华会计师事务所</t>
  </si>
  <si>
    <t>1.2014年年度报告存在虚假记载
2014年9月至11月，上海普天与晟飞商贸、深圳巴斯巴、雨能源等累计进行3笔虚假的三方贸易，累计导致上海普天2014年度虚增营业收入4261.75万元，虚增利润总额998.4万元，占上海普天2014年度合并财务报表利润总额的73.68%。</t>
  </si>
  <si>
    <t>平安证券有限责任公司</t>
  </si>
  <si>
    <t>ST毅达</t>
  </si>
  <si>
    <t>财报粉饰；</t>
  </si>
  <si>
    <t>http://www.cninfo.com.cn/new/disclosure/detail?plate=sse&amp;orgId=gssh0600610&amp;stockCode=600610&amp;announcementId=1204622977&amp;announcementTime=2018-04-13</t>
  </si>
  <si>
    <t>2015年三季报</t>
  </si>
  <si>
    <t>2015 年第三季度，中毅达全资子公司厦门中毅达在未实施任何工程的情况下，以完工百分比法累计确认了项目工程收入7267 万元、成本 5958.94万元和营业税金 244.17万元，导
致中毅达 2015 年第三季度报告虚增营业收入 7267 万元，占当期披露的营业收入的 50.24%，虚增利润总额 1,063.89万元，占当期披露的利润总额的 81.35%。</t>
  </si>
  <si>
    <t>002288.SZ</t>
  </si>
  <si>
    <t>超华科技</t>
  </si>
  <si>
    <t>广东超华科技股份有限公司</t>
  </si>
  <si>
    <t>http://static.cninfo.com.cn/finalpage/2017-12-16/1204233361.PDF</t>
  </si>
  <si>
    <t>超华科技虚假确认废料销售收入2,770,505.13 元，导致 2014 年年报利润总额虚假记载。</t>
  </si>
  <si>
    <t>南京证券股份有限公司</t>
  </si>
  <si>
    <t>600806.SH</t>
  </si>
  <si>
    <t>退市昆机</t>
  </si>
  <si>
    <t>通用技术集团昆明机床股份有限公司（原名为沈机集团昆明机床股份有限公司）</t>
  </si>
  <si>
    <t>http://static.sse.com.cn/disclosure/listedinfo/announcement/c/2017-11-17/600806_20171117_1.pdf</t>
  </si>
  <si>
    <t>2013；2014；2015</t>
  </si>
  <si>
    <t>2013年年报；2014年年报；2015年年报</t>
  </si>
  <si>
    <t>毕马威华振会计师事务所；瑞华会计师事务所</t>
  </si>
  <si>
    <t>1.通过跨期确认收入、虚计收入和虚增合同价格三种方式虚增收入
2013年至2015年，昆明机床与部分经销商或客户签订合同，而后昆明机床通过提前或推迟确认收入、单边虚增合同价格，以及经销商或客户虚假采购三种方式合计虚增收入4.83亿元。
2.通过少计提辞退福利和高管薪酬的方式虚增利润
2013至2015年，昆明机床通过条件内退人数、不予全部计提内退员工福利和少计高管薪酬等方式，累计少计管理费用2,960.86万元，虚增利润2,960.86万元。
3.通过虚构业务、虚假降低产品制造成本等方式多计营业成本，少计存货
2013年至2015年，昆明机床通过设置账外产成品库房、虚构生产业务、虚假降低实际产品制造成本等方式，累计多计营业成本2.35亿元，少计存货5.06亿元。
综上，2013年至2015年，昆明机床通过上述财务造假行为合计虚增收入4.83亿元，少计管理费用2,960.86万元，少计存货5.06亿元，多计成本2.35亿元，虚增利润2.28亿元。</t>
  </si>
  <si>
    <t>300028.SZ</t>
  </si>
  <si>
    <t>金亚退</t>
  </si>
  <si>
    <t>金亚科技股份有限公司</t>
  </si>
  <si>
    <t>http://www.cninfo.com.cn/new/disclosure/detail?plate=szse&amp;orgId=9900008411&amp;stockCode=300028&amp;announcementId=1204456262&amp;announcementTime=2018-03-07</t>
  </si>
  <si>
    <t>营业收入；营业成本；其他收入；其他成本；经营性资产</t>
  </si>
  <si>
    <t>金亚科技2014年通过虚构客户、伪造合同、伪造银行单据、伪造材料产品收发记录、隐瞒费用支出等方式虚增利润，虚增利润总额8000万元，占当期披露的利润总额的比例为 335.14%，上述会计处理使金亚科技 2014 年年报利润总额由亏损变为盈利；另外，同年资产负债表虚增银行存款2.1亿元，虚列预付工程款 3.1 亿元</t>
  </si>
  <si>
    <t>300208.SZ</t>
  </si>
  <si>
    <t>恒顺众昇</t>
  </si>
  <si>
    <t>青岛市</t>
  </si>
  <si>
    <t>青岛中资中程集团股份有限公司</t>
  </si>
  <si>
    <t>http://www.cninfo.com.cn/new/disclosure/detail?plate=szse&amp;orgId=9900018895&amp;stockCode=300208&amp;announcementId=1204801477&amp;announcementTime=2018-04-26%2017:15</t>
  </si>
  <si>
    <t>山东和信会计师事务所</t>
  </si>
  <si>
    <t>恒顺众昇的客户四川电力在 2014 年 6 月并未对合同涉及的设备进行验收，实际验收时间为 2015 年 3 月，相关货物截至 2014 年 12 月仍由恒顺众昇保管，恒顺众昇在2014年报中确认此项收入，构成提前确认收入；</t>
  </si>
  <si>
    <t>000922.SZ</t>
  </si>
  <si>
    <t>佳电股份</t>
  </si>
  <si>
    <t>佳木斯市</t>
  </si>
  <si>
    <t>哈尔滨电气集团佳木斯电机股份有限公司</t>
  </si>
  <si>
    <t>http://static.cninfo.com.cn/finalpage/2017-12-09/1204207186.PDF</t>
  </si>
  <si>
    <t>佳电股份通过少结转佳电公司的主营业务成本、少计销售费用等方式，在2013 年和 2014 年分别虚增利润 1.58 亿元、0.40 亿元，分别占当期披露利润总额的82.58%、446.15%，占当期净利润的 93.48%、706.86%。2015 年，佳电公司将前期调节的利润从 2015 年 1 月份开始逐月分期消化，直至全部转回，恢复真实的财务状况。</t>
  </si>
  <si>
    <t>中国中金财富证券有限公司,光大证券股份有限公司</t>
  </si>
  <si>
    <t>600318.SH</t>
  </si>
  <si>
    <t>新力金融</t>
  </si>
  <si>
    <t>巢湖市</t>
  </si>
  <si>
    <t>安徽新力金融股份有限公司</t>
  </si>
  <si>
    <t>http://static.cninfo.com.cn/finalpage/2017-09-19/1203982020.PDF</t>
  </si>
  <si>
    <t>华普天健会计师事务所</t>
  </si>
  <si>
    <t>新力金融在 2015 年年报中少计提东某金河项目债权 2015 年度减值准备 30,225,000 元，虚增 2015 年利润30,225,000 元。2015 年 12 月，新力金融将控股子公司德润租赁当期收到的淮南市荣某昕安房地产开发有限公司（以下简称淮南荣某）支付的（第三方代付）属于 2014 年度的利息 22,323,287.68 元、2015 年 1 一 4 月（原巢东股份受让德润租赁资产前）利息 13,200,000 元合计 35,523,287.68 元计入当期收入，虚增 2015 年度营业收入和利润 35,523,287.68 元。</t>
  </si>
  <si>
    <t>平安证券股份有限公司,瑞银证券有限责任公司</t>
  </si>
  <si>
    <t>澄星股份</t>
  </si>
  <si>
    <t>http://www.cninfo.com.cn/new/disclosure/detail?plate=sse&amp;orgId=gssh0600078&amp;stockCode=600078&amp;announcementId=1205832942&amp;announcementTime=2019-02-14</t>
  </si>
  <si>
    <t>2011；2012；2013；2014</t>
  </si>
  <si>
    <t xml:space="preserve">江苏公证天业会计师事务所 </t>
  </si>
  <si>
    <t>2011 年至 2014 年，澄星股份控股股东澄星集团通过银行划款或银行票据方式占用资金，其中2011 年度占用 89,800 万元，提供财务资助 4,200 万元，2012 年发生关联方资金占用 186,700 万元，提供财务资助 10,000 万元，2013 年发生资金占用 47,000 万元，提供财务资助 57,000 万元；2014 年发生资金占用 35,000 万元，截至 2014 年 12 月 31 日资金占用余额 3,299.31 万元；另外，澄星股份通过票据背书延迟入账和不真实票据交易等方式虚构应收、应付票据，导致2011 年、2012 年年报存在虚假记载。</t>
  </si>
  <si>
    <t>002207.SZ</t>
  </si>
  <si>
    <t>准油股份</t>
  </si>
  <si>
    <t>克拉玛依市</t>
  </si>
  <si>
    <t>新疆准东石油技术股份有限公司</t>
  </si>
  <si>
    <t>财报粉饰；违规担保；其他信息披露违法违规</t>
  </si>
  <si>
    <t>http://www.cninfo.com.cn/new/disclosure/detail?plate=szse&amp;orgId=9900004022&amp;stockCode=002207&amp;announcementId=1203804839&amp;announcementTime=2017-08-16</t>
  </si>
  <si>
    <t>2014 年 至 2016 年间，准油股份假借员工借支备用金的形式向控股股东及其关联方提供财务资助累计 2,785 万元，其中 2014 年划转资金 7 笔，金额计450 万元；2015 年划转资金 22 笔，金额计 2,254 万元；2016 年划转资金 2 笔，金额计81 万元；2016 年 ，准油股份以向第三方支付重组保证金名义向第三方公司支付重组履约保证金 2,000 万元，后者收到 资金后于同日转入受秦勇及创越集团实际控制的公司，再转入创越集团及其关联方。前述事项转出资金共计 4,785 万元，最终收款人和使用人均为准油股份控股股东创越集团，其交易实质为准油股份与创越集团之间的关联交易，涉嫌股东资金占用；另外，实际控制人秦勇与他人约定准油股份为秦勇的借款提供担保，该担保系秦勇私自调用公章并以准油股份法定代表人的名义签署，致使上市公司未能按规定披露重大担保事项；</t>
  </si>
  <si>
    <t>华泽退</t>
  </si>
  <si>
    <t>http://www.cninfo.com.cn/new/disclosure/detail?plate=szse&amp;orgId=gssz0000693&amp;stockCode=000693&amp;announcementId=1204379879&amp;announcementTime=2018-02-01</t>
  </si>
  <si>
    <r>
      <rPr>
        <sz val="10"/>
        <rFont val="微软雅黑"/>
        <family val="2"/>
        <charset val="134"/>
      </rPr>
      <t xml:space="preserve">2013 </t>
    </r>
    <r>
      <rPr>
        <sz val="10"/>
        <color theme="1"/>
        <rFont val="微软雅黑"/>
        <family val="2"/>
        <charset val="134"/>
      </rPr>
      <t>年、2014 年及 2015 年上半年，华泽钴镍未在相关年报中披露关联方非经营性占用资金及相关的关联交易情况，陕西华泽通过天慕灏锦等5家公司向关联方提供资金，与后者之间无真实业务往来。同时，华泽钴镍为掩盖关联方长期占用资金的事实，2013 年年报、2014 年年报和 2015 年半年报存在虚假记载，公司通过搜集票据复印件的方式，将无效票据入账充当还款。</t>
    </r>
  </si>
  <si>
    <t>000798.SZ</t>
  </si>
  <si>
    <t>中水渔业</t>
  </si>
  <si>
    <t>中水集团远洋股份有限公司</t>
  </si>
  <si>
    <t>http://www.cninfo.com.cn/new/disclosure/detail?plate=szse&amp;orgId=gssz0000798&amp;stockCode=000798&amp;announcementId=1204144471&amp;announcementTime=2017-11-17</t>
  </si>
  <si>
    <t>14年12月31日，并购标的新阳洲对大股东张福赐其他应收款实为大股东占用资金达1.8亿元， 2015 年6月 30 日该金额为 1.68亿元；2015年8月中水渔业已经向并购标的新阳洲派驻财务总监、出纳等人员，但在编制2015年半年报时仅将2015年第一季度初步确认的新阳洲账实不符金额8400万元继续调整到其他应收款-其他，与审计报告以及测算的新阳洲对张福赐的其他应收款1.68亿元相比，相差8400万元，导致中水渔业2015年半年报其他应收款少计8400万元；同时，中水渔业没有披露张福赐作为“期末余额前五名的其他应收款情况”，也没有披露新阳洲当时已陷入困境的财务状况、生产经营状况等不利情形。</t>
  </si>
  <si>
    <t>光大证券股份有限公司,中信建投证券股份有限公司</t>
  </si>
  <si>
    <t>000511.SZ</t>
  </si>
  <si>
    <t>烯碳退</t>
  </si>
  <si>
    <t>沈阳市</t>
  </si>
  <si>
    <t>银基烯碳新材料集团股份有限公司（原名为银基烯碳新材料股份有限公司）</t>
  </si>
  <si>
    <t>http://www.szse.cn/disclosure/listed/bulletinDetail/index.html?b792c46e-cf72-450b-a435-26046ccfbbd3</t>
  </si>
  <si>
    <t>北京中证天通会计师事务所</t>
  </si>
  <si>
    <t>其他成本；经营性资产；经营性负债</t>
  </si>
  <si>
    <t>1.通过会计处理粉饰虚增资产、少计负债、虚减期间费用并虚增净利润
2015年，*ST烯碳未按规定核算支付的融资服务费、资金拆借费、利息以及员工工资费用，合计导致*ST烯碳2015年度合并财务报表虚增资产1,795.24万元，少计负债172.5万元；合并利润表虚减期间费用1,967.74万元，虚增净利润1,967.74万元。
2.未按规定披露重大事件
[1]未按规定披露重大对外投资事项
2015年11月10日，*ST烯碳与恒荣（香港）有限公司、天津银瑞万通资产管理有限公司三方签订《西华碳汇融资租赁（天津）有限公司合同》，共同设立西华碳汇融资租赁（天津）有限公司，约定＊ST烯碳认缴出资1.8亿元人民币，*ST烯碳未按规定披露此重大对外投资事项。
[2]未按规定披露重大对外借款事项
2016年4月26日，*ST烯碳控股子公司北京银新与盘锦中跃光电科技有限公司签订《借款协议》，约定北京银新于当日将3.85亿元款项借给中跃光电，*ST烯碳未按规定披露此重大对外借款事项。</t>
  </si>
  <si>
    <t>中国人民建设银行信托投资公司，中国中金财富证券有限公司</t>
  </si>
  <si>
    <t>600281.SH</t>
  </si>
  <si>
    <t>太化股份</t>
  </si>
  <si>
    <t>山西省</t>
  </si>
  <si>
    <t>太原市</t>
  </si>
  <si>
    <t>太原化工股份有限公司</t>
  </si>
  <si>
    <t>http://www.cninfo.com.cn/new/disclosure/detail?plate=sse&amp;orgId=gssh0600281&amp;stockCode=600281&amp;announcementId=1203669367&amp;announcementTime=2017-07-01</t>
  </si>
  <si>
    <t>太化股份2014 年年报中未完整披露贸易收入确认具体方法，存在误导性陈述；另外，太化股份一方面通过子公司山西华旭物流有限公司（以下简称华旭物流）和太化股份铁运分公司实施无商业实质的购销交易；另一方面太化股份及其子公司作为中间商，实施无商业实质的购销交易。上述贸易业务存在以下共同特点：一是太化股份与供应商、客户分别签定的采购合同与销售合同，除价格条款以外其他条款均基本相同；二是在购销过程中，太化股份未经手业务合同项下商品的实物流转，三是采取先收款后付款的结算方式。综上，上述贸易业务属于无商业实质的购销交易，虚增营业收入共计7.35亿元。</t>
  </si>
  <si>
    <t>湘财证券股份有限公司,招商证券股份有限公司,中信建投证券股份有限公司</t>
  </si>
  <si>
    <t>002323.SZ</t>
  </si>
  <si>
    <t>雅博股份</t>
  </si>
  <si>
    <t>枣庄市</t>
  </si>
  <si>
    <t>山东雅博科技股份有限公司（原名为江苏雅百特科技股份有限公司）</t>
  </si>
  <si>
    <t>http://www.szse.cn/disclosure/listed/bulletinDetail/index.html?5a676b72-0643-49b4-b495-c9e271d38025</t>
  </si>
  <si>
    <t>2015年年报；2016年半年报；2016年三季报</t>
  </si>
  <si>
    <t>1.通过虚构海外工程项目等手段虚增2015-2016年收入和利润
2015至2016年9月，雅百特通过虚构海外工程项目、虚构国际贸易和国内贸易等手段，累计虚增营业收入5.83亿元，虚增利润2.57亿元，导致其2015年年报、2016年半年报以及2016年三季报披露信息含有虚假记载。</t>
  </si>
  <si>
    <t>金元证券股份有限公司</t>
  </si>
  <si>
    <t>002490.SZ</t>
  </si>
  <si>
    <t>山东墨龙</t>
  </si>
  <si>
    <t>寿光市</t>
  </si>
  <si>
    <t>山东墨龙石油机械股份有限公司</t>
  </si>
  <si>
    <t>http://static.cninfo.com.cn/finalpage/2017-09-26/1203999148.PDF</t>
  </si>
  <si>
    <t>2015年一季报、2015年半年报、2015年三季报、2016年一季报、2016年半年报、2016年三季报</t>
  </si>
  <si>
    <t>山东墨龙 2015 年一季报通过虚增收入 2,411.49 万元，多结转成本 6.72 万元，导致净利润虚增 2,404.77 万元。山东墨龙 2015年一季报、半年报，2016 年一季报、半年报、三季报也存在虚假记载。山东墨龙未及时披露重大投资事项。山东墨龙于 2016 年 6 月对子公司寿光懋隆新材料技术开发有限公司增资 3 亿元，山东墨龙 2015 年度经审计净资产为 24.33 亿元，上述事项涉及金额占上市公司最近一期经审计净资产的 10%以上，且绝对金额超过一千万元。</t>
  </si>
  <si>
    <t>002715.SZ</t>
  </si>
  <si>
    <t>登云股份</t>
  </si>
  <si>
    <t>怀集登云汽配股份有限公司</t>
  </si>
  <si>
    <t>http://www.cninfo.com.cn/new/disclosure/detail?plate=szse&amp;orgId=9900023194&amp;stockCode=002715&amp;announcementId=1203591061&amp;announcementTime=2017-06-06</t>
  </si>
  <si>
    <t>2010年-2013 年6月（IPO造假）、2015年一季报</t>
  </si>
  <si>
    <t>登云股份上市后披露的定期报告中存在虚假记载、重大遗漏，其中2013-2014年年登云股份存在部分三包索赔费不入账、票据贴现费用不入账等情形，2013年按规定披露关联方关系及关联交易；2014 年登云股份对外违规借款 1200 万元；另外，2015 年第一季度报告少确认主营业务成本 421万 元，导致第一季度财务报告由亏转盈；</t>
  </si>
  <si>
    <t>002667.SZ</t>
  </si>
  <si>
    <t>鞍重股份</t>
  </si>
  <si>
    <t>鞍山市</t>
  </si>
  <si>
    <t>鞍山重型矿山机器股份有限公司</t>
  </si>
  <si>
    <t>http://www.szse.cn/disclosure/listed/bulletinDetail/index.html?27c04d07-f3de-4ad1-a832-e7b87b83daec</t>
  </si>
  <si>
    <t>营业收入；经营性资产；非经营性负债</t>
  </si>
  <si>
    <t>1.重组标的公司九好集团通过虚构业务等方式虚增2013-2015年服务费收入
2016年4月23日，鞍重股份公告了《重大资产重组报告书》，其中披露了重组对象九好集团最近三年主要财务数据。2013年至2015年，九好集团通过虚构业务、改变业务性质等多种方式累计虚增服务费收入共计2.65亿元，导致九好集团、鞍重股份所披露的信息含有虚假记载。
2.重组标的公司九好集团通过虚假确认销售收入及应收账款收回虚增2015年贸易收入
2015年，融康信息向鞍重股份重组对象九好集团采购货物，融康信息未收货且支付的货款已退回，但九好集团在财务处理上仍然确认融康信息57.48万元的销售收入及应收账款收回，虚增2015年销售收入57.48万元，导致九好集团、鞍重股份所披露的信息含有虚假记载。
3.重组标的公司九好集团虚构3亿元银行存款、未披露3亿元借款及银行存款质押事项
2015年，鞍重股份重组对象九好集团通过在账面虚构其他应收款收回、转出资金不入账等方式虚构银行存款3亿元。同时，为了掩饰上述虚假账面资金而借款3亿元并进行存单质押，其借款和质押行为均未对外披露，导致九好集团、鞍重股份所披露的信息含有虚假记载、重大遗漏。</t>
  </si>
  <si>
    <t>300117.SZ</t>
  </si>
  <si>
    <t>嘉寓股份</t>
  </si>
  <si>
    <t>北京嘉寓门窗幕墙股份有限公司</t>
  </si>
  <si>
    <t>http://static.cninfo.com.cn/finalpage/2017-05-02/1203455666.PDF</t>
  </si>
  <si>
    <t>2007；2008；2009；2010；2011；2012；2013</t>
  </si>
  <si>
    <t>2007年-2010年6月（IPO造假）</t>
  </si>
  <si>
    <t xml:space="preserve">中准会计师事务所 </t>
  </si>
  <si>
    <t>营业成本；经营性资产；经营性负债</t>
  </si>
  <si>
    <t>2012 年度、2013 年度，嘉寓股份通过账外资金发放员工薪酬，少计提当期 应付职工薪酬方式多计利润。其中 2012 年度多计 155.46 万元，2013 年度多计 534.27 万元。200 8-2012年度嘉寓股份虚假记载资金往来 。2007-2013年跨期结转成本调节利润。</t>
  </si>
  <si>
    <t>600421.SH</t>
  </si>
  <si>
    <t>ST仰帆</t>
  </si>
  <si>
    <t>湖北华嵘控股股份有限公司</t>
  </si>
  <si>
    <t>http://static.cninfo.com.cn/finalpage/2018-12-11/1205661553.PDF</t>
  </si>
  <si>
    <t>2012；2013</t>
  </si>
  <si>
    <t>*ST 国药 2012 年年报披露的 49,188,991.55 元营业收入中，有41,151,951.13 元为鄂欣实业不应当确认的 4 笔钢材销售确认收入，该年报披露的营业收入数据存在虚假。*ST 国药 2013 年年报披露的 111,418,059.50 元营业收入中，有 16 笔共计 103,049,142.53 元为鄂欣实业不应当确认的钢材销售收入。该年报披露的营业收入数据存在虚假。</t>
  </si>
  <si>
    <t>宏源证券股份有限公司</t>
  </si>
  <si>
    <t>600810.SH</t>
  </si>
  <si>
    <t>神马股份</t>
  </si>
  <si>
    <t>舞钢市</t>
  </si>
  <si>
    <t>神马实业股份有限公司</t>
  </si>
  <si>
    <t>http://www.cninfo.com.cn/new/disclosure/detail?plate=sse&amp;orgId=gssh0600810&amp;stockCode=600810&amp;announcementId=1202923602&amp;announcementTime=2016-12-22</t>
  </si>
  <si>
    <t>亚太(集团)会计师事务所；立信会计事务所</t>
  </si>
  <si>
    <t>因未能在合并报表层面对内部交易进行抵消，导致神马股份2014年年报虚增营业收入53亿元，另外，未按规定披露2014年度关联销售19.6亿元和关联采购44.1亿元；同时导致2015年半年报虚增营业收入25.1亿元，未按规定披露2015年上半年关联销售12亿元和关联采购24亿元。</t>
  </si>
  <si>
    <t>中信建投证券股份有限公司,海通证券股份有限公司</t>
  </si>
  <si>
    <t>300126.SZ</t>
  </si>
  <si>
    <t>锐奇股份</t>
  </si>
  <si>
    <t>锐奇控股股份有限公司</t>
  </si>
  <si>
    <t>www.szse.cn/disclosure/listed/bulletinDetail/index.html?4f25211f-acb5-439b-bd97-2221640bb40c</t>
  </si>
  <si>
    <t>2015年3月，锐奇股份将2015年部分已费用化的研发支出233万元从“管理费用”中”调整至“预付账款”和“存货”科目，并将该费用推迟至2015年7月确认，导致公司2015年半年报合并利润总额虚增233万元，占比10.41%，存在虚假记载。</t>
  </si>
  <si>
    <t>http://www.cninfo.com.cn/new/disclosure/detail?plate=szse&amp;orgId=gssz0000995&amp;stockCode=000995&amp;announcementId=1202874861&amp;announcementTime=2016-12-15</t>
  </si>
  <si>
    <t>甘肃省葡萄酒产业协会拨付给皇台酒业的 500 万元补助资金是由俪岛投资转给兰州恒远通，再由兰州恒远通转给甘肃省葡萄酒产业协会并拨付给皇台酒业；同时甘肃省商务厅所列示补助申报单位中不包括皇台酒业，此项行为虚构营业外收入 500 万元，进而虚增利润 500 万元，虚增利润占利润总额（967.36 万元）的 51.69%。</t>
  </si>
  <si>
    <t>002330.SZ</t>
  </si>
  <si>
    <t>得利斯</t>
  </si>
  <si>
    <t xml:space="preserve">山东得利斯食品股份有限公司 </t>
  </si>
  <si>
    <t>http://www.cninfo.com.cn/new/disclosure/detail?plate=szse&amp;orgId=9900009828&amp;stockCode=002330&amp;announcementId=1202726588&amp;announcementTime=2016-09-27</t>
  </si>
  <si>
    <t>2014年半年报、15年半年报</t>
  </si>
  <si>
    <t>2014 年 1 月至 2015 年 11 月，得利斯向关联方临时性划转非经营性资金累计 44,550 万元，未按规定在 2014 年半年报、2014 年报与2015 年半年报中披露；另外、2014 年 1 月 2 日，得利斯股份向关联方得利斯集团有限公司预付 5,000万元以购买第三方公司股权，上述事项未及时进行会计确认和计量，导致公司 2014 年半年报列报的货币资金、其他应收款等项目存在虚假记载。</t>
  </si>
  <si>
    <t>600247.SH</t>
  </si>
  <si>
    <t>*ST成城</t>
  </si>
  <si>
    <t>吉林市</t>
  </si>
  <si>
    <t>吉林成城集团股份有限公司</t>
  </si>
  <si>
    <t>http://www.cninfo.com.cn/new/disclosure/detail?plate=sse&amp;orgId=gssh0600247&amp;stockCode=600247&amp;announcementId=1203177803&amp;announcementTime=2017-03-20</t>
  </si>
  <si>
    <t>2004；2005；2006；2007；2008；2009；2010；2011；2012</t>
  </si>
  <si>
    <t>中磊会计师事务所；南方民和会计师事务所</t>
  </si>
  <si>
    <t>营业收入；非经营性资产</t>
  </si>
  <si>
    <t>成城股份自 2004 年至 2012 年的年报中一直披露对安华保险投资 5000 万元，实缴1000万元，存在虚假记载。虚构与上海科泉物资供应有限公司交易事项 ，导致虚增 2012 年度收入18,444 万元、利润总额 5265 万元。</t>
  </si>
  <si>
    <t>东北证券股份有限公司,光大证券股份有限公司</t>
  </si>
  <si>
    <t>002264.SZ</t>
  </si>
  <si>
    <t>新华都</t>
  </si>
  <si>
    <t>新华都科技股份有限公司（原名为新华都购物广场股份有限公司）</t>
  </si>
  <si>
    <t>http://www.szse.cn/disclosure/listed/bulletinDetail/index.html?a92e45c8-3b1b-4119-889b-0429167cca00</t>
  </si>
  <si>
    <t>1.未按规定披露与福建怡和、泉州绿农的关联关系和关联交易
[1]2014年10月13日，新华都将其持有的安溪新华都置业发展有限公司100％股权转让给关联方福建怡和，新华都未及时披露此关联交易事项。
[2]2014年6月，安溪置业与福建怡和发生关联方资金往来5,599.57万元；2014年10月至11月，新华都与福建怡和发生关联方资金往来1,156.12万元；2014年10月27日，安溪置业股权变更至福建怡和名下，但尚欠新华都往来款1,140万元，形成关联方资金占用。新华都未按规定在2014年年度报告中披露上述关联关系及关联交易事项。
[3]泉州绿农贸易有限公司的控股股东及实际控制人陈文杰为新华都实际控制人陈发树的侄子，泉州绿农业务依赖于新华都，泉州绿农构成新华都关联方。2013年、2014年，新华都分别向泉州绿农采购产品3,667.26 万元、2,741.73万元，支付预付款3,900万元、2,311.75万元。新华都未按规定在2013年、2014年年度报告中披露与泉州绿农的关联关系和关联交易。
2.未按规定披露订立重要合同等重大事件
[1]2012年11月2日、7日，泉州新华都与和昌（福建）房地产开发有限公司分别签订《租赁补充协议》和《商品房认购补充协议》，约定由泉州新华都在一年内向和昌福建支付5,000万元定金、预付租金5,000万元以及认购款1.9亿元，并自2014年起和昌福建按年18％的利率向泉州新华都支付已预付定金及租金、已付认购款的资金占用费。上述《租赁补充协议》和《商品房认购补充协议》属于重要合同，新华都未按规定在2013年、2014年年度报告“重要事项”中披露。
[2]2013年1月，新华都关闭常州奥体店和泰州坡子街店，装修费和固定资产损失金额合计5,257.34万元。新华都未按规定在2013年年度报告中披露上述重要事项。</t>
  </si>
  <si>
    <t>000611.SZ</t>
  </si>
  <si>
    <t>天首退</t>
  </si>
  <si>
    <t>内蒙古自治区</t>
  </si>
  <si>
    <t>包头市</t>
  </si>
  <si>
    <t>内蒙古天首科技发展股份有限公司（原名为内蒙古四海科技股份有限公司）</t>
  </si>
  <si>
    <t>http://www.szse.cn/disclosure/listed/bulletinDetail/index.html?9d21b442-09bb-4359-b28e-78287f0dc07c</t>
  </si>
  <si>
    <t>经营性负债</t>
  </si>
  <si>
    <t>1.未按规定披露实际控制人控制公司的情况发生变化的事实
合慧伟业商贸（北京）有限公司的法定代表人马雅与赵伟分别持有合慧伟业50%股权，合慧伟业持有四海股份12.43%股权，为四海股份第一大股东。2013年10月8日，赵伟、马雅将两人所持有的四海股份第一大股东合慧伟业100%股权出让给王纪钊，四海股份未在2013年年度报告中披露实际控制人控制公司的情况发生变化这一事实。
2.采取不进行账务处理的手段虚减应付票据
截至2013年12月31日，四海股份未对2013年开出的20份商业承兑汇票合计7.59亿元进行账务处理，也未在2013年度报告中进行披露。</t>
  </si>
  <si>
    <t>300372.SZ</t>
  </si>
  <si>
    <t>欣泰退</t>
  </si>
  <si>
    <t>丹东市</t>
  </si>
  <si>
    <t>丹东欣泰电气股份有限公司</t>
  </si>
  <si>
    <t>http://www.szse.cn/disclosure/listed/bulletinDetail/index.html?5f1cf421-7592-4a9a-90ba-dd0fbdbf2a27</t>
  </si>
  <si>
    <t>招股说明书（2011年，2012年，2013年上半年）；2013年年报；2014年半年报；2014年年报</t>
  </si>
  <si>
    <t>经营性资产；经营现金流；经营性负债；资金占用</t>
  </si>
  <si>
    <t>1.通过外部借款，使用自有资金或伪造银行单据的方式冲减应收款项
2011年11月，欣泰电气向中国证监会提交IPO申请。2014年1月，公司取得证监会《关于核准丹东欣泰电气股份有限公司首次公开发行股票并在创业板上市的批复》。2011年至2014年，欣泰电气在上市前后持续通过外部借款，使用自有资金或伪造银行单据的方式，在年末、半年末等会计期末冲减应收款项，大部分在下一会计期初冲回，致使其IPO申请文件以及相关年度报告合计虚构收回应收账款5.21亿元，虚构收回其他应收款1.71亿元，少计提坏账准备2,988万元，虚增经营活动产生的现金流净额2.77亿元，虚减经营活动产生的现金流净额1.29亿元，虚增应付账款3,942万元，虚构收回预付账款500万元，虚构减少其他应付款770万元，虚增货币资金3.60亿元。
2.未按规定披露实控人以员工借款名义占用公司资金的关联交易事项
欣泰电气实际控制人温德乙以员工名义从公司借款供其个人使用，截至2014年12月31日，占用欣泰电气6,388万元。欣泰电气未在2014年年度报告中披露该关联交易事项，导致2014年年度报告存在重大遗漏。</t>
  </si>
  <si>
    <t>002237.SZ</t>
  </si>
  <si>
    <t>恒邦股份</t>
  </si>
  <si>
    <t>山东恒邦冶炼股份有限公司</t>
  </si>
  <si>
    <t>http://www.cninfo.com.cn/new/disclosure/detail?plate=szse&amp;orgId=9900004624&amp;stockCode=002237&amp;announcementId=1202303377&amp;announcementTime=2016-05-07</t>
  </si>
  <si>
    <t>2014年半年报、2015年半年报</t>
  </si>
  <si>
    <t>2013年1月至2015年11月，公司向恒邦集团等关联方或第三方开具票据，由后者贴现，再由恒邦集团使用贴现资金并在票证到期前归还票证金额；同期，恒邦股份与恒邦经贸等关联方发生非经营性资金往来，合计74,500万元；另外，2013年-2015年半年度，恒邦股份对其与恒邦集团等关联方之间发生的部分票据往来事项未按规定及时进行会计确认和计量，导致公司财务报告同时少计资产与负债，合计23,6480万元，其中2014年最多，为103,480万元。</t>
  </si>
  <si>
    <t>国联证券股份有限公司</t>
  </si>
  <si>
    <t>600408.SH</t>
  </si>
  <si>
    <t>ST安泰</t>
  </si>
  <si>
    <t>介休市</t>
  </si>
  <si>
    <t>山西安泰集团股份有限公司</t>
  </si>
  <si>
    <t>http://www.cninfo.com.cn/new/disclosure/detail?plate=sse&amp;orgId=gssh0600408&amp;stockCode=600408&amp;announcementId=1202211884&amp;announcementTime=2016-04-21</t>
  </si>
  <si>
    <t>2014年半年报、2014年三季报</t>
  </si>
  <si>
    <t>截至2014年9月30日，安泰集团被关联方新泰钢铁、安泰房地产公司非经营性资金占用余额合计151,625.64万元，但是，在安泰集团公司2014年中期报告、第三季度报告中未能及时、准确的披露上述非经营性资金占用行为。</t>
  </si>
  <si>
    <t>华龙证券股份有限公司</t>
  </si>
  <si>
    <t>002608.SZ</t>
  </si>
  <si>
    <t>*ST 舜船</t>
  </si>
  <si>
    <t>江苏国信股份有限公司</t>
  </si>
  <si>
    <t>http://www.cninfo.com.cn/new/disclosure/detail?plate=szse&amp;orgId=9900021237&amp;stockCode=002608&amp;announcementId=1202786578&amp;announcementTime=2016-10-26</t>
  </si>
  <si>
    <t>2013；2014</t>
  </si>
  <si>
    <t>天衡会计师事务所；瑞华会计师事务所</t>
  </si>
  <si>
    <t>营业收入；营业成本；其他收入；其他成本</t>
  </si>
  <si>
    <t>舜天船舶（已更名为江苏国信）向明德重工提供财务资助未计提应收利息，导致 2013年-2014 年未计提应收利息，同时造成当年利润总额虚减；同时，公司通过由明德重工承担其财务费用、虚构业务和正常采购原材料并加价销售给明德重工、在采购明德重工船舶时扣减采购成本的方式回收利息，造成当年营业收入、营业成本以及财务费用等数据虚假。</t>
  </si>
  <si>
    <t>000668.SZ</t>
  </si>
  <si>
    <t>荣丰控股</t>
  </si>
  <si>
    <t>荣丰控股集团股份有限公司</t>
  </si>
  <si>
    <t>http://static.cninfo.com.cn/finalpage/2016-03-21/1202058837.PDF</t>
  </si>
  <si>
    <t xml:space="preserve">众环海华会计师事务所 </t>
  </si>
  <si>
    <t>2012年1月至2月，荣丰控股及其控股子公司北京荣丰以履行合同为名，将公司的151500000元资金经百汇行投资（北京）有限公司及昌黎百城房地产开发有限公司划转给盛世达及上海宫保使用。2013年6月，荣丰控股、北京荣丰的全资子公司长春荣丰以履行合同为名，将长春荣丰的175000000元资金经五洋建设集团股份有限公司、上海市水利工程集团有限公司闵行分公司等合同对手方划转给盛世达使用。2013年6月，荣丰控股全资子公司荣控实业以履行合同名，将公司的142000000元资金通过汉冶萍账户划转给盛世达、上海宫保使用。</t>
  </si>
  <si>
    <t>国泰君安证券股份有限公司,武汉市信托投资公司,中国中金财富证券有限公司</t>
  </si>
  <si>
    <t>000691.SZ</t>
  </si>
  <si>
    <t>亚太实业</t>
  </si>
  <si>
    <t>海南亚太实业发展股份有限公司</t>
  </si>
  <si>
    <t>http://static.cninfo.com.cn/finalpage/2016-02-24/1201992131.PDF</t>
  </si>
  <si>
    <t>2010；2011；2012；2013；2014</t>
  </si>
  <si>
    <t>国富浩华会计师事务所；瑞华会计师事务所</t>
  </si>
  <si>
    <t>营业收入；其他成本；非经营性资产</t>
  </si>
  <si>
    <t>1. 亚太实业投资持股企业济南固锝电子器件有限公司对质量索赔款会计处理不当，导致亚太实业 2012 年虚减净利润、2013 年虚增净利润； 2. 亚太实业 2013 年未计提所持济南固锝长期股权投资减值准备，导致2013 年虚增净利润，合计造假1,071.02万元 3. 亚太实业控股子公司兰州同创嘉业房地产开发有限公司未按披露的会计政策和《企业会计准则》确认收入，导致亚太实业 2010 年、2011 年、2012年、2014 年虚增营业收入，2013 年虚减营业收入，合计造假9167.39万元，其中2011年造假最多，为4122.7万元。</t>
  </si>
  <si>
    <t>国信证券股份有限公司,中国中金财富证券有限公司</t>
  </si>
  <si>
    <t>000007.SZ</t>
  </si>
  <si>
    <t>零七股份</t>
  </si>
  <si>
    <t>深圳市全新好股份有限公司</t>
  </si>
  <si>
    <t>http://www.cninfo.com.cn/new/disclosure/detail?plate=szse&amp;orgId=gssz0000007&amp;stockCode=000007&amp;announcementId=1201853534&amp;announcementTime=2015-12-23%2011:39</t>
  </si>
  <si>
    <t>2015年一季报</t>
  </si>
  <si>
    <t>经营性资产；非经营性负债；其他成本</t>
  </si>
  <si>
    <t>零七股份（现已更名为全新好）董事长练卫飞私下以公司名义违规与他人签订借款合同,合计金额 7300 万元，导致零七股份未按规定披露向外借款事项，同时，出借人在履行合同义务后,练卫飞未通知公司财务人员,致使公司2014年报漏记出借人直接转入练卫飞实际控制的大中非投资的 2100 万元负债,此事项持续到调查日（次年5月），意味着14年半年报、年报均漏记相应存款与负债；另外，零七股份子公司广众投资长期未履行合同和未偿还借款，被天津鑫宇隆提起诉讼，但零七股份未法规要求履行临时公告义务。</t>
  </si>
  <si>
    <t/>
  </si>
  <si>
    <t>601519.SH</t>
  </si>
  <si>
    <t>大智慧</t>
  </si>
  <si>
    <t>上海大智慧股份有限公司</t>
  </si>
  <si>
    <t>http://www.cninfo.com.cn/new/disclosure/detail?plate=sse&amp;orgId=9900017431&amp;stockCode=601519&amp;announcementId=1202507475&amp;announcementTime=2016-07-27</t>
  </si>
  <si>
    <t>营业收入；营业成本；非经营性资产</t>
  </si>
  <si>
    <t>公司通过承诺“可全额退款”的销售方式提前确认收入，以“打新股”等为名进行营销、延后确认年终奖少计当期成本费用、提前确认合并利润等方式，共计虚增 2013 年度利润1.2亿元，商誉433万元。</t>
  </si>
  <si>
    <t>002306.SZ</t>
  </si>
  <si>
    <t>ST云网</t>
  </si>
  <si>
    <t>中科云网科技集团股份有限公司</t>
  </si>
  <si>
    <t>http://static.cninfo.com.cn/finalpage/2015-12-10/1201825535.PDF</t>
  </si>
  <si>
    <t>2012；2014</t>
  </si>
  <si>
    <t>2014年一季报</t>
  </si>
  <si>
    <t>休闲服务</t>
  </si>
  <si>
    <t>1. 中科云网 2012 年年报违反《企业会计准则》确认加盟费收入共计 1480万元、确认股权收购合并日前收益 15,560,545.43元，合计 30,360,545.43元。2. 中科云网 2014 年提前确认收入 34,188,034.19元，成本 17,692,307.69 元，利润总额 16,495,726.50元。</t>
  </si>
  <si>
    <t>000504.SZ</t>
  </si>
  <si>
    <t>赛迪传媒</t>
  </si>
  <si>
    <t>南华生物医药股份有限公司</t>
  </si>
  <si>
    <t>http://static.cninfo.com.cn/finalpage/2015-09-24/1201629321.PDF</t>
  </si>
  <si>
    <t>利安达会计师事务所</t>
  </si>
  <si>
    <t>经营性资产；非经营性资产</t>
  </si>
  <si>
    <t>赛迪传媒（现已更名南华生物）未考虑退出参与摆放权招标事件对未来收入及盈利状况的影响，未对商誉计提减值，致使其 2012 年年报存在虚假记载。</t>
  </si>
  <si>
    <t>华润深国投信托有限公司,金元证券股份有限公司</t>
  </si>
  <si>
    <t>600598.SH</t>
  </si>
  <si>
    <t>北大荒</t>
  </si>
  <si>
    <t>黑龙江北大荒农业股份有限公司</t>
  </si>
  <si>
    <t>http://static.sse.com.cn/disclosure/listedinfo/announcement/c/2015-06-22/600598_20150623_1.pdf</t>
  </si>
  <si>
    <t>2011年年报</t>
  </si>
  <si>
    <t>1.采用签订虚假合同的手段虚增利润
2011年11月至12月，北大荒子公司北大荒鑫亚向青枫亚麻销售4,071.03吨亚麻时，与青枫亚麻串通，另签订虚假合同，每吨加价4,600元，虚增2011年收入1,872.67万元，虚增2011年度利润1,600.58万元。
2.采用伪造合同等手段虚增利润
北大荒鑫亚委托忠旺粮库代理收购、保管及销售水稻。2011年，忠旺粮库代理北大荒鑫亚水稻销售取得含税收入7,420.96万元，北大荒鑫亚此项业务为亏损。为了不暴露亏损并完成目标任务，北大荒鑫亚通过伪造合同等方式，使本项水稻销售共确认含税收入1.14亿元，此项不含税收入确认差额为3,523.82万元，导致虚增利润3,524万元。</t>
  </si>
  <si>
    <t>南方证券股份有限公司</t>
  </si>
  <si>
    <t>600575.SH</t>
  </si>
  <si>
    <t>皖江物流</t>
  </si>
  <si>
    <t>芜湖市</t>
  </si>
  <si>
    <t>淮河能源(集团)股份有限公司</t>
  </si>
  <si>
    <t>http://static.cninfo.com.cn/finalpage/2015-08-01/1201375358.PDF</t>
  </si>
  <si>
    <t>1. 皖江物流 2012 年、2013年虚构采购交易导致虚增收入和利润。2. 皖江物流未在 2011 年年报披露淮矿物流为华中有色、上海中望、中西部钢铁、溧阳建新制铁有限公司、溧阳昌兴炉料有限公司等公司提供 16 亿元的动产差额回购担保业务。2014 年淮矿物流向中西部钢铁等公司提供共计 2.2 亿元的最高额担保，2013 至 2014 年淮矿物流为江苏匡克等 8 家公司承担最高额为 13.05 亿余元的动产差额回购担保。皖江物流未按规定披露上述事项，其中 1.56 亿元动产差额回购担保事项也未在 2013 年年报中披露。4. 2013 年皖江物流未按规定披露淮矿物流与福鹏系公司 30 亿元债务转移情况。</t>
  </si>
  <si>
    <t>国元证券股份有限公司,中信建投证券股份有限公司</t>
  </si>
  <si>
    <t>天目药业</t>
  </si>
  <si>
    <t>http://static.cninfo.com.cn/finalpage/2015-11-04/1201750954.PDF</t>
  </si>
  <si>
    <t>中审华寅五洲会计师事务所</t>
  </si>
  <si>
    <t>1. 天目药业转让子公司深圳京柏60%股权转让事项未按规定披露； 2. 2013年受托加工业按一般采购销售业务进行会计处理，虚增收入 4504.98 万元，虚增成本 4504.98 万元。 用以前年度预提费用冲减应收账款的坏账准备和存货的减值准备，虚增利润 178.39万元。</t>
  </si>
  <si>
    <t>002359.SZ</t>
  </si>
  <si>
    <t>齐星铁塔</t>
  </si>
  <si>
    <t>北讯集团股份有限公司</t>
  </si>
  <si>
    <t>http://static.cninfo.com.cn/finalpage/2015-06-04/1201100093.PDF</t>
  </si>
  <si>
    <t>2013年半年报、2014年一季报、2014年半年报、2014年三季报</t>
  </si>
  <si>
    <t>给予警告</t>
  </si>
  <si>
    <t>2013、2014年度齐星铁塔与原第一大股东齐星集团有限公司等关联方之间发生非经营性资金往来业务，借方发生额48331.32万元，贷方发生额49135.25万元，公司未及时履行临时信息披露义务，亦未在公司2013年中期报告、2013年年报及2014年中期报告中披露该重要事项。</t>
  </si>
  <si>
    <t>002506.SZ</t>
  </si>
  <si>
    <t>协鑫集成</t>
  </si>
  <si>
    <t>协鑫集成科技股份有限公司（原名为上海超日太阳能科技股份有限公司）</t>
  </si>
  <si>
    <t>http://www.szse.cn/disclosure/listed/bulletinDetail/index.html?1204e620-42ed-4368-bb61-c60ac0eb7da9</t>
  </si>
  <si>
    <t>2012年半年报；2012年三季报</t>
  </si>
  <si>
    <t>1.未按规定披露公司多项重要事项
[1]2011年7月，ST超日通过全资子公司超日香港出资70%与天华欧洲合资成立海外合资公司超日卢森堡。2011年12月至2012年11月，超日卢森堡及其子公司天华阳光控股的海外下属公司收购了22个光伏电站项目，ST超日未披露上述交易。相关项目的收购及谈判没有经过ST超日董事会及股东会审议。
[2]2012年，超日卢森堡两次与国开行浙江分行签订借款合同，约定国开行浙江分行为超日卢森堡保加利亚9个电站项目合计提供6,480万欧元贷款，ST超日为担保人。同期，ST超日全资子公司超日香港、天华欧洲及国开行浙江分行三方三次签订股权质押协议，约定超日香港和天华欧洲将其在超日卢森堡的股权质押给国开行浙江分行。2012年，ST超日召开董事会会议审议通过担保议案并对外公告，但均未提及超日卢森堡股权质押情况。
[3]截至2011年末，ST超日设立或收购了超日Sunperfect等五家境外公司，并委托Willychow等境外合作方代为负责上述境外公司及下设电站项目的开发、建设、运营及日常管理和财务运作，但未签订相关协议，直至2012年3月才陆续与境外合作方补签了相关委托协议，ST超日未将上述协议提交董事会审议，直到2012年10月才披露上述协议。
[4]2012年12月，由于市场环境变化及资金紧张，ST超日及其子公司超日国贸调低对天华新能源等四家公司已供组件价格，合计调减已售太阳能组件应收账款5.14亿元，主营业务收入4.99亿元，公司未及时履行信息披露义务，直到2013年4月才在年报中予以披露。
2.采用虚假、提前确认销售收入的手段虚增利润
2012年6月、9月，ST超日合计虚假确认、提前确认了对上海佳途、天华新能源太阳能组件销售收入4.02亿元，虚增利润总额7,219.97万元。</t>
  </si>
  <si>
    <t>退市新亿</t>
  </si>
  <si>
    <t>塔城地区</t>
  </si>
  <si>
    <t>新疆亿路万源实业控股股份有限公司（原名为贵州国创能源控股（集团）股份有限公司）</t>
  </si>
  <si>
    <t>http://static.sse.com.cn/disclosure/listedinfo/announcement/c/2015-04-07/600145_20150408_1.pdf</t>
  </si>
  <si>
    <t>2012年年报</t>
  </si>
  <si>
    <t>经营性资产；经营性负债</t>
  </si>
  <si>
    <t>1.采用不将部分资金往来、费用纳入会计核算的手段虚增利润
2012年2月22日，国创能源五届董事会八次会议审议通过了全资收购江苏帝普的议案。2012年4月1日，江苏帝普在上海设立分公司（法人独资）。2012年5月4日，国创能源与江苏帝普、陈世达签订《合作备忘录》，约定国创能源推进定向增发股票购买美国TPI公司资产（美国纳西煤矿资产）事宜。无论定向增发是否成功，陈世达都承担不超过人民币2000万元相关费用。江苏帝普为收购美国纳西煤矿资产的运作平台和定向增发相关工作的实施平台，指定其上海分公司为具体的费用代收方和代付方。
2012年6月20日，陈世达、阳洋矿业、国创能源签订《委托融资协议书》，约定陈世达委托阳洋矿业融资10亿元，用于参与认购国创能源定向增发份额以及定向增发收购资产的费用，国创能源为陈世达提供监管账户，并对此次融资资金进行监管。同日，阳洋矿业、上海优道、国创能源签订《融资服务框架协议》，约定阳洋矿业委托上海优道融资10亿元，国创能源为阳洋矿业提供监管账户。
国创能源2012年年报中未将江苏帝普上海分公司为实现备忘录和两协议的账户资金往来、费用纳入到会计核算，导致国创能源2012年度合并报表未分配利润增加119.42万元，其中资产增加96.66万元，负债减少22.76万元。</t>
  </si>
  <si>
    <t>中国中金财富证券有限公司，重庆国际信托股份有限公司</t>
  </si>
  <si>
    <t>002617.SZ</t>
  </si>
  <si>
    <t>露笑科技</t>
  </si>
  <si>
    <t>露笑科技股份有限公司</t>
  </si>
  <si>
    <t>http://www.cninfo.com.cn/new/disclosure/detail?plate=szse&amp;orgId=9900021430&amp;stockCode=002617&amp;announcementId=1200730723&amp;announcementTime=2015-03-24</t>
  </si>
  <si>
    <t>1. 在未发生实际工程项目的情况下，露笑科技将浙江露笑电子线材有限公司募集资金专户中 2050 万元和950 万元资金转入保证金账户作为保证金，以工程款的名义虚开对应金额的银行承兑汇票给永业建工。经永业建工背书给露笑科技后，露笑科技未入账并将 2050 万元和 950 万元承兑汇票作为货款支付给南京华新。2. 露笑集团及其关联方 2012 年 12 月占用露笑科技资金 3000 万元。露笑科技未以临时公告的方式及时披露，也未在 2012 年年报中对该事项进行披露，直到 2014年 9 月 10 日才以临时公告的方式披露了上述事项。</t>
  </si>
  <si>
    <t>002132.SZ</t>
  </si>
  <si>
    <t>恒星科技</t>
  </si>
  <si>
    <t>巩义市</t>
  </si>
  <si>
    <t>河南恒星科技股份有限公司</t>
  </si>
  <si>
    <t>http://static.cninfo.com.cn/finalpage/2015-03-19/1200714152.PDF</t>
  </si>
  <si>
    <t>经营性资产；经营性负债；非经营性负债</t>
  </si>
  <si>
    <t>1. 2012 年，子公司银行承兑汇票贴现造成公司 2012 年合并资产负债表多计预付账款 372.49 万元、少计应收票据 800 万元、多计应付票据 25000 万元、少计短期借款 25427.51 万元。2. 2013 年，子公司银行承兑汇票贴现造成公司 2013 年合并资产负债表多计预付账款 955.16 万元、少计应收票据 3213 万元、多计应付票据 44600 万元、少计短期借款 46857.84 万元。3. 2013 年，在“融易达”业务中，公司会计处理不符合《企业会计准则第 23 号——金融资产转移》的规定，造成公司 2013 年合并利润表虚增利润总额24.58 万元，占当期披露利润总额的 0.77%，导致公司 2013 年财务报告存在虚假记载。</t>
  </si>
  <si>
    <t>002638.SZ</t>
  </si>
  <si>
    <t>勤上光电</t>
  </si>
  <si>
    <t>东莞市</t>
  </si>
  <si>
    <t>东莞勤上光电股份有限公司</t>
  </si>
  <si>
    <t>http://static.cninfo.com.cn/finalpage/2015-03-18/1200710748.PDF</t>
  </si>
  <si>
    <t>2013 年、2014 年公司与公司第一大股东东莞勤上集团有限公司存在非经营性资金往来情况，累计金额为 182,750 万元。公司对该事项未履行信息披露义务。</t>
  </si>
  <si>
    <t>002316.SZ</t>
  </si>
  <si>
    <t>亚联发展</t>
  </si>
  <si>
    <t>吉林亚联发展科技股份有限公司（原名为深圳键桥通讯技术股份有限公司）</t>
  </si>
  <si>
    <t>财报粉饰；其他信息披露违法违规；经营不当；违规担保</t>
  </si>
  <si>
    <t>http://www.szse.cn/disclosure/listed/bulletinDetail/index.html?7d4ebe99-1f9C-4608-bee1-e1b8b337389d（行政处罚书，没有披露行政处罚事先告知书）</t>
  </si>
  <si>
    <t>2009；2010；2011；2012；2013</t>
  </si>
  <si>
    <t>2009年年报；2010年年报；2011年年报；2012年年报；2013年半年报</t>
  </si>
  <si>
    <t>深圳市鹏城会计师事务所；国富浩华会计师事务所；瑞华会计师事务所</t>
  </si>
  <si>
    <t>会计处理粉饰；业绩凭证造假</t>
  </si>
  <si>
    <t>1.虚构营业收入、成本以及虚构应收账款回款
2009-2012年，键桥通讯虚增收入、成本以及虚构应收账款收回少计提坏账准备合计虚增利润总额3,315万元。
2.未及时入账及披露重大对外贷款
2013年1月4日，键桥通讯与深圳市天某亿科技发展有限公司签订四份借款协议，未经董事会审议，也未及时报告并披露。键桥通讯于2013年1月4日至6日根据协议将上述资金分别转出，未及时入账确认。截至2013年6月30日，尚未入账合计1.12亿元，导致公司2013年半年度报告中货币资金、其他应收款等项目存在虚假记载。
3.未及时披露重大对外担保事项
2013年3月、4月，键桥通讯分别与广某银行深圳分行签订两份《最高额权利质押合同》，约定合计出质金额6,000万元的定期存单作为深圳市优某供应链有限公司合计本金1.5亿元债务本息的担保，未经董事会审议，也未及时报告并披露。</t>
  </si>
  <si>
    <t>600822.SH</t>
  </si>
  <si>
    <t>上海物贸</t>
  </si>
  <si>
    <t>上海物资贸易股份有限公司</t>
  </si>
  <si>
    <t>http://static.sse.com.cn/disclosure/listedinfo/announcement/c/2015-02-09/600822_20150210_1.pdf</t>
  </si>
  <si>
    <t>2008；2009；2010；2011；2012</t>
  </si>
  <si>
    <t>2008年年报；2009年年报；2010年年报；2011年年报；2012年年报</t>
  </si>
  <si>
    <t>会计处理粉饰，业务凭证造假</t>
  </si>
  <si>
    <t>1.采用少结转成本、虚增库存方式虚增利润、虚增资产
2008-2011年，上海物贸全资子公司上海燃料采取少结转成本、虚增年末库存的方式虚增利润、隐藏账面亏损，导致上海物贸2008年至2011年年报累计虚增资产2.67亿元，虚减成本2.67亿元，虚增利润总额2.67亿元。上海物贸在2012年年报中未对2008年至2011年虚假记载情况进行追溯调整，将2008年至2011年隐瞒的所有亏损全部体现在2012年年报中，导致上海物贸2012年年报存在虚假记载。同时，上海物贸在2013年1月发现上海燃料发生上述重大亏损时，也未按规定及时履行信息披露义务。</t>
  </si>
  <si>
    <t>600469.SH</t>
  </si>
  <si>
    <t>风神股份</t>
  </si>
  <si>
    <t>焦作市</t>
  </si>
  <si>
    <t>风神轮胎股份有限公司</t>
  </si>
  <si>
    <t>http://static.sse.com.cn/disclosure/listedinfo/announcement/c/2015-01-09/600469_20150110_3.pdf</t>
  </si>
  <si>
    <t>2011；2012</t>
  </si>
  <si>
    <t>2011年年报；2012年年报</t>
  </si>
  <si>
    <t>中审亚太会计师事务所；大信会计师事务所</t>
  </si>
  <si>
    <t>1.采取入账金额与实际发生金额不符的会计粉饰手段虚减利润
2011-2012年，风神股份三包退赔、返利、三包优赔业务入账金额与实际发生金额不符，累计虚减利润2,971.78万元。
2.虚增收入和成本以虚增利润
2012年，风神股份虚增主营业务收入1.28亿元，虚增主营业务成本1.03亿元，从而虚增利润2,002.32万元。</t>
  </si>
  <si>
    <t>601558.SH</t>
  </si>
  <si>
    <t>退市锐电</t>
  </si>
  <si>
    <t>华锐风电科技（集团）股份有限公司</t>
  </si>
  <si>
    <t>http://static.sse.com.cn/disclosure/listedinfo/announcement/c/2015-01-08/601558_20150109_1.pdf</t>
  </si>
  <si>
    <t>1.采用提前确认收入的手段虚增收入和利润
华锐风电采用将2012年才实际完成吊装或仍未完成吊装的项目于2011年年报确认收入的手段累计虚增营业收入24.37亿元，营业成本20.09亿元，预提运费3,138.40万元，计提坏账1.19亿元，虚增2011年度利润总额2.78亿元。</t>
  </si>
  <si>
    <t>600076.SH</t>
  </si>
  <si>
    <t>康欣新材</t>
  </si>
  <si>
    <t>潍坊市</t>
  </si>
  <si>
    <t>康欣新材料股份有限公司（原名为潍坊北大青鸟华光科技股份有限公司）</t>
  </si>
  <si>
    <t>http://static.sse.com.cn/disclosure/listedinfo/announcement/c/2015-01-06/600076_20150107_1.pdf</t>
  </si>
  <si>
    <t>中磊会计师事务所</t>
  </si>
  <si>
    <t>1.未按规定披露实际控制人及其控制关系
北大青鸟有限责任公司为*ST华光的实际控制人，但*ST华光在2007年至2012年期间的各年度报告中均未按规定披露实际控制人及其控制关系。
2.未按规定披露相关关联方关系及关联交易，将原应计入所有者权益的股权转让利得计入当期损益以虚增利润
2012年，*ST华光及其控股子公司国贸公司将持有的北京华光合计100%股权出售给新疆盛世新天，新疆盛世新天为名义收购方，而四海华澳为实际收购方。四海华澳、新疆盛世新天和*ST华光为同受北大青鸟实际控股或控制的公司，*ST华光、新疆盛世新天、四海华澳之间存在关联方关系，上述北京华光股权转让事项构成关联交易。*ST华光在2012年年度报告中，未按规定披露其与新疆盛世新天、四海华澳之间存在的关联方关系及发生的关联交易，未按规定将上述北京华光股权转让形成的利得计入所有者权益，而是计入了当期损益，导致公司2012年度利润总额虚增4,122.19万元。
3.通过关联方配合控股子公司实施无商业实质的购销交易，虚增年度营业收入
*ST华光2012年年报确认公司2012年度实现营业收入1,279.17万元，前两名客户恒业世纪和华成时代的销售收入合计610.58万元，占年度营业收入的47.73%，主要来源于其2012年新纳入合并报表范围的控股子公司华光通信。*ST华光通过关联方青鸟安全配合子公司华光通信实施无商业实质的购销交易，虚增营业收入，由此避免了公司股票被实施退市风险警示处理。</t>
  </si>
  <si>
    <t>申万宏源证券有限公司，英大证券有限责任公司</t>
  </si>
  <si>
    <t>600966.SH</t>
  </si>
  <si>
    <t>博汇纸业</t>
  </si>
  <si>
    <t>淄博市</t>
  </si>
  <si>
    <t>山东博汇纸业股份有限公司</t>
  </si>
  <si>
    <t>http://www.csrc.gov.cn/shandong/c104191/c1078039/content.shtml</t>
  </si>
  <si>
    <t>2013年一季报、2013年半年报、2013年三季报</t>
  </si>
  <si>
    <t>营业成本；经营性资产；经营性负债；资金占用</t>
  </si>
  <si>
    <t>公司未在规定期限内披露2013年年报；2013年度第一季度报告、中期报告和第三季度报告存在虚假记载，公司与关联方之间发生的大量非经营性资金往来等事项未及时进行会计确认和计量，导致博汇纸业 2013 年度第一季度报告、中期报告、第三季度报告存在虚假记载事项，其中合并资产负债表虚减资产和负债，合并利润表少计财务费用多计利润总额，合并现金流量表虚减现金流入和流出，合计资产负债造假596,838.21万元，营业收入合计造假8,750.77万元，利润总额合计造假13,018.32万元，资金占用合计25,411.93万元；未履行临时信息披露义务。</t>
  </si>
  <si>
    <t>600293.SH</t>
  </si>
  <si>
    <t>三峡新材</t>
  </si>
  <si>
    <t>湖北三峡新型建材股份有限公司</t>
  </si>
  <si>
    <t>http://static.sse.com.cn/disclosure/listedinfo/announcement/c/2014-12-19/600293_20141220_1.pdf</t>
  </si>
  <si>
    <t>1.采取少结转成本的手段虚增利润
2011-2012年，三峡新材采取少结转成本的手段累计虚增利润9,108.32万元，其中，2011年虚增利润导致公司当年盈亏性质产生差异。</t>
  </si>
  <si>
    <t>华泰联合证券有限责任公司，华泰证券股份有限公司</t>
  </si>
  <si>
    <t>002278.SZ</t>
  </si>
  <si>
    <t>神开股份</t>
  </si>
  <si>
    <t>上海神开石油化工装备股份有限公司</t>
  </si>
  <si>
    <t>http://www.szse.cn/disclosure/listed/bulletinDetail/index.html?c1c8dc42-89bb-492f-ad59-188d02d2e172</t>
  </si>
  <si>
    <t>2010；2011；2012</t>
  </si>
  <si>
    <t>2010年年报；2011年年报；2012年年报</t>
  </si>
  <si>
    <t>1.采取提前确认收入的手段调节利润
2010- 2012年，神开股份全资子公司神开设备在经营销售业务活动中，应部分客户要求为客户预开销售发票，在预开发票但尚未实际发货的情况下即提前确认销售收入，并暂估成本入账。2012年底，神开股份一次性冲回了2010年到2012年度全部预开票但未发货的金额。公司2010-2012年年报利润总额累计造假金额达2,382.44万元。</t>
  </si>
  <si>
    <t>上海华信证券有限责任公司</t>
  </si>
  <si>
    <t>600556.SH</t>
  </si>
  <si>
    <t>ST北生</t>
  </si>
  <si>
    <t>广西北生药业股份有限公司</t>
  </si>
  <si>
    <t>http://www.csrc.gov.cn/csrc/c101928/c1042987/content.shtml</t>
  </si>
  <si>
    <t>2004；2005；2006；2007</t>
  </si>
  <si>
    <t>深圳市鹏城会计师事务所；北京天华会计师事务所；开元信德会计师事务所</t>
  </si>
  <si>
    <t>营业收入；非经营性负债；资金占用</t>
  </si>
  <si>
    <t>1.未披露大股东抽逃配股出资并占用上市公司资金事项：生药业通过向关联方北海腾盛建筑工程有限责任公司，支付预付工程款和往来款的形式，实际向北生集团转移资金6,500万元，用于北生集团归还前述向北海市财政局和北海市住房资金管理中心的借款。
2.未披露关联方占用上市公司资金事项，占用北生药业资金1388.89万元
3.未披露与相关24家公司的关联方关系
4.未披露对外担保事项：生制药分别为中远经贸1,000万元贷款、东孚经贸550万元贷款提供担保，担保金额占北生药业2006年末经审计净资产的2%，未在06年年报中予以披露。
5、未披露银行贷款事项：04年北生药业隐瞒银行贷款2.45亿元，05年北生药业隐瞒银行贷款3.805亿元，06年隐瞒银行贷款3.79亿元，07年隐瞒银行贷款并逾期金额3.79亿元
6、未披露重大诉讼、仲裁、逾期贷款事项
7、2004-2006年虚假记载主营业务收入：虚增销售收入
8、虚假记载主营业务收入</t>
  </si>
  <si>
    <t>300277.SZ</t>
  </si>
  <si>
    <t>海联讯</t>
  </si>
  <si>
    <t>深圳海联讯科技股份有限公司</t>
  </si>
  <si>
    <t>http://www.csrc.gov.cn/csrc/c101928/c1042990/content.shtml</t>
  </si>
  <si>
    <t>2009；2010；2011；2012</t>
  </si>
  <si>
    <t>2011年半年报、2012年一季报、2012年半年报、2012年三季报</t>
  </si>
  <si>
    <t>深圳市鹏城会计师事务所；天健会计师事务所</t>
  </si>
  <si>
    <t>经营性资产；营业收入</t>
  </si>
  <si>
    <t>1.伪造合同和验收报告虚增营业收入
海联讯通过他人资金拆借以及股东垫资方式冲减应收账款，截至2009年12月31日、2010年12月31日、2011年6月30日，海联讯分别虚构收回应收账款1,429万元、11,320万元、11,456万元，使得IPO申请文件中相关财务数据存在虚假记载。
2011年12月31日至2012年9月30日，海联讯通过股东垫款和向他人借款合计冲减应收账款46,721万元，使得上市后披露的定期报告存在虚假记载。
2.伪造合同和验收报告虚增营业收入
海联讯2010年通过虚构4份合同和相的验收报告，虚增营收1,426万元；2011年虚构15份合同和相应验收报告，虚增营收3,796万元。累计虚增营收5222万元。</t>
  </si>
  <si>
    <t>宏磊股份</t>
  </si>
  <si>
    <t>浙江宏磊铜业股份有限公司</t>
  </si>
  <si>
    <t>http://www.csrc.gov.cn/csrc/c101928/c1042997/content.shtml</t>
  </si>
  <si>
    <t>2012年半年报</t>
  </si>
  <si>
    <t>宏磊股份2012年半年报与年报未披露宏磊集团占用宏磊股份资金的关联交易情况。</t>
  </si>
  <si>
    <t>四海股份</t>
  </si>
  <si>
    <t>内蒙古四海科技股份有限公司</t>
  </si>
  <si>
    <t>http://www.csrc.gov.cn/csrc/c101928/c1042991/content.shtml</t>
  </si>
  <si>
    <t>纺织制造</t>
  </si>
  <si>
    <t>1.四海股份未披露浙江众禾与北京大河之洲董事长李秉峰签订的四海股份股权转让合同。
2.四海股份虚假披露2012年半年报货币资金金额。</t>
  </si>
  <si>
    <t>002669.SZ</t>
  </si>
  <si>
    <t>康达新材</t>
  </si>
  <si>
    <t>上海康达化工新材料股份有限公司</t>
  </si>
  <si>
    <t>http://www.csrc.gov.cn/csrc/c101928/c1043003/content.shtml</t>
  </si>
  <si>
    <t>2012年一季报</t>
  </si>
  <si>
    <t>天健正信会计师事务所</t>
  </si>
  <si>
    <t>1上市会议后未按规定报告会后事项：在上市会议过会后至公司股票上市前，康达新材经营业绩出现较大幅度下滑，康达新材没有对截至当时公司经营业绩出现较大幅度下滑的事项另向证监会书面说明。
2、上市公告书虚假记载：虚增后2012年一季度营业利润817.8万元，调增比例为83.37%。</t>
  </si>
  <si>
    <t>000509.SZ</t>
  </si>
  <si>
    <t>ST华塑</t>
  </si>
  <si>
    <t>南充市</t>
  </si>
  <si>
    <t>华塑控股股份有限公司</t>
  </si>
  <si>
    <t>http://www.csrc.gov.cn/csrc/c101928/c1043009/content.shtml</t>
  </si>
  <si>
    <t>2010；2011</t>
  </si>
  <si>
    <t>信永中和会计师事务所；大信会计师事务所</t>
  </si>
  <si>
    <t>1.华塑控股在2010年间未及时进行信息披露：华塑控股未及时披露与鑫睿融签署的《合作协议》；未及时披露鑫睿融与山东华塑建材、华塑建材签署的《保证合同》；华控股未及时披露向招商港湾转款1,000万元的事项。
2. 华塑控股《2010年年报》虚假陈述，其中披露的财务数据虚假：华塑控股对北京鲁宏、上海熙诚应收账款的计提坏账准备计算错误，少计提坏账准备4,016,217.63元，造成华塑控股《2010年年报》披露的财务数据虚假。
3.华塑控股在2011年间未及时进行信息披露
4.华塑控股《2011年年报》虚假陈述
5.华塑控股在2012年间未及时披露相关担保事项</t>
  </si>
  <si>
    <t>国泰君安证券股份有限公司,华西证券股份有限公司</t>
  </si>
  <si>
    <t>600155.SH</t>
  </si>
  <si>
    <t>宝硕股份</t>
  </si>
  <si>
    <t>河北宝硕股份有限公司</t>
  </si>
  <si>
    <t>http://www.csrc.gov.cn/csrc/c101928/c1043015/content.shtml</t>
  </si>
  <si>
    <t>1999；2000；2001；2002；2003；2004；2005；2006</t>
  </si>
  <si>
    <t>2006年半年报</t>
  </si>
  <si>
    <t>河北华安会计师事务所；中瑞华恒信会计师事务所</t>
  </si>
  <si>
    <t>营业收入；营业成本；经营性资产；其他成本；资金占用</t>
  </si>
  <si>
    <t>1.未按规定披露控股股东及关联方占用资金事项：自2001年以来，宝硕股份被大股东宝硕集团占用资金4.37亿元。
2.未按规定披露为其他公司提供担保事项：01-06年，宝硕股份为其他公司银行借款等事项提供对外担保，直到2006年10月才对外公告。
3.相关定期报告虚增利润：宝硕股份01-06年6月间发生的利息未列财务费用，记入了其他应收款－德利，累计增加利润1.9亿元。</t>
  </si>
  <si>
    <t>湖北证券有限责任公司,中国经济开发信托投资公司</t>
  </si>
  <si>
    <t>000972.SZ</t>
  </si>
  <si>
    <t>*ST中基</t>
  </si>
  <si>
    <t>新疆中基实业股份有限公司</t>
  </si>
  <si>
    <t>http://www.csrc.gov.cn/csrc/c101928/c1043017/content.shtml</t>
  </si>
  <si>
    <t>2006；2007；2008；2009；2010；2011</t>
  </si>
  <si>
    <t>万隆会计师事务所；万隆亚洲会计师事务所；国富浩华会计师事务所；信永中和会计师事务所</t>
  </si>
  <si>
    <t>以刘一为首新中基隐蔽出资，设立了空壳公司天津晟中国际贸易有限公司。新中基通过空壳公司利用非关联的中转过账公司新疆豪客，连续多年虚构购销业务，虚增业务收入与成本，虚增或者虚减利润，不仅隐瞒关联关系、关联交易，更直接导致公司2006年至2011年年报信息披露存在虚假记载及重大遗漏。</t>
  </si>
  <si>
    <t>中泰证券股份有限公司,广发证券股份有限公司</t>
  </si>
  <si>
    <t>600186.SH</t>
  </si>
  <si>
    <t>莲花味精</t>
  </si>
  <si>
    <t>项城市</t>
  </si>
  <si>
    <t>河南莲花味精股份有限公司</t>
  </si>
  <si>
    <t>http://www.csrc.gov.cn/csrc/c101928/c1043033/content.shtml</t>
  </si>
  <si>
    <t>2007；2008；2009</t>
  </si>
  <si>
    <t>营业成本；其他收入；其他成本</t>
  </si>
  <si>
    <t>1.2006年，莲花味精未按规定披露诉讼事项。
2.2007年信息披露违法事实：莲花味精将未到位的政府补助入账、虚增利润。
3.2008年信息披露违法事实，虚增利润，未披露诉讼事实。
4.2009年莲花味精违法事实，将应计入营业外收入的前述各类政府补助款187.69万元直接冲减主营业务成本。</t>
  </si>
  <si>
    <t>国泰君安证券股份有限公司,光大证券股份有限公司</t>
  </si>
  <si>
    <t>600250.SH</t>
  </si>
  <si>
    <t>南纺股份</t>
  </si>
  <si>
    <t>南京纺织品进出口股份有限公司</t>
  </si>
  <si>
    <t>http://www.csrc.gov.cn/csrc/c101928/c1043040/content.shtml</t>
  </si>
  <si>
    <t>2006；2007；2008；2009；2010</t>
  </si>
  <si>
    <t>南京立信永华会计师事务所</t>
  </si>
  <si>
    <t>1.南纺股份2006年虚构利润3109.15万元，虚构利润占其披露利润的127.39%。
2.南纺股份2007年虚构利润4223.33万元，虚构利润占其披露利润的151.22%。
3.南纺股份2008年虚构利润1579.36万元，虚构利润占其披露利润的962.40%。
4.南纺股份2009年虚构利润1582.78万元，虚构利润占其披露利润的5590.73%。
5.南纺股份2010虚构利润5864.12万元，虚构利润占其披露利润的5590.73%。</t>
  </si>
  <si>
    <t>600381.SH</t>
  </si>
  <si>
    <t>*ST贤成</t>
  </si>
  <si>
    <t>西宁市</t>
  </si>
  <si>
    <t>青海贤成矿业股份有限公司</t>
  </si>
  <si>
    <t>http://www.csrc.gov.cn/csrc/c101928/c1043056/content.shtml</t>
  </si>
  <si>
    <t>1.2009年，2010年，2011年半年报以及年报皆未披露相关担保事项。
2.未及时披露24,147万元银行存款被法院冻结。
3.2012年半年报未披露向实际控制人黄贤优控制的广州华胜等3家机构划转45,000万元非经营性资金的关联交易和相关担保事项。</t>
  </si>
  <si>
    <t>广东证券股份有限公司</t>
  </si>
  <si>
    <t>新乡市</t>
  </si>
  <si>
    <t>河南天丰节能板材科技股份有限公司</t>
  </si>
  <si>
    <t>http://www.csrc.gov.cn/csrc/c101928/c1043064/content.shtml</t>
  </si>
  <si>
    <t>营业收入；经营性资产；经营性负债</t>
  </si>
  <si>
    <t>1.天丰节能在2010年至2012年，通过虚增销售收入、虚增固定资产、虚列付款等多种手段虚增利润且存在关联交易披露不完整等行为，导致报送的IPO申报文件存在虚假记载。
2.天丰节能财务不独立，在独立性方面有严重缺陷，《招股说明书》中相关内容存在虚假记载。</t>
  </si>
  <si>
    <t>000677.SZ</t>
  </si>
  <si>
    <t>山东海龙</t>
  </si>
  <si>
    <t>山东海龙股份有限公司</t>
  </si>
  <si>
    <t>http://www.csrc.gov.cn/csrc/c101928/c1043099/content.shtml</t>
  </si>
  <si>
    <t>2003；2004；2005；2006；2007；2008；2009；2010；2011；2012；2013</t>
  </si>
  <si>
    <t>2009年半年报；2010年半年报；2011年半年报</t>
  </si>
  <si>
    <t>大信会计师事务所；北京永拓会计师事务所</t>
  </si>
  <si>
    <t>1.未披露对外担保事项：2009年1月至2011年6月期间，山东海龙重大担保事项未履行临时报告披露义务118笔，累计金额36亿元人民币，1,068.43万美元；
2.未披露与巨龙化纤（山东海龙的部分董事、高级管理人员同期兼任巨龙化纤的董事、高级管理人员）的关联关系与关联交易：山东海龙向巨龙化纤支付土地租赁费、调整以前年度记账错误、为巨龙化纤垫付职工工资、社会保险、住房公积金及工程款等各项费用，截至2010年12月31日，山东海龙应收巨龙化纤2388万元，应付2657万元；2003年5月至2011年6月30日，山东海龙替巨龙化纤向职工垫付的集资款本金及利息累计金额达3921万元。</t>
  </si>
  <si>
    <t>深交所主板</t>
  </si>
  <si>
    <t>A12172.SZ</t>
  </si>
  <si>
    <t>新大地</t>
  </si>
  <si>
    <t>广东新大地生物科技股份有限公司</t>
  </si>
  <si>
    <t>http://www.csrc.gov.cn/csrc/c101928/c1043107/content.shtml</t>
  </si>
  <si>
    <t>2009；2010；2011</t>
  </si>
  <si>
    <r>
      <rPr>
        <sz val="10"/>
        <rFont val="微软雅黑"/>
        <family val="2"/>
        <charset val="134"/>
      </rPr>
      <t xml:space="preserve">1.通过多种手段虚增2011年利润总额1,521.07万元，占当年利润总额的36.13%；虚增2010年利润总额289.15万元，占当年利润总额的10.89%；虚增2009年利润总额251.9万元，占当年利润总额的14.87%。
2.新大地2009年虚增固定资产227.68万元，2010年虚增固定资产648.73万元，2011年虚增固定资产264.5万元。
</t>
    </r>
    <r>
      <rPr>
        <sz val="10"/>
        <color theme="1"/>
        <rFont val="微软雅黑"/>
        <family val="2"/>
        <charset val="134"/>
      </rPr>
      <t>3.在2012年4月12日预披露的招股说明书申报稿以及上会稿中遗漏关联方关系及其交易，遗漏控股股东股份转让情况。</t>
    </r>
  </si>
  <si>
    <t>山西天能科技股份有限公司</t>
  </si>
  <si>
    <t>http://www.csrc.gov.cn/csrc/c101928/c1043113/content.shtml</t>
  </si>
  <si>
    <t>2011年三季报</t>
  </si>
  <si>
    <t>光学光电子</t>
  </si>
  <si>
    <t>天能科技在应县道路亮化工程项目、金沙植物园太阳能照明工程项目、和谐小区太阳能照明工程项目三个工程项目的财务账册中有虚假记载，在2011年1-9月财务报告中，虚增收入8564.1万元，虚增成本4748.91万元。</t>
  </si>
  <si>
    <t>300268.SZ</t>
  </si>
  <si>
    <t>万福生科</t>
  </si>
  <si>
    <t>常德市</t>
  </si>
  <si>
    <t>万福生科（湖南）农业开发股份有限公司</t>
  </si>
  <si>
    <t>http://www.csrc.gov.cn/csrc/c101928/c1043116/content.shtml</t>
  </si>
  <si>
    <t>食品加工</t>
  </si>
  <si>
    <t>1.万福生科《首次公开发行股票并在创业板上市招股说明书》披露的2008年至2010年财务数据存在虚假记载，2008年至2010年分别虚增销售收入1.23亿元、1.50亿元、1.91亿元，虚增营业利润2851万元、3857万元、4590万元，公司不符合公开发行股票的条件；
2.万福生科《2011年年报》存在虚假记载，虚增销售收入2.87亿元；
3.万福生科未就公司2012年上半年停产事项履行及时报告、公告义务；
4.万福生科《2012年半年报》存在虚假记载和重大遗漏，虚增销售收入1.65亿元；同时，对于前述公司部分生产线2012年上半年停产的事项，万福生科也未在《2012年半年报》中予以披露，存在重大遗漏。</t>
  </si>
  <si>
    <t>深交所创业板</t>
  </si>
  <si>
    <t>002200.SZ</t>
  </si>
  <si>
    <t>绿大地</t>
  </si>
  <si>
    <t>云南绿大地生物科技股份有限公司</t>
  </si>
  <si>
    <t>http://www.csrc.gov.cn/csrc/c101928/c1043133/content.shtml</t>
  </si>
  <si>
    <t>2004；2005；2006；2007；2008；2009</t>
  </si>
  <si>
    <t>2017年半年报</t>
  </si>
  <si>
    <t>深圳市鹏城会计师事务所；中和正信会计师事务所；中审亚太会计师事务所</t>
  </si>
  <si>
    <t>种植业</t>
  </si>
  <si>
    <t>1.司法机关在相关刑事判决中认定，绿大地在招股说明书中虚增资产7011.4万元，虚增2004年至2007年6月间的业务收入2.96亿元。
2.绿大地在2007年年报中虚增资产2124万元，虚增收入9659.9万元；在2008年年报中虚增资产1.63亿元，虚增收入8564.68万元；在2009年年报中虚增资产1.04亿元，虚增收入6856.09万元。</t>
  </si>
  <si>
    <t>600077.SH</t>
  </si>
  <si>
    <t>国能集团</t>
  </si>
  <si>
    <t>辽宁国能集团（控股）股份有限公司</t>
  </si>
  <si>
    <t>http://www.csrc.gov.cn/csrc/c101928/c1043149/content.shtml</t>
  </si>
  <si>
    <t>2005；2006；2007；2008</t>
  </si>
  <si>
    <t>辽宁天健会计师事务所；华普天健高商会计师事务所</t>
  </si>
  <si>
    <t>1.国能集团2005、2006、2007年年报未披露有关关联关系和关联交易，总计资金往来金额达10亿元； 
2.国能集团2005年年报、2006年年报、2007年年报中的“预付账款”存在虚假记载：国能集团虚挂对本溪钢铁的“预付账款”共计1.5亿元，国能集团在2005年年报中披露的对本溪钢铁“预付账款”中含有前述虚假记载；2006年度国能集团实际虚挂对本溪钢铁的“预付账款”1.63亿元，国能集团在2006年年报中披露的对本溪钢铁“预付账款”中含有前述虚假记载；国能集团2007年年报披露，对本溪钢铁“预付账款”期末余额为1.63亿元，与实际不符；
3.国能集团2006年年报、临时报告及2007年年报中的“在建工程”存在虚假记载：2006年末，对虚列的鞍山德鑫“其他应收款”，国能集团以工程结算方式虚列“在建工程”及“在建工程—预付工程款”，两项共计虚列1.076亿元，国能集团在2006年年报中披露的“在建工程”中含有前述虚假记载；国能集团2006年5月26日发布的临时公告中关于其投资建设沈阳钢铁物流加工中心项目的在建工程产权变更存在虚假记载；国能集团在2007年年报中披露的“在建工程”余额8808.4万元为虚假记载；
4.国能集团2008年年报存在虚假记载：国能集团2008年年报称，百科实业占用国能集团的资金1.15亿元，已于2009年4月17日归还。经查证，2009年4月17日，国能集团建设银行沈阳融汇支行账号中的余额仅为1199.97万元，国能集团2008年年报存在虚假记载。</t>
  </si>
  <si>
    <t>上交所主板</t>
  </si>
  <si>
    <t>000590.SZ</t>
  </si>
  <si>
    <t>紫光古汉</t>
  </si>
  <si>
    <t>衡阳市</t>
  </si>
  <si>
    <t>紫光古汉集团股份有限公司</t>
  </si>
  <si>
    <t>财报粉饰；交易违规；其他信息披露违法违规</t>
  </si>
  <si>
    <t>http://www.csrc.gov.cn/csrc/c101928/c1043151/content.shtml</t>
  </si>
  <si>
    <t>1.2005年至2008年年报会计信息存在虚假记载：2005年虚增主营业务收入3669.47万元，虚增主营业务成本675.25万元，虚减营业费用756万元，从而虚增利润3750.22元；2006年虚增主营业务收入1122.28万元，虚增主营业务成本445.9万元，从而虚增利润676.38万元；2007年虚增主营业务收入533.54万元，虚减财务费用88万元，从而虚增利润621.54万元；2007年紫光古汉下属子公司衡阳中药公司存在账外发货事项，当年账外发货金额为1897.94万元（含税），衡阳中药公司向职工借款782.6万元未在报表中反映；2008年虚减财务费用115.69万元，从而虚增利润115.69万元；2008年紫光古汉从郑州谙拓公司拆借1200万元未在报表中反映，2008年衡阳中药公司存在账外发货事项，当年账外发货金额为1293.47万元（含税）。
2.未如实披露《合资协议之补充协议》签订并实际执行相关情况：2005年12月，在未经董事会授权的情况下，紫光古汉与湖南景达生物工程有限公司签订了《合资协议之补充协议》，紫光古汉承接了南岳制药8479.66万元的不良资产和8479.66万元负债。2006年至2008年，紫光古汉通过代南岳制药偿还债务的方式隐性执行了该协议，但未及时披露，也未在2005年至2008年年报中披露该协议及其实际执行情况。2008年，为隐瞒该协议实际执行的事实，紫光古汉通过与衡阳弘湘国有资产经营有限责任公司签订虚假土地出让金代付协议、安排南岳制药与衡阳弘湘签订虚假资产剥离协议等方式冲销了执行协议形成的应收南岳制药往来款余额。</t>
  </si>
  <si>
    <t>000517.SZ</t>
  </si>
  <si>
    <t>甬成功</t>
  </si>
  <si>
    <t>成功信息产业（集团）股份有限公司</t>
  </si>
  <si>
    <t>http://www.csrc.gov.cn/csrc/c101928/c1043150/content.shtml</t>
  </si>
  <si>
    <t>1999；2000；2001；2002；2003；2004</t>
  </si>
  <si>
    <t>深圳天健信德会计师事务所；浙江天健会计师事务所</t>
  </si>
  <si>
    <t>营业收入；非经营性负债；投资现金流</t>
  </si>
  <si>
    <t>1.甬成功在1999至2004年，在董事长陈新的控制下，通过编造虚假的经济业务事项和资料，虚构销售收入、虚构投资收益、虚列成本和少计费用等方式进行会计核算，其中累计虚构营业收入6.2亿元，虚构合并利润2.1亿；
2.未及时披露深圳市成功通信技术有限公司于2004年7月、8月份为深圳新明星发展有限公司向光大银行深圳福田支行借入1.2亿元提供担保的事项；
3.未及时披露2004年向中国光大银行深圳福田支行累计达1亿元的借款。</t>
  </si>
  <si>
    <t>中国银行深圳国际信托咨询公司,昆仑信托有限责任公司</t>
  </si>
  <si>
    <t>000757.SZ</t>
  </si>
  <si>
    <t>方向光电</t>
  </si>
  <si>
    <t>内江市</t>
  </si>
  <si>
    <t>四川方向光电股份有限公司</t>
  </si>
  <si>
    <t>http://www.csrc.gov.cn/csrc/c101928/c1043154/content.shtml</t>
  </si>
  <si>
    <t>2010年半年报</t>
  </si>
  <si>
    <t>立信大华会计师事务所</t>
  </si>
  <si>
    <t>2009年10月15日，方向光电子公司鸿翔机械与成都沐和投资管理有限公司签署《股权转让协议》，约定鸿翔机械将其控制的金鸿曲轴100%股权转让给成都沐和。2009年12月2日，金鸿曲轴完成了工商变更登记，但方向光电未及时履行信息披露义务，也未在2009年年报、2010年中期报告中予以披露，仅在2010年年报披露了鸿翔机械于2010年5月31日将其子公司金鸿曲轴转让给成都沐和的情况，所披露的时间与实际转让时间不符，存在虚假记载，在方向光电2010的年年报中，并未将金鸿曲轴2010年6月至12月的财务数据纳入合并范围，造成方向光电当期营业收入少计2432.22万元，存在重大遗漏。</t>
  </si>
  <si>
    <t>600319.SH</t>
  </si>
  <si>
    <t>亚星化学</t>
  </si>
  <si>
    <t>潍坊亚星化学股份有限公司</t>
  </si>
  <si>
    <t>http://www.csrc.gov.cn/csrc/c101928/c1043157/content.shtml</t>
  </si>
  <si>
    <t>山东正源和信有限责任会计师事务所</t>
  </si>
  <si>
    <t>1.未按规定披露关联方关系：2007年6月，亚星集团安排其持有91%股份的潍坊第二热电有限责任公司，通过借款合同和股权质押合同，向两家公司提供总计1000万元借款以该借款出资成立了上海廊桥国际贸易有限公司；亚星化学在2009年年报、2010年半年报、2010年年报及2011年半年报中均未将上海廊桥作为关联方披露；
2.未按规定披露关联交易：2009-2011年间亚星化学与上海廊桥发生的关联交易均超过了3000万元，采购商品金额累计达9000万，销售商品金额达5.6亿，且占公司最近一期经审计净资产值5%以上，但亚星化学未按规定在相关定期报告中披露这些关联交易事项；
3.未按规定披露与亚星集团的非经营性资金往来：2011年1月至11月，亚星化学与亚星集团发生了3笔非经营性资金往来均达到了临时披露要求，但是亚星化学未按照规定及时披露；对于2011年4至6月替亚星集团偿还的3600万元债务，亚星化学也未在2011年半年报中披露；
4.2011年半年报虚假记载：2011年1至6月，亚星化学及亚星湖石未及时入账的财务费用合计1476.06万元，影响当期损益，造成2011年半年报虚假记载。截至2011年10月底，亚星化学已将有关银行贷款利息计入当期损益。</t>
  </si>
  <si>
    <t>中信证券股份有限公司,中泰证券股份有限公司</t>
  </si>
  <si>
    <t>华阳科技</t>
  </si>
  <si>
    <t>宁阳县</t>
  </si>
  <si>
    <t>山东华阳科技股份有限公司</t>
  </si>
  <si>
    <t>http://www.csrc.gov.cn/csrc/c101928/c1043181/content.shtml</t>
  </si>
  <si>
    <t>2008；2009；2010</t>
  </si>
  <si>
    <t>2008年半年报；2009年半年报；2010年半年报</t>
  </si>
  <si>
    <t>会计粉饰处理</t>
  </si>
  <si>
    <t>非经营性资产；经营性负债；资金占用</t>
  </si>
  <si>
    <t>1.未及时披露与关联方华阳集团和华天化工的非经营性资金往来:华阳科技未及时披露与华阳集团的非经营性资金往来达6.1亿元，华阳科技未及时披露与华天化工的非经营性资金往来达0.12亿元。
2.在2008年半年报中存在虚假记载和重大遗漏行为：华阳科技在2008年半年报中未披露与华天化工和华秦化工的关联方关系和关联交易，交易金额达248万元，并且未披露与华阳集团和华天化工的非经营性资金往来，金额达3.1亿元，并且少计银行存款和其他应付款0.36亿元。
3.在2008年年报中存在虚假记载和重大遗漏行为：华阳科技在2008年年报中未披露与华天化工和华秦化工的关联方关系和关联交易，交易金额达358万元，并且未披露与华阳集团和华天化工的非经营性资金往来达，金额达4.5亿元，并且少计银行存款和其他应付款0.36亿元。
4.在2009年半年报中存在虚假记载和重大遗漏行为：华阳科技在2009年半年报中未披露与华天化工和华秦化工的关联方关系和关联交易，交易金额达88万元，并且未披露与华阳集团和华天化工的非经营性资金往来达，金额达0.87亿元。
5.在2009年年报中存在虚假记载和重大遗漏行为:华阳科技在2009年年报中未披露与华天化工和华秦化工的关联方关系和关联交易，交易金额达125万元，并且未披露与华阳集团和华天化工的非经营性资金往来达，金额达1.3亿元。
6.在2010年半年报中存在虚假记载和重大遗漏行为:华阳科技在2010年半年报中未披露与华天化工和华秦化工的关联方关系和关联交易，交易金额达187万元，并且未披露与华阳集团的非经营性资金往来达，金额达1.1亿元。</t>
  </si>
  <si>
    <t>600185.SH</t>
  </si>
  <si>
    <t>海星科技</t>
  </si>
  <si>
    <t>西安海星现代科技股份有限公司</t>
  </si>
  <si>
    <t>http://www.csrc.gov.cn/csrc/c101928/c1043191/content.shtml</t>
  </si>
  <si>
    <t>2007；2008</t>
  </si>
  <si>
    <t>2007年半年报；2008年半年报</t>
  </si>
  <si>
    <t>万隆亚洲会计师事务所</t>
  </si>
  <si>
    <t xml:space="preserve">一、未按规定披露对外重大担保事项，重大诉讼事项及参股公司经营情况重大变化事项：
1、未披露违规担保：
海星科技为海星集团提供担保，海星科技控股公司海星房产为同瑞药业提供抵押担保，海星房产为海星集团和海星科技组成的联合体提供连带责任担保。这些情况在年报中均未被及时披露。
2、未披露诉讼事项：
海星科技2007年中报、2007年年报中未按规定披露4起重大诉讼事项。在2008年年报中，海星科技未及时披露与中铁十五局诉讼案、与中天建设诉讼案有关情况。
3、未按规定披露参股公司经营情况重大变化事项：
在07，08年年报中，对于河南海星被解除特许经营权事项与阿深高速公路开通段业主资格变更事项，海星科技未及时披露。
二、年报存在虚假记载：
海星科技2007年中报及年报、2008年中报及年报财务会计报告附注中对其子公司海星置业征用的0.87亿元征地款这一预付账款存在虚假记载。
</t>
  </si>
  <si>
    <t>http://www.csrc.gov.cn/csrc/c101928/c1043200/content.shtml</t>
  </si>
  <si>
    <t>2009；2010</t>
  </si>
  <si>
    <t>2009年半年报</t>
  </si>
  <si>
    <t xml:space="preserve">一、大额直接非经营性资金往来和间接非经营性资金往来未入账：
1、直接非经营性资金往来未入账：
2009年1月至2010年11月，亚星化学与亚星集团直接非经营性资金往来全部未记账，由此导致亚星化学中期报告和年报信息披露存在虚假记载及重大遗漏。其中，09年中期报告未披露亚星化学向亚星集团划出资金36,690万元以及亚星集团划入亚星化学资金33,690万元的事实，导致期末银行存款多记3,000万元，少计其他应收账款3,000万元。09年年报未披露亚星化学向亚星集团划出资金63,360万元以及亚星集团划入亚星化学资金63,360万元的事实。2010年中期报告未披露亚星化学向亚星集团划出资金29,720万元以及亚星集团划入亚星化学资金29,720万元的事实。
2、间接非经营性资金往来未入账：
2009年2月至2010年10月，有36笔非经营性资金往来未被记账，其中，2009年中期报告其他应收款少计57,050万元，应付票据少计57,050万元；2009年年报其他应收款少计37,350万元，应付票据少计37,350万元；2010年中期报告其他应收款少计30,300万元，应付票据少计30,300万元。
二、未及时披露重大担保事项：
2010年5月20日、7月26日，亚星化学为亚星集团的两笔均为2,000万元的贷款提供担保，承担连带保证责任，但亚星公司未将上述重大担保合同及时披露。
</t>
  </si>
  <si>
    <t>600727.SH</t>
  </si>
  <si>
    <t>鲁北化工</t>
  </si>
  <si>
    <t>滨州市</t>
  </si>
  <si>
    <t>山东鲁北化工股份有限公司</t>
  </si>
  <si>
    <t>http://www.csrc.gov.cn/csrc/c101928/c1043205/content.shtml</t>
  </si>
  <si>
    <t>2007年半年报</t>
  </si>
  <si>
    <t>万隆会计师事务所</t>
  </si>
  <si>
    <t>1、重大关联交易未及时披露：
2007年定期报告中，鲁北化工与大股东山东鲁北企业集团及其他关联方共发生非经营性资金往来265笔，其中借方发生额11.06亿元，贷方发生额10.74亿元，期末借方余额765万元。以上资金往来均未被披露。
2008年度，鲁北化工与鲁北集团及其他关联方共发生非经营性资金往来300笔，其中借方发生额10.94亿元，贷方发生额8.26亿元，期末借方余额2.76亿元。以上资金往来均未被披露
2、业务信息披露虚假：
鲁北化工在2006年拥有的合成氨资产一直未投入使用，但在07年报中，鲁北化工未披露合成氨资产停产事项。
2008年10月4日，鲁北集团决定关停鲁北化工热电厂5台发电机组，但鲁北化工未履行临时信息披露义务。
3、短期借款余款未如实披露：
鲁北化工07第一季度报告披露短期借款余额为23,600万元，但实际金额应为34,100万元。</t>
  </si>
  <si>
    <t>600817.SH</t>
  </si>
  <si>
    <t>宏盛科技</t>
  </si>
  <si>
    <t>上海宏盛科技发展股份有限公司</t>
  </si>
  <si>
    <t>http://www.csrc.gov.cn/csrc/c101928/c1043209/content.shtml</t>
  </si>
  <si>
    <t>2005；2006</t>
  </si>
  <si>
    <t>上海立信长江会计师事务所</t>
  </si>
  <si>
    <t>年报虚假记载：
2005年至2006年，宏盛科技通过407份虚假提单骗取信用证承兑，金额合计485,126,547美元（于涉案年份约值人民币38.8亿元）。致使当年披露的贸易金额虚假。由此导致宏盛科技2005年和2006年年报披露的主营业务收入存在虚假记载。</t>
  </si>
  <si>
    <t>中国人民建设银行信托投资公司</t>
  </si>
  <si>
    <t>http://www.csrc.gov.cn/csrc/c101928/c1043232/content.shtml</t>
  </si>
  <si>
    <t>中审国际会计师事务所</t>
  </si>
  <si>
    <t>年报虚假记载：于2008年年报中虚增营业收入6900.7万元，虚增营业成本5300万元，虚增利润1,609万元。</t>
  </si>
  <si>
    <t>600986.SH</t>
  </si>
  <si>
    <t>科达股份</t>
  </si>
  <si>
    <t>东营市</t>
  </si>
  <si>
    <t>科达集团股份有限公司</t>
  </si>
  <si>
    <t>http://www.csrc.gov.cn/csrc/c101928/c1043233/content.shtml</t>
  </si>
  <si>
    <t>2006；2007；2008</t>
  </si>
  <si>
    <t>北京天圆全会计师事务所</t>
  </si>
  <si>
    <t>营业成本；其他收入；经营性资产；资金占用</t>
  </si>
  <si>
    <t>一、信息披露不及时：
1、2006年，东营市土地储备中心收购科达股份12.56万平方米土地。该公司未对上述土地收购事项未按规定及时披露。
2、2007年，科达股份与其第二大股东科达集团有频繁的非经营性资金往来达5222万元，科达未及时披露该事项。
3、2008年，科达股份向科达集团累计划拨资金8.83亿元，科达集团向科达股份累计划拨资金7.96亿元，科达未及时披露该事项。
4、2009年，科达股份向科达集团累计划拨资金7.856亿元，科达集团向科达股份累计划拨资金9.97亿元，科达未及时披露该事项。
二、年报虚假记载：
1、2006年年报少计因转让土地使用权而取得的营业外收入4671.2万元，多计已不存在的无形资产891.7万元，多计管理费用10.6万元，少计利润3,135.8万元，少计应收账款4,671万元。
2、2007年年报对已被东营市土地储备中心收购的土地继续计提无形资产摊销，多计摊销16.58万元，多计管理费用16.58万元，少计利润16.58万元，多计无形资产875.17万元，多计存货586.42万586元。
3、科达股份将2006年东营市土地储备中心土地事项作为08年事项在其年报中披露，因此多计其他业务收入4,671万元，多计其他业务支出 1,591.8万元，多计营业收入3,079.4万元。</t>
  </si>
  <si>
    <t>000805.SZ</t>
  </si>
  <si>
    <t>*ST炎黄</t>
  </si>
  <si>
    <t>常州市</t>
  </si>
  <si>
    <t>江苏炎黄在线物流股份有限公司</t>
  </si>
  <si>
    <t>http://www.csrc.gov.cn/csrc/c101928/c1043168/content.shtml</t>
  </si>
  <si>
    <t>天健华证中洲（北京）会计师事务所</t>
  </si>
  <si>
    <t>物流</t>
  </si>
  <si>
    <t>1.未按规定披露关联关系及关联交易：炎黄在线2006年年报中未将高能控股有限公司、北京融昌泰和投资咨询有限公司、北京诚通兴业物流有限公司披露为公司关联方，未将与上述3家公司发生的业务披露为关联交易。
2.虚增物流代理收入：炎黄在线构成2006年虚增物流代理收入70万元，虚增利润70万元的行为。
3.虚增债权转让收入：炎黄在线2006年确认与融昌泰和的债权转让业务收入179.85万元缺乏依据，公司2006年年报虚增利润179.85万元。</t>
  </si>
  <si>
    <t>国泰君安证券股份有限公司,东海证券股份有限公司</t>
  </si>
  <si>
    <t>多佳股份</t>
  </si>
  <si>
    <t>湖北多佳股份有限公司</t>
  </si>
  <si>
    <t>http://www.csrc.gov.cn/csrc/c101928/c1043247/content.shtml</t>
  </si>
  <si>
    <t>2002；2003</t>
  </si>
  <si>
    <t>湖北大信会计师事务所</t>
  </si>
  <si>
    <t>1.2002年年报：多佳股份虚构当年度收入0.684亿元，虚增所得税前净利润0.37亿元。
2.2003年年报：多佳股份虚构当年度收入0.31亿元，虚增所得税前净利润0.221亿元。</t>
  </si>
  <si>
    <t>银河科技</t>
  </si>
  <si>
    <t>广西省</t>
  </si>
  <si>
    <t>北海银河高科技产业股份有限公司</t>
  </si>
  <si>
    <t>http://www.csrc.gov.cn/csrc/c101928/c1043250/content.shtml</t>
  </si>
  <si>
    <t>2004；2005</t>
  </si>
  <si>
    <t>华寅会计师事务所</t>
  </si>
  <si>
    <t xml:space="preserve">一、年度报虚假记载:
1.2004年：虚增年度销售收入1.8亿元，利润0.7亿元。
2.2005年：虚增年度销售收入0.35亿元和利润795万元。
二、其他信息披露违法违规:
1、隐瞒与关联方资金往来：2004年，银河科技与其他关联方划款达5.44亿元，但该公司既未以临时报告形式、也未在定期报告中披露这些关联交易事项；2005年，银河科技未以临时报告形式及时披露向关联方累计划款3.85亿元的交易事项。
2、隐瞒对外担保事项：银河科技未如实披露在2004年、2005年为关联方提供银行借款担保共计4.62亿元事项；未如实披露在04到05年该公司为非关联方提供银行借款担保共计1.9亿元事项。
3、隐瞒银行贷款事项：银河科技未在2004年年报中披露一笔金额为9千万元的临时流动资金信用贷款事项。
4、未及时披露因重大违法违规行为被财政部广西专员办检查和被地方政府处罚的情况：银河科技未及时披露因重大违法违规行为被财政部广西专员办检查和被地方政府处罚的情况：财政部专员办对银河科技02及03年会计信息质量检查出的问题进行了行政处罚，对银河科技罚款10万元，但银河科技未及时披露该信息。
</t>
  </si>
  <si>
    <t>600656.SH</t>
  </si>
  <si>
    <t>ST方源</t>
  </si>
  <si>
    <t>东莞市方达再生资源产业股份有限公司</t>
  </si>
  <si>
    <t>http://www.csrc.gov.cn/csrc/c101928/c1043235/content.shtml</t>
  </si>
  <si>
    <t>中兴华会计师事务</t>
  </si>
  <si>
    <t xml:space="preserve">一、信息披露违法违规:
1、ST方源《股权分置改革说明书》关于方达环宇2007年6月30日的资本和资产的表述不实，并造成ST方源资本和资产不实。
2、2008年4月30日，方达环宇为方达集团0.15亿元和0.1亿元债务提供担保，为东莞市长荣置业有限公司0.21亿元债务提供担保。以上事实皆未被及时披露。
3、2008年11月27日，方达环宇因为长荣置业0.21亿元债务提供担保而被提起诉讼， ST方源未及时披露此诉讼事项。
4、2009年，方达环宇因为方达集团两笔债务共计2,718.6万元提供担保而被提起诉讼；同年，广汇科投因2千万借贷纠纷对方达环宇提起诉讼；方达环宇因中国高新9450万元股权转让纠纷被提起诉讼。以上诉讼事项皆未被ST方源及时披露。
5、2009年，未按规定及时披露与上海震宇的交易为关联交易。
6、2009年，未按规定披露两笔银行存款达3,052.8万元被法院扣划事项。
7、2009年6月24日，ST方源的实际控制人由麦校勋变更为李晓明，但ST方源未及时将上述情况进行公告。
二、半年度及年报虚假陈述：
1、2007年年报中：虚假披露银行存款余额，虚增银行存款0.64亿元；未按规定在年报中披露ST方源控股子公司方达环宇为方达集团0.13亿元债务提供担保的事项。
2、2008年年报中：虚假披露银行存款余额，虚增银行存款0.66亿元；未按规定披露方达环宇以下担保事项：为方达集团1547.11万元和1000万元债务提供担保，为长荣置业2129.98万元债务提供担保；未按规定披露因方达环宇为长荣置业21,29.98万元债务提供担保而发生的诉讼事项。
3、2009年半年报中：未按规定披露公司实际控制人变化情况及与上海震宇的关联关系及其交易。
</t>
  </si>
  <si>
    <t>方正证券股份有限公司</t>
  </si>
  <si>
    <t>000858.SZ</t>
  </si>
  <si>
    <t>五粮液</t>
  </si>
  <si>
    <t>宜宾五粮液股份有限公司</t>
  </si>
  <si>
    <t>http://www.csrc.gov.cn/csrc/c101928/c1043253/content.shtml</t>
  </si>
  <si>
    <t>四川华信会计师事务所</t>
  </si>
  <si>
    <t>会计粉饰处理；其他信息披露违法违规</t>
  </si>
  <si>
    <t xml:space="preserve">信息披露违法违规：
1、五粮液关于四川省宜宾五粮液投资有限责任公司对成都智溢塑胶制品有限公司在亚洲证券有限责任公司的5500万元证券投资款的《澄清公告》存在重大遗漏：五粮液没有将投资公司对媒体报道的智溢塑胶存放在亚洲证券款项承担的负责收回责任予以披露。且当媒体、社会公众广泛认为这是投资公司在亚洲证券的委托理财时，五粮液简单否认投资公司在亚洲证券存放任何款项，与投资公司相关人员参与了智溢塑胶在亚洲证券存放款项的客观事实之间明显不一致。
2、五粮液在中国科技证券有限责任公司的证券投资信息披露不及时、不完整：2007年11月30日，中科证券破产案第一次债权人会议召开，确认投资公司在中科证券的证券投资款已经被法院列为破产债权的事实。但是五粮液未及时披露此信息。
3、五粮液2007年年报存在录入差错未及时更正：该公司将供销公司的主营业务收入72.5亿元误写为82.5亿万元，但是五粮液一直未对数据差错及时更正。直到2009才予以更正。
4、五粮液未及时披露董事王子安被司法羁押事项：五粮液2007年度临时股东大会任命王子安为第四届董事会董事。而在2007年12月21日，宜宾市监察局下发案件通报明确指出王子安的违法违纪行为已涉嫌犯罪，现已移送检察机关侦查终结。而此事五粮液没有及时发出公告。
</t>
  </si>
  <si>
    <t>http://www.csrc.gov.cn/csrc/c101928/c1043269/content.shtml</t>
  </si>
  <si>
    <t>2007年半年报、2008年半年报</t>
  </si>
  <si>
    <t>1.未及时披露资金占用事项。2007年6月至2009年4月，天目药业在实际控制人操控下，通过预付贸易货款、购、销货物、与个体工商户合作经营、借款、及直接提供资金等形式，被大股东现代联合及其关联企业等累计占用资金1,979.5万元，截至2009年3月12日，占用资金余额为1,719.5万元。且天目药业未对上述事项及时披露。
2.未披露关联方所欠重大债务到期未获清偿情况。2008年12月至2009年5月，天目药业未按期收回大股东山东现代物流的项目股权转让款及债权转让款2182万元，且未及时披露重大关联债权未按期收回事项。期间实控人章鹏飞未经内部决策程序，擅自代表天目药业与山东现代物流签订协议延迟还款，且相关项目股权已从天目药业过户至山东现代物流。
3.天目药业未及时披露控股子公司深圳京柏拆借资金449万元给关联方的情况。</t>
  </si>
  <si>
    <t>600678.SH</t>
  </si>
  <si>
    <t>四川金顶</t>
  </si>
  <si>
    <t>峨眉山市</t>
  </si>
  <si>
    <t>四川金顶（集团）股份有限公司</t>
  </si>
  <si>
    <t>http://www.csrc.gov.cn/csrc/c101928/c1043283/content.shtml</t>
  </si>
  <si>
    <t>四川君和会计师事务所</t>
  </si>
  <si>
    <t>1.未及时披露对外担保事项。
2009年1月7日，四川金顶为富阳市鹳山电缆电线有限公司向浙江元泰典当有限责任公司借款2,000万元、为浙江大地纸业集团有限公司向德旗典当借款1,000万元、为大股东华伦集团向德旗典当借款1,000万元提供担保，共4000万元担保额。四川金顶未对上述信息及时进行披露。
2.未按规定披露向非金融机构和自然人借款事项。
四川金顶在2008年年报中没有披露其2008年向非金融机构和自然人借款1,300万元的情况、其合并会计报表的全资子公司仁寿水泥2008年向非金融机构和自然人借款4,919万元的情况，使得2008年少计借款共6219万元。</t>
  </si>
  <si>
    <t>600249.SH</t>
  </si>
  <si>
    <t>两面针</t>
  </si>
  <si>
    <t>柳州市</t>
  </si>
  <si>
    <t>柳州两面针股份有限公司</t>
  </si>
  <si>
    <t>http://www.csrc.gov.cn/csrc/c101928/c1043301/content.shtml</t>
  </si>
  <si>
    <t>2003；2004；2005</t>
  </si>
  <si>
    <t>深圳大华天诚会计师事务所</t>
  </si>
  <si>
    <t>1.虚构销售——虚增收入与利润
2003年11月至12月两面针通过虚构牙膏牙刷销售业务，虚增当年销售收入和利润，共计虚构销售收入10697.80万元，占当年销售收入的18.25%，相应虚构合并销售成本为5233.10万元。
2.少计广告费——虚增利润
2003年，两面针少计广告费3386.92万元；2004、2005年，通过相关公司挂账分别少计广告费6971.35万元与5832.62万元，累计少计广告费用16190.89万元，虚增利润16190.89万元。
3.提前确认股权转让收益——虚增利润
两面针于2004年11月将其持有的中信证券股权出售给上海诗玛尔，上海诗玛尔于当年支付股权转让款中的4440万元，两面针由此确认当年投资收益2400万元。实际上，上海诗玛尔向两面针支付的4440万元股权转让款系由两面针通过其他三家公司将4400万元汇给上海诗玛尔后，上海诗玛尔再将上述4440万元作为股权转让款汇入两面针账户。因此，上述股权转让款支付不真实，两面针在2004年年报中虚增当期利润2400万元。</t>
  </si>
  <si>
    <t>中信证券华南股份有限公司</t>
  </si>
  <si>
    <t>600771.SH</t>
  </si>
  <si>
    <t>东盛科技</t>
  </si>
  <si>
    <t>东盛科技股份有限公司</t>
  </si>
  <si>
    <t>http://www.csrc.gov.cn/csrc/c101928/c1043306/content.shtml</t>
  </si>
  <si>
    <t>2002；2003；2004；2005；2006；2007；2008</t>
  </si>
  <si>
    <t>2006年三季报、2003-2008年中期报告</t>
  </si>
  <si>
    <t>普华永道中天会计师事务所；深圳大华天诚会计师事务所；中和正信会计师事务所</t>
  </si>
  <si>
    <t>1.未按规定披露将资金提供给控股股东及其他关联方使用
2003年至2008年4月，东盛科技没有对其向控股股东东盛集团及第二大股东东盛药业提供资金及时履行临时信息披露义务，截至2008年4月，未披露提供资金余额16.58亿元。
2.未按规定披露对外担保事项
东盛科技于2002年至2006年没有对相关对外担保事项及时履行临时信息披露义务，截至2006年9月30日，东盛科技对外担保事项余额共计111,234.83万元，均未及时履行临时信息披露义务。
3.未按规定披露银行借款、银行承兑汇票、商业承兑汇票贴现事项
公司于2003年至2006年未按规定披露银行借款、银行承兑汇票、商业承兑汇票贴现事项，截止2006年6月30日，累计未按规定披露银行借款、银行承兑汇票、商业承兑汇票贴现事项共23.52亿元。</t>
  </si>
  <si>
    <t>600608.SH</t>
  </si>
  <si>
    <t>上海科技</t>
  </si>
  <si>
    <t>上海宽频科技股份有限公司</t>
  </si>
  <si>
    <t>财报粉饰；交易违规；其他信息披露违法违规；违规担保</t>
  </si>
  <si>
    <t>http://www.csrc.gov.cn/csrc/c101928/c1043310/content.shtml</t>
  </si>
  <si>
    <t>2005年半年报</t>
  </si>
  <si>
    <t>上海上会会计师事务所</t>
  </si>
  <si>
    <t>营业成本；经营性负债；非经营性负债；资金占用</t>
  </si>
  <si>
    <t>1.未入账与披露重大银行借款与应付票据事项，且设置账外账。2004年上海科技未入账与披露其及控股子公司南京宽频分次与多家银行签订借款合同和开具银行承兑汇票，并取得期末余额为1.95亿元银行借款和2.50亿元应付票据事项，且设立账外账。2005年年报针对上述重大遗漏进行补充披露，但仍有0.45亿元银行借款、2.3亿元应付票据未予以披露。2006年7月4日，上海科技补充披露与调整上述事项，称除0.5亿元票据保证金外其余均被关联方占用。
2.未按规定披露为控股股东关联方提供担保、因该担保导致公司银行存款被银行划扣、公司资金被控股股东关联方占用事项。2004、2005年，上海科技未入账与披露为控股股东关联方提供担保共3.6亿元，以及因该担保导致公司银行存款3.6亿元（1.54亿元为自有资金，其余为控股股东关联方转账划入）被扣划的重大事项。上述担保事项由董事长张杰安排办理，未经董事会开会讨论。经董事长安排，上海科技2005年半年报将上述中1.5亿元被划扣款虚构为代理采购电子产品款予以披露，将上述0.56亿元被划扣以和被担保关联方签订虚拟借款协议的形式入账。其后于2005年10月、11月公告称该项目已取消而款项未及时收回并致歉。在2005年年报和2006年7月4日补充公告中，披露上述2.10亿元资金被控股股东关联方占用。</t>
  </si>
  <si>
    <t>000979.SZ</t>
  </si>
  <si>
    <t>科苑集团</t>
  </si>
  <si>
    <t>宿州市</t>
  </si>
  <si>
    <t>安徽省科苑（集团）股份有限公司</t>
  </si>
  <si>
    <t>http://www.csrc.gov.cn/csrc/c101928/c1043308/content.shtml</t>
  </si>
  <si>
    <t>2000；2001；2002；2003</t>
  </si>
  <si>
    <t>经营性资产；非经营性资产；非经营性负债；其他成本</t>
  </si>
  <si>
    <t>1.未按规定披露证券投资。科苑集团未及时披露以自己及其他公司与个人名义从事证券或期货投资，并账外运作将资金划转到证券营业部事项。2000-2003年未披露累计投资余额为1.83亿元，2.98亿元为募集资金。
2.将未回收的证券投资资金虚构为在建工程和固定资产。2000年，虚增在建工程5,580万元；2001年，虚增在建工程3,560万元，虚增其他应收款2,020万元；2002年，虚增固定资产3,560万元，多计管理费用83.38万元；2003年，多计管理费用161.75万元。
3.未按规定披露与入账银行借款。2000至2003年，科苑集团均存在银行借款未入账行为。2000-2002年，分别少计短期借款2,300万元、8,300万元、16,850万元；2003年，少计短期借款、长期借款分别为9,300万元与5,300万元，累计少计借款金额达42,050万元。
4.将未入账借款利息虚构为在建工程，虚增在建工程共0.14亿元，少计财务费用共0.14亿元。
5.未按照规定披露有关重大担保信息，未及时披露为关联方提供连带责任保证共3500万元，提供质押担保共2200万元。</t>
  </si>
  <si>
    <t>大鹏证券有限责任公司,安徽国元信托有限责任公司</t>
  </si>
  <si>
    <t>000582.SZ</t>
  </si>
  <si>
    <t>北海港</t>
  </si>
  <si>
    <t>北海市北海港股份有限公司</t>
  </si>
  <si>
    <t>http://www.csrc.gov.cn/csrc/c101928/c1043267/content.shtml</t>
  </si>
  <si>
    <t>2005；2006；2007</t>
  </si>
  <si>
    <t>四川华信会计师事务所；上海东华会计师事务所</t>
  </si>
  <si>
    <t xml:space="preserve">一、未按规定披露占用资金形成的关联交易：
2005年10月至2007年7月，天津德利得通过虚构贸易、合作经营、建筑工程合同的名义，将北海港及其子公司的资金划往天津德利得及其关联公司。北海港及其下属子公司北海新力进出口贸易有限公司、北海新恒房地产开发有限公司向天津德利得物流等公司累计划款5.702亿元，天津德利得关联方累计划回4.73亿元。以上与关联方的资金往来，北海港未及时公告，也未在2005-2007年中报中进行披露。天津德利直至2009年5月才对上述资金往来予以披露。
二、信息披露违法违规：
1、未按规定披露实际控制人变更事项：2004年9月，天津德利得与北海市财政局、北海市机场投资管理有限公司、北海市高昂交通建设有限公司签订协议及补充协议，使得天津德利得成为北海港的实际控制人。对上述实际控制人变更事项，该公司未在05年年报和06年中报及年报中予以披露。
2、未按规定披露实际控制人变更事项：2006年9月，北海港为天津德利得物流有限公司向中国农业银行天津市南开支行两笔共计6900万元的银行借款提供担保，公司未按规定及时公告，也未在06年年报和07年中报中进行披露。
</t>
  </si>
  <si>
    <t>000421.SZ</t>
  </si>
  <si>
    <t>南京中北</t>
  </si>
  <si>
    <t>南京中北（集团）股份有限公司</t>
  </si>
  <si>
    <t>http://www.csrc.gov.cn/csrc/c101928/c1043312/content.shtml</t>
  </si>
  <si>
    <t>2003；2004</t>
  </si>
  <si>
    <t>南京永华会计师事务所</t>
  </si>
  <si>
    <t>1.少计负债：2003、2004年累计少披露银行借款6.55亿元，少披露应付票据6.41亿元，少计负债12.96亿元。
2.关联方占用披露虚假：2003年年报，南京中北未披露多次直接或间接向第三大股东南京万众开具本票或者银行转账支票提供资金10.63亿元，未披露分2次直接向第四大股东万众投资开具本票提供资金1100万元情况。2004年年报未披露通过104笔关联交易向南京万众提供资金 12.34亿元，其中有多笔是南京中北在银行机构获得贷款后随即将贷款资金提供给南京万众。2003、2004年累计少披露向关联方南京万众、万众投资提供资金23.08亿元。
3.虚假披露对关联方担保情况：2003、2004年未披露为关联方南京万众银行承兑汇票担保金额共4648万元事项。</t>
  </si>
  <si>
    <t>000681.SZ</t>
  </si>
  <si>
    <t>远东股份</t>
  </si>
  <si>
    <t>远东实业股份有限公司</t>
  </si>
  <si>
    <t>http://www.csrc.gov.cn/csrc/c101928/c1043289/content.shtml</t>
  </si>
  <si>
    <t>1999；2000；2001；2002；2003；2004；2005</t>
  </si>
  <si>
    <t>常州正大会计师事务所；江苏公证会计师事务所</t>
  </si>
  <si>
    <t>非经营性资产；营业收入；投资现金流</t>
  </si>
  <si>
    <t>1.未如实披露关联方关系。2004年11月，远东股份子公司北京研究院出资15万元设立了北京锦华瑞欣科技发展有限公司，但远东股份未在2004年至2006年年报中如实披露与北京锦华瑞欣之间存在关联方关系。
2未如实披露短期投资信息。1999至2005年，远东股份及其子公司远东科技、北京研究院和北京网安先后在常州、合肥等地5家证券营业部开设10个资金账户进行短期投资，除北京网安（账户18XXX18）外，其他投资均未在年报中如实披露，累计未披露短期投资2854.92万元。
3.虚构销售业务。2005年，远东股份通过北京研究院、北京网安、远东科技虚构与北京往来文化传播有限公司（由北京研究院和北京网安实际控制）的技术开发合同和产品销售合同共计7份，虚增上述3家子公司主营业务收入共计965.31万元，导致远东股份2005年年报虚增利润945.08万元。</t>
  </si>
  <si>
    <t>海通证券股份有限公司,东海证券股份有限公司</t>
  </si>
  <si>
    <t>湖北迈亚</t>
  </si>
  <si>
    <t>湖北迈亚股份有限公司</t>
  </si>
  <si>
    <t>http://www.csrc.gov.cn/csrc/c101928/c1043317/content.shtml</t>
  </si>
  <si>
    <t>2000；2001；2002；2003；2004；2005</t>
  </si>
  <si>
    <t>中审会计师事务所；中勤万信会计师事务所</t>
  </si>
  <si>
    <t>经营性负债；非经营性负债；资金占用</t>
  </si>
  <si>
    <t>1.少披露贷款余额：2000-2005年年报中均少披露贷款余额，分别少披露0.03、1.01、1.41、1.41、1.19、1.19亿元，累计少披露贷款余额6.23亿元。
2.未按规定披露关联方资金占用情况：2001-2005年年报均未按规定披露毛纺集团关联占用湖北迈亚资金情况，占用资金金额分别为1.01、1.41、1.41、1.75、1.89亿元。累计未披露资金占用金额7.47亿元。
3.未披露银行承兑汇票情况：2004与2005年年报均未披露开立5600万元银行承兑汇票相关情况。
4.隐瞒关联关系与关联交易：2004与2005年年报均隐瞒与仙桃锦华纺织有限公司的关联关系与关联交易信息。</t>
  </si>
  <si>
    <t>安信证券股份有限公司,长江证券股份有限公司</t>
  </si>
  <si>
    <t>聚友网络</t>
  </si>
  <si>
    <t>成都聚友网络股份有限公司</t>
  </si>
  <si>
    <t>http://www.csrc.gov.cn/csrc/c101928/c1043316/content.shtml</t>
  </si>
  <si>
    <t>2001；2002；2003；2004</t>
  </si>
  <si>
    <t>2004年半年报</t>
  </si>
  <si>
    <t>深圳鹏城会计师事务所</t>
  </si>
  <si>
    <t>营业收入；经营性资产；非经营性负债；资金占用</t>
  </si>
  <si>
    <t>1.虚假披露视讯业务收入：聚友网络2001年至2004年虚构酒店视讯业务现金收入共计 0.63亿元，2004 年以虚挂应收账款方式虚构视讯业务收入 0.16亿元，共计虚构酒店视讯业务收入0.78亿元。其中，2001年0.061亿元，2002年0.24亿元，2003年0.21亿元，2004年0.27亿元。
2.未按规定披露关联方债权债务往来：2002年6月至2004年6月期间，聚友网络控股子公司上海宽频向银行借款12笔共计24,000万元，期间陆续归还借款9,700万元。上海宽频对上述银行借款的取得及资金使用情况未纳入正常账务核算，而是设置了帐套名为“银行”的账外账对其进行记录；通过其“银行”帐套中的“其它应收款”明细账证实，上海宽频与聚友网络控股股东——聚友集团存在资金往来，截止2004年6月30日，对聚友集团的其它应收款余额为1.30亿元。上海宽频账外账贷款及对聚友集团债权情况，聚友网络未按规定及时予以披露。
3.未按规定披露对外担保：从2004年1月至2005年6月，聚友网络未按规定披露为其关联方供提供贷款担保14笔，担保总金额达6.45亿元事项。</t>
  </si>
  <si>
    <t>000498.SZ</t>
  </si>
  <si>
    <t>丹东化纤</t>
  </si>
  <si>
    <t>丹东化学纤维股份有限公司</t>
  </si>
  <si>
    <t>财报粉饰；交易违规</t>
  </si>
  <si>
    <t>http://www.csrc.gov.cn/csrc/c101928/c1043321/content.shtml</t>
  </si>
  <si>
    <t>2003；2004；2005；2006</t>
  </si>
  <si>
    <t>北京中天华正会计师事务所 ；北京立信会计师事务所</t>
  </si>
  <si>
    <t>1.未及时披露关联交易
2003至2006年期间，丹东化纤向其关联方丹东化学纤维（集团）有限责任公司和厦门华纶纺织贸易有限公司支付大笔资金，共涉及金额15.10亿元。上述资金划转均没有召开董事会和股东大会，也未及时披露。
2.虚增银行存款与其他货币资金
2003年年报虚假银行存款金额为2.05亿元，虚假其他货币资金1.00亿元；2004年年报虚假银行存款金额为4.79亿元。</t>
  </si>
  <si>
    <t>中信建投证券股份有限公司,国信证券股份有限公司</t>
  </si>
  <si>
    <t>600149.SH</t>
  </si>
  <si>
    <t>华夏建通</t>
  </si>
  <si>
    <t>华夏建通科技开发股份有限公司</t>
  </si>
  <si>
    <t>http://www.csrc.gov.cn/csrc/c101928/c1043274/content.shtml</t>
  </si>
  <si>
    <t>2003；2004；2005；2007</t>
  </si>
  <si>
    <t>河北华安会计师事务所；中喜会计师事务所</t>
  </si>
  <si>
    <t>营业收入；其他收入；资金占用</t>
  </si>
  <si>
    <t>1.2003年2月，建通集团置换进入华夏建通的资产存在重大不实，致使华夏建通2003至2007年年报资产状况的披露存在重大虚假记载，未如实披露建通集团将铁通华夏资产投入上海铁通的情况。
2.在2003至2005年年报中，虚假记载建通集团的控股股东及实际控制人情况，何强间接持有华夏建通29%的股权，是华夏建通的实际控制人。在2003至2005年年报中，华夏建通公告的实际控制人为泛华工程，未披露何强的控股情况。
3.2003年12月临时信息披露、2003年年报未按规定披露与西安通信的关联关系和关联交易。2003年3月至2007年8月期间，华夏建通董事长何强同时担任西安通信董事长。2003年12月15日，华夏建通控股子公司世信科技与西安通信签订《西安通信产业基地信息工程投标保证资金协议书》，世信科技分别于2003年12月23日、24日向西安通信共电汇资金6,000万元。华夏建通2003年12月未及时披露、2003年年报未披露上述关联关系及关联交易信息。
4.2003年2005年，未真实及时披露建通集团、西安通信等关联企业占用资金的情况，共计未披露资金占用金额3.14亿元。
5.2007年中期报告提前确认主营业务收入1,225万元。
6.控股子公司华夏通虚增营业收入0.45亿元，虚增利润0.36亿元，导致华夏建通2007年年报虚假记载利润0.17亿元。</t>
  </si>
  <si>
    <t>国泰君安证券股份有限公司,大鹏证券有限责任公司</t>
  </si>
  <si>
    <t>000603.SZ</t>
  </si>
  <si>
    <t xml:space="preserve">*ST威达 </t>
  </si>
  <si>
    <t>威达医用科技股份有限公司</t>
  </si>
  <si>
    <t>http://www.csrc.gov.cn/csrc/c101928/c1043318/content.shtml</t>
  </si>
  <si>
    <t>深圳市鹏城会计师事务所；重庆天健会计师事务所</t>
  </si>
  <si>
    <t>营业收入；营业成本；其他成本；经营性资产；非经营性资产；经营性负债</t>
  </si>
  <si>
    <t>1.虚增资产：长期股权投资未计提减值准备，公司对深圳广渊、金土地的长期股权投资出现减值，应按18.18%的持股比例计提减值准备，但未计提该项减值准备;
2.不公允计价：公司大北山林地租赁价格不公允；
3.少计费用，虚增利润：未计提对深圳市明志迪交通设施有限公司2005、2006年的借款利息，累计虚增利润71.13万元，少计应付账款244.15万元；
4.会计核算不正确，2003-2005年对莱芜医院和安徽武警医院销售业务的收入和成本核算不正确，累计虚增利润29.03万元，虚增其他应收款324万元；
5.2006年对参股子公司股权转让事项的信息披露虚假记载和重大遗漏；
6.公司未按规定及时披露2007年年报。</t>
  </si>
  <si>
    <t>招商证券股份有限公司,福建华兴投资(控股)公司,广发证券股份有限公司</t>
  </si>
  <si>
    <t>1.可能存在问题的字段</t>
  </si>
  <si>
    <t>是否严重造假案例规则说明</t>
  </si>
  <si>
    <t>AL列：对外披露利润总额（万元）</t>
  </si>
  <si>
    <t>如果舞弊企业触发了以下3个条件之一，便被判定为“严重案例”，否则为“普通案例”：</t>
  </si>
  <si>
    <t>AM列：单年最高利润总额造假比例</t>
  </si>
  <si>
    <t>1.资产负债科目、营业收入、利润总额、净利润、其他项目累计造假金额&gt;10亿</t>
  </si>
  <si>
    <t>2.资产负债科目、营业收入、利润总额、净利润、其他项目造假比例&gt;50%;</t>
  </si>
  <si>
    <t>AQ列：对外披露净利润（万元）</t>
  </si>
  <si>
    <t>3.利润总额、净利润造假扭亏为盈</t>
  </si>
  <si>
    <t>AR列：单年最高净利润造假比例</t>
  </si>
  <si>
    <t>是否严重造假案例规则来源</t>
  </si>
  <si>
    <t>AV列：对外披露净资产（万元）</t>
  </si>
  <si>
    <t>来源：沪深交易所2020年12月31日正式发布的退市相关业务规则——新增财务造假强制退市指标</t>
  </si>
  <si>
    <t>AW列：单年最高资金占用造假比例</t>
  </si>
  <si>
    <t>上海证券交易所股票上市规则（2020年12月修订）》修订说明https://view.officeapps.live.com/op/view.aspx?src=http%3A%2F%2Fwww.sse.com.cn%2Flawandrules%2Fsserules%2Fmain%2Flisting%2Fstock%2Fa%2F20201231%2F645770aa9de58b9cba20f7543b5cfb12.doc&amp;wdOrigin=BROWSELINK</t>
  </si>
  <si>
    <t>2.解决方案以及后续更新办法</t>
  </si>
  <si>
    <t>针对“AL列”修正办法：</t>
  </si>
  <si>
    <t>用AK列“利润总额单年最高造假年份”对应的年份去wind匹配当年利润总额，填入AL列：“对外披露利润总额（万元）”</t>
  </si>
  <si>
    <t>AL列：目前存在的问题是各种数相加而来，具体原理不清楚，正确性堪忧；</t>
  </si>
  <si>
    <t>针对“AQ列”修正办法：</t>
  </si>
  <si>
    <t>用AP列“净利润单年最高造假年份”对应的年份去wind匹配当年净利润，填入AQ列：“对外披露净利润（万元）”</t>
  </si>
  <si>
    <t>针对“AV列”修正办法：</t>
  </si>
  <si>
    <t>用AU列“资金占用单年最高造假年份”对应的年份去wind匹配当年净资产，填入AV列：“对外披露净资产（万元）”</t>
  </si>
  <si>
    <t>针对“AM列”、“AR列”、“AW列”修正办法：</t>
  </si>
  <si>
    <t>AM列=AJ列/AL列；</t>
  </si>
  <si>
    <t>AR列=AO列/AQ列；</t>
  </si>
  <si>
    <t>AW列=AT列/AV列；</t>
  </si>
  <si>
    <r>
      <t>格式:两位小数,不要逗号;“单年最高”即当年出具的定期报告中，造假金额（</t>
    </r>
    <r>
      <rPr>
        <b/>
        <sz val="8"/>
        <color theme="1"/>
        <rFont val="微软雅黑"/>
        <family val="2"/>
        <charset val="134"/>
      </rPr>
      <t>绝对值</t>
    </r>
    <r>
      <rPr>
        <sz val="8"/>
        <color theme="1"/>
        <rFont val="微软雅黑"/>
        <family val="2"/>
        <charset val="134"/>
      </rPr>
      <t>）最高的那份报表</t>
    </r>
    <phoneticPr fontId="24" type="noConversion"/>
  </si>
  <si>
    <t>中信证券股份有限公司</t>
    <phoneticPr fontId="24" type="noConversion"/>
  </si>
  <si>
    <t>否</t>
    <phoneticPr fontId="24" type="noConversion"/>
  </si>
  <si>
    <t>财报粉饰</t>
    <phoneticPr fontId="24" type="noConversion"/>
  </si>
  <si>
    <t>2021年半年报；2021年三季报；2021年年报</t>
    <phoneticPr fontId="24" type="noConversion"/>
  </si>
  <si>
    <t>中汇会计师事务所</t>
    <phoneticPr fontId="24" type="noConversion"/>
  </si>
  <si>
    <t>营业收入</t>
    <phoneticPr fontId="24" type="noConversion"/>
  </si>
  <si>
    <t>仅从以下项目中选填：
营业收入；营业成本；其他收入；其他成本；经营性资产；非经营性资产(投资性质）；经营性负债（应付款等）；非经营性负债（银行借款等）；经营现金流；投资现金流；筹资现金流；资金占用；</t>
    <phoneticPr fontId="24" type="noConversion"/>
  </si>
  <si>
    <t>1.通过虚构业务的方式虚增营业收入和利润总额
航天动力通过虚构与隋田力开展的专网通讯业务虚增收入、利润。2016年至2020年年报，航天动力智能数据模块贸易业务累计虚增营业收入金额38.02亿元以及虚增利润总额共7213.34万元。
2.未按规定披露智能数据模块贸易业务情况
2020年7月18日，航天动力在披露的关于上交所对公司2019年信息披露监管问询函回复公告中，未真实准确完整披露智能数据模块贸易业务供应商和交易定价均来源于隋田力安排指定，以及航天动力未对全部交易进行现场验收等情况。</t>
    <phoneticPr fontId="24" type="noConversion"/>
  </si>
  <si>
    <t>1.通过提前确认项目进度，虚增营业收入和利润总额
2021年度，力源科技通过提前确认11个水处理项目进度，导致其2021年半年报、三季度报和年度报告存在虚假记载。具体来看，2021年年度报告虚增营业收入1.04亿元、虚增利润总额2.71亿元，分别占当年披露金额的24.71%和68.23%。</t>
    <phoneticPr fontId="24" type="noConversion"/>
  </si>
  <si>
    <t>北京</t>
    <phoneticPr fontId="24" type="noConversion"/>
  </si>
  <si>
    <t>北京市</t>
    <phoneticPr fontId="24" type="noConversion"/>
  </si>
  <si>
    <t>民营企业</t>
    <phoneticPr fontId="24" type="noConversion"/>
  </si>
  <si>
    <t>财报粉饰</t>
    <phoneticPr fontId="24" type="noConversion"/>
  </si>
  <si>
    <t>2019；2020</t>
    <phoneticPr fontId="24" type="noConversion"/>
  </si>
  <si>
    <t>2019年年报；2020年年报</t>
    <phoneticPr fontId="24" type="noConversion"/>
  </si>
  <si>
    <t>天健会计师事务所</t>
    <phoneticPr fontId="24" type="noConversion"/>
  </si>
  <si>
    <t>通信</t>
    <phoneticPr fontId="24" type="noConversion"/>
  </si>
  <si>
    <t>否</t>
    <phoneticPr fontId="24" type="noConversion"/>
  </si>
  <si>
    <t>业务凭证造假</t>
    <phoneticPr fontId="24" type="noConversion"/>
  </si>
  <si>
    <t xml:space="preserve">仅从以下项目中选填：
业务凭证造假；会计处理粉饰；资金占用
</t>
    <phoneticPr fontId="24" type="noConversion"/>
  </si>
  <si>
    <t>营业收入；营业成本</t>
    <phoneticPr fontId="24" type="noConversion"/>
  </si>
  <si>
    <t>给予警告；罚款</t>
    <phoneticPr fontId="24" type="noConversion"/>
  </si>
  <si>
    <t>招商证券股份有限公司</t>
    <phoneticPr fontId="24" type="noConversion"/>
  </si>
  <si>
    <t>瑞斯康达科技发展股份有限公司</t>
    <phoneticPr fontId="24" type="noConversion"/>
  </si>
  <si>
    <t>1.通过虚构无业务实质的自循环业务虚增营业收入、营业成本和利润总额
2018年起，瑞斯康达将其子公司深蓝讯通以生产型企业名义加入虚假的专网通信自循环业务链条，作为垫资方以“以销定产”的方式虚假营业专网通信业务，导致其2019年、2020年年度报告存在虚假记载，累计虚增营业收入6.33亿元，虚增营业成本5.2亿元，虚增利润总额11.72亿元。</t>
    <phoneticPr fontId="24" type="noConversion"/>
  </si>
  <si>
    <t>688565.SH</t>
    <phoneticPr fontId="24" type="noConversion"/>
  </si>
  <si>
    <t>力源科技</t>
    <phoneticPr fontId="24" type="noConversion"/>
  </si>
  <si>
    <t>浙江海盐力源环保科技股份有限公司</t>
    <phoneticPr fontId="24" type="noConversion"/>
  </si>
  <si>
    <t>http://static.sse.com.cn/disclosure/listedinfo/announcement/c/new/2023-06-10/688565_20230610_6URQ.pdf</t>
    <phoneticPr fontId="24" type="noConversion"/>
  </si>
  <si>
    <t>http://static.sse.com.cn/disclosure/listedinfo/announcement/c/new/2023-06-17/603803_20230617_BIGG.pdf</t>
    <phoneticPr fontId="24" type="noConversion"/>
  </si>
  <si>
    <t>002584.SZ</t>
    <phoneticPr fontId="24" type="noConversion"/>
  </si>
  <si>
    <t>西陇科学</t>
    <phoneticPr fontId="24" type="noConversion"/>
  </si>
  <si>
    <t>广东省</t>
    <phoneticPr fontId="24" type="noConversion"/>
  </si>
  <si>
    <t>汕头市</t>
    <phoneticPr fontId="24" type="noConversion"/>
  </si>
  <si>
    <t>http://www.szse.cn/disclosure/listed/bulletinDetail/index.html?100ab340-4ad2-4a5f-b54d-a19a5e32107b</t>
    <phoneticPr fontId="24" type="noConversion"/>
  </si>
  <si>
    <t>2020；2021；2022</t>
    <phoneticPr fontId="24" type="noConversion"/>
  </si>
  <si>
    <t>2020年年报；2021年年报；2022年半年报</t>
    <phoneticPr fontId="24" type="noConversion"/>
  </si>
  <si>
    <t>中兴财光华会计师事务所</t>
    <phoneticPr fontId="24" type="noConversion"/>
  </si>
  <si>
    <t>电子</t>
    <phoneticPr fontId="24" type="noConversion"/>
  </si>
  <si>
    <t>否</t>
    <phoneticPr fontId="24" type="noConversion"/>
  </si>
  <si>
    <t>业务凭证造假</t>
    <phoneticPr fontId="24" type="noConversion"/>
  </si>
  <si>
    <t>营业收入；营业成本</t>
    <phoneticPr fontId="24" type="noConversion"/>
  </si>
  <si>
    <t>给予警告；罚款</t>
    <phoneticPr fontId="24" type="noConversion"/>
  </si>
  <si>
    <t>财报粉饰</t>
    <phoneticPr fontId="24" type="noConversion"/>
  </si>
  <si>
    <t>ST龙净</t>
    <phoneticPr fontId="24" type="noConversion"/>
  </si>
  <si>
    <t>福建省</t>
    <phoneticPr fontId="24" type="noConversion"/>
  </si>
  <si>
    <t>龙岩市</t>
    <phoneticPr fontId="24" type="noConversion"/>
  </si>
  <si>
    <t>福建龙净环保股份有限公司</t>
    <phoneticPr fontId="24" type="noConversion"/>
  </si>
  <si>
    <t>地方国有企业</t>
    <phoneticPr fontId="24" type="noConversion"/>
  </si>
  <si>
    <t>http://static.sse.com.cn/disclosure/listedinfo/announcement/c/new/2023-07-07/600388_20230707_43F3.pdf</t>
    <phoneticPr fontId="24" type="noConversion"/>
  </si>
  <si>
    <t>2021；2022</t>
    <phoneticPr fontId="24" type="noConversion"/>
  </si>
  <si>
    <t>2021年年报；2022年年报</t>
    <phoneticPr fontId="24" type="noConversion"/>
  </si>
  <si>
    <t>600388.SH</t>
    <phoneticPr fontId="24" type="noConversion"/>
  </si>
  <si>
    <t>容诚会计师事务所</t>
    <phoneticPr fontId="24" type="noConversion"/>
  </si>
  <si>
    <t>环保</t>
    <phoneticPr fontId="24" type="noConversion"/>
  </si>
  <si>
    <t>是</t>
    <phoneticPr fontId="24" type="noConversion"/>
  </si>
  <si>
    <t>资金占用</t>
    <phoneticPr fontId="24" type="noConversion"/>
  </si>
  <si>
    <t>给予警告；罚款</t>
    <phoneticPr fontId="24" type="noConversion"/>
  </si>
  <si>
    <t>华泰证券股份有限公司</t>
    <phoneticPr fontId="24" type="noConversion"/>
  </si>
  <si>
    <t>否</t>
    <phoneticPr fontId="24" type="noConversion"/>
  </si>
  <si>
    <t>与立案调查清单中该项保持一致，仅从以下项目中选填：
财报粉饰；其他信息披露违规；违规担保；交易违规；经营不当</t>
    <phoneticPr fontId="24" type="noConversion"/>
  </si>
  <si>
    <t>财报粉饰；其他信息披露违法违规</t>
    <phoneticPr fontId="24" type="noConversion"/>
  </si>
  <si>
    <t>1.未披露关联方资金占用事项及关联交易事项，导致货币资金虚增
[1]2021年年报期内，ST龙净实际控制人，阳光集团法定代表人吴洁，通过龙净实业分别控制ST龙净和阳光科教，既阳光集团、ST龙净、阳光科教是ST龙净关联方。
[2]2021年4月至9月期间，在实际控制人吴洁指使下，ST龙净以支付工程项目、预付工程款、土地收购预付款、股权收购款的名义划出资金，并通过多个中间方账户最终划转至阳光集团、阳光龙净、阳光科教的账户，导致关联方违规占用公司资金共计43,220万元，占2020年度经审计净资产的6.97%。</t>
    <phoneticPr fontId="24" type="noConversion"/>
  </si>
  <si>
    <t>1.借助其他公司虚构无商业实质业务，虚增收入利润
[1]西陇科学为增加贸易规模及扩大市场，实质控制聚信化工、万星材料、海南恒富和爱瑞特等4家公司，虚构乙二醇等贸易业务虚增收入利润。同时，西陇科学在无商业实质的情况下，通过返还贸易利润，协调安排资金到相关客户作为销售回款等方式虚增收入利润。导致其2020年、2021年年报及2022年半年报2020年至2022年累计虚增营业收入约284亿元，累计虚增营业成本约282亿元，累计虚增利润总额约2.3亿元。</t>
    <phoneticPr fontId="24" type="noConversion"/>
  </si>
  <si>
    <t>-</t>
    <phoneticPr fontId="24" type="noConversion"/>
  </si>
  <si>
    <t>600287.SH</t>
    <phoneticPr fontId="24" type="noConversion"/>
  </si>
  <si>
    <t>江苏舜天</t>
    <phoneticPr fontId="24" type="noConversion"/>
  </si>
  <si>
    <t>江苏省</t>
    <phoneticPr fontId="24" type="noConversion"/>
  </si>
  <si>
    <t>南京市</t>
    <phoneticPr fontId="24" type="noConversion"/>
  </si>
  <si>
    <t>江苏舜天股份有限公司</t>
    <phoneticPr fontId="24" type="noConversion"/>
  </si>
  <si>
    <t>http://static.sse.com.cn/disclosure/listedinfo/announcement/c/new/2023-07-03/600287_20230703_S4XQ.pdf</t>
    <phoneticPr fontId="24" type="noConversion"/>
  </si>
  <si>
    <t>2009；2010；2011；2012；2013；2014；2015；2016；2017；2018；2019；2020；2021</t>
    <phoneticPr fontId="24" type="noConversion"/>
  </si>
  <si>
    <t>2009年年报；2010年年报；2011年年报；2012年年报；2013年年报；2014年年报；2015年年报；2016年年报；2017年年报；2018年年报；2019年年报；2020年年报；2021年年报</t>
    <phoneticPr fontId="24" type="noConversion"/>
  </si>
  <si>
    <t>天衡会计师事务所；苏亚金诚会计师事务所</t>
    <phoneticPr fontId="24" type="noConversion"/>
  </si>
  <si>
    <t>商贸零售</t>
    <phoneticPr fontId="24" type="noConversion"/>
  </si>
  <si>
    <t>给予警告；罚款；市场禁入</t>
    <phoneticPr fontId="24" type="noConversion"/>
  </si>
  <si>
    <t>1. 参与专网通信虚假自循环业务虚增营业收入、营业成本以及利润总额
江苏舜天参与隋田力主导的虚假专网通信业务。江苏舜天通过参与通讯器材内贸虚假自循环业务，2009年至2021年年度报告共计虚增营业收入103.33亿元，虚增营业成本94亿元，虚增利润总额9.4亿元。</t>
    <phoneticPr fontId="24" type="noConversion"/>
  </si>
  <si>
    <t>海通证券股份有限公司</t>
    <phoneticPr fontId="24" type="noConversion"/>
  </si>
  <si>
    <t>截至到7.9 6.24</t>
    <phoneticPr fontId="24" type="noConversion"/>
  </si>
  <si>
    <t>四川安控科技股份有限公司（原名为北京安控科技股份有限公司）</t>
    <phoneticPr fontId="24" type="noConversion"/>
  </si>
  <si>
    <t>西陇科学股份有限公司</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</si>
</sst>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76" formatCode="_(* #,##0.00_);_(* \(#,##0.00\);_(* &quot;-&quot;??_);_(@_)"/>
    <numFmt numFmtId="177" formatCode="yyyy\-mm\-dd;@"/>
    <numFmt numFmtId="178" formatCode="#,##0.00_ "/>
    <numFmt numFmtId="179" formatCode="0.00_);[Red]\(0.00\)"/>
    <numFmt numFmtId="180" formatCode="###,###,##0.0000"/>
  </numFmts>
  <fonts count="29" x14ac:knownFonts="1">
    <font>
      <sz val="11"/>
      <color theme="1"/>
      <name val="宋体"/>
      <charset val="134"/>
      <scheme val="minor"/>
    </font>
    <font>
      <sz val="11"/>
      <color theme="1"/>
      <name val="微软雅黑"/>
      <family val="2"/>
      <charset val="134"/>
    </font>
    <font>
      <b/>
      <sz val="10.5"/>
      <color theme="1"/>
      <name val="微软雅黑"/>
      <family val="2"/>
      <charset val="134"/>
    </font>
    <font>
      <sz val="10.5"/>
      <color theme="1"/>
      <name val="微软雅黑"/>
      <family val="2"/>
      <charset val="134"/>
    </font>
    <font>
      <sz val="11"/>
      <color theme="1"/>
      <name val="宋体"/>
      <family val="3"/>
      <charset val="134"/>
      <scheme val="minor"/>
    </font>
    <font>
      <b/>
      <sz val="8"/>
      <color theme="1"/>
      <name val="微软雅黑"/>
      <family val="2"/>
      <charset val="134"/>
    </font>
    <font>
      <sz val="10"/>
      <color theme="1"/>
      <name val="微软雅黑"/>
      <family val="2"/>
      <charset val="134"/>
    </font>
    <font>
      <sz val="8"/>
      <color theme="1"/>
      <name val="微软雅黑"/>
      <family val="2"/>
      <charset val="134"/>
    </font>
    <font>
      <b/>
      <sz val="10"/>
      <color theme="0"/>
      <name val="微软雅黑"/>
      <family val="2"/>
      <charset val="134"/>
    </font>
    <font>
      <sz val="10"/>
      <name val="微软雅黑"/>
      <family val="2"/>
      <charset val="134"/>
    </font>
    <font>
      <b/>
      <sz val="10"/>
      <color theme="1"/>
      <name val="微软雅黑"/>
      <family val="2"/>
      <charset val="134"/>
    </font>
    <font>
      <u/>
      <sz val="11"/>
      <color theme="10"/>
      <name val="宋体"/>
      <family val="3"/>
      <charset val="134"/>
      <scheme val="minor"/>
    </font>
    <font>
      <u/>
      <sz val="11"/>
      <color rgb="FF800080"/>
      <name val="宋体"/>
      <family val="3"/>
      <charset val="134"/>
      <scheme val="minor"/>
    </font>
    <font>
      <sz val="10"/>
      <color theme="1"/>
      <name val="宋体"/>
      <family val="3"/>
      <charset val="134"/>
      <scheme val="minor"/>
    </font>
    <font>
      <u/>
      <sz val="10"/>
      <color theme="10"/>
      <name val="微软雅黑"/>
      <family val="2"/>
      <charset val="134"/>
    </font>
    <font>
      <u/>
      <sz val="10"/>
      <name val="微软雅黑"/>
      <family val="2"/>
      <charset val="134"/>
    </font>
    <font>
      <sz val="10"/>
      <color rgb="FF000000"/>
      <name val="微软雅黑"/>
      <family val="2"/>
      <charset val="134"/>
    </font>
    <font>
      <u/>
      <sz val="10"/>
      <color theme="1"/>
      <name val="微软雅黑"/>
      <family val="2"/>
      <charset val="134"/>
    </font>
    <font>
      <sz val="10"/>
      <color rgb="FFFF0000"/>
      <name val="微软雅黑"/>
      <family val="2"/>
      <charset val="134"/>
    </font>
    <font>
      <b/>
      <sz val="11"/>
      <color theme="0"/>
      <name val="微软雅黑"/>
      <family val="2"/>
      <charset val="134"/>
    </font>
    <font>
      <sz val="11"/>
      <name val="微软雅黑"/>
      <family val="2"/>
      <charset val="134"/>
    </font>
    <font>
      <sz val="10"/>
      <name val="Arial"/>
      <family val="2"/>
    </font>
    <font>
      <b/>
      <sz val="11"/>
      <color theme="1"/>
      <name val="微软雅黑"/>
      <family val="2"/>
      <charset val="134"/>
    </font>
    <font>
      <sz val="9"/>
      <name val="宋体"/>
      <family val="3"/>
      <charset val="134"/>
    </font>
    <font>
      <sz val="9"/>
      <name val="宋体"/>
      <family val="3"/>
      <charset val="134"/>
      <scheme val="minor"/>
    </font>
    <font>
      <sz val="10"/>
      <color theme="1"/>
      <name val="微软雅黑"/>
      <family val="2"/>
      <charset val="134"/>
    </font>
    <font>
      <sz val="8"/>
      <color theme="1"/>
      <name val="微软雅黑"/>
      <family val="2"/>
      <charset val="134"/>
    </font>
    <font>
      <sz val="11"/>
      <color theme="1"/>
      <name val="宋体"/>
      <family val="3"/>
      <charset val="134"/>
      <scheme val="minor"/>
    </font>
    <font>
      <sz val="10"/>
      <name val="微软雅黑"/>
      <family val="2"/>
      <charset val="134"/>
    </font>
  </fonts>
  <fills count="9">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rgb="FF00B0F0"/>
        <bgColor indexed="64"/>
      </patternFill>
    </fill>
    <fill>
      <patternFill patternType="solid">
        <fgColor theme="9" tint="0.79958494827112647"/>
        <bgColor indexed="64"/>
      </patternFill>
    </fill>
    <fill>
      <patternFill patternType="solid">
        <fgColor rgb="FF92D05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s>
  <cellStyleXfs count="9">
    <xf numFmtId="0" fontId="0" fillId="0" borderId="0" applyBorder="0">
      <alignment vertical="center"/>
    </xf>
    <xf numFmtId="43" fontId="4" fillId="0" borderId="0" applyFont="0" applyFill="0" applyBorder="0" applyAlignment="0" applyProtection="0">
      <alignment vertical="center"/>
    </xf>
    <xf numFmtId="0" fontId="11" fillId="0" borderId="0" applyNumberFormat="0" applyFill="0" applyBorder="0" applyAlignment="0" applyProtection="0">
      <alignment vertical="center"/>
    </xf>
    <xf numFmtId="9" fontId="4" fillId="0" borderId="0" applyFont="0" applyFill="0" applyBorder="0" applyAlignment="0" applyProtection="0">
      <alignment vertical="center"/>
    </xf>
    <xf numFmtId="9" fontId="4" fillId="0" borderId="0" applyFont="0" applyFill="0" applyBorder="0" applyAlignment="0" applyProtection="0">
      <alignment vertical="center"/>
    </xf>
    <xf numFmtId="0" fontId="21" fillId="0" borderId="0" applyBorder="0"/>
    <xf numFmtId="0" fontId="4" fillId="0" borderId="0" applyBorder="0">
      <alignment vertical="center"/>
    </xf>
    <xf numFmtId="0" fontId="11" fillId="0" borderId="0" applyNumberFormat="0" applyFill="0" applyBorder="0" applyAlignment="0" applyProtection="0">
      <alignment vertical="center"/>
    </xf>
    <xf numFmtId="176" fontId="4" fillId="0" borderId="0" applyFont="0" applyFill="0" applyBorder="0" applyAlignment="0" applyProtection="0">
      <alignment vertical="center"/>
    </xf>
  </cellStyleXfs>
  <cellXfs count="275">
    <xf numFmtId="0" fontId="0" fillId="0" borderId="0" xfId="0">
      <alignment vertical="center"/>
    </xf>
    <xf numFmtId="0" fontId="1" fillId="0" borderId="0" xfId="0" applyFont="1">
      <alignment vertical="center"/>
    </xf>
    <xf numFmtId="0" fontId="2" fillId="0" borderId="1" xfId="0" applyFont="1" applyBorder="1" applyAlignment="1">
      <alignment horizontal="justify" vertical="center"/>
    </xf>
    <xf numFmtId="0" fontId="3" fillId="0" borderId="1" xfId="0" applyFont="1" applyBorder="1" applyAlignment="1">
      <alignment horizontal="justify"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wrapText="1"/>
    </xf>
    <xf numFmtId="0" fontId="0" fillId="2" borderId="0" xfId="0" applyFill="1" applyAlignment="1">
      <alignment horizontal="left" vertical="center" wrapText="1"/>
    </xf>
    <xf numFmtId="0" fontId="4" fillId="0" borderId="0" xfId="0" applyFont="1">
      <alignment vertical="center"/>
    </xf>
    <xf numFmtId="0" fontId="0" fillId="3" borderId="0" xfId="0" applyFill="1">
      <alignment vertical="center"/>
    </xf>
    <xf numFmtId="177" fontId="0" fillId="0" borderId="0" xfId="0" applyNumberFormat="1">
      <alignment vertical="center"/>
    </xf>
    <xf numFmtId="0" fontId="0" fillId="0" borderId="0" xfId="0" applyAlignment="1">
      <alignment horizontal="left" vertical="center"/>
    </xf>
    <xf numFmtId="4" fontId="0" fillId="0" borderId="0" xfId="1" applyNumberFormat="1" applyFont="1" applyAlignment="1">
      <alignment horizontal="right" vertical="center"/>
    </xf>
    <xf numFmtId="2" fontId="0" fillId="0" borderId="0" xfId="1" applyNumberFormat="1" applyFont="1" applyAlignment="1">
      <alignment horizontal="right" vertical="center"/>
    </xf>
    <xf numFmtId="0" fontId="0" fillId="0" borderId="0" xfId="0" applyAlignment="1">
      <alignment horizontal="right" vertical="center"/>
    </xf>
    <xf numFmtId="10" fontId="0" fillId="0" borderId="0" xfId="3" applyNumberFormat="1" applyFont="1" applyAlignment="1">
      <alignment horizontal="right" vertical="center"/>
    </xf>
    <xf numFmtId="0" fontId="0" fillId="0" borderId="0" xfId="0" applyAlignment="1"/>
    <xf numFmtId="177" fontId="0" fillId="0" borderId="0" xfId="0" applyNumberFormat="1" applyAlignment="1">
      <alignment horizontal="center"/>
    </xf>
    <xf numFmtId="0" fontId="5" fillId="4" borderId="1" xfId="6" applyFont="1" applyFill="1" applyBorder="1" applyAlignment="1">
      <alignment horizontal="left" vertical="center" wrapText="1"/>
    </xf>
    <xf numFmtId="0" fontId="6" fillId="0" borderId="1" xfId="6" applyFont="1" applyBorder="1" applyAlignment="1">
      <alignment horizontal="left" vertical="center" wrapText="1"/>
    </xf>
    <xf numFmtId="0" fontId="7" fillId="4" borderId="1" xfId="6" applyFont="1" applyFill="1" applyBorder="1" applyAlignment="1">
      <alignment horizontal="left" vertical="center" wrapText="1"/>
    </xf>
    <xf numFmtId="0" fontId="5" fillId="2" borderId="1" xfId="6" applyFont="1" applyFill="1" applyBorder="1" applyAlignment="1">
      <alignment horizontal="left" vertical="center" wrapText="1"/>
    </xf>
    <xf numFmtId="0" fontId="7" fillId="2" borderId="2" xfId="6" applyFont="1" applyFill="1" applyBorder="1" applyAlignment="1">
      <alignment horizontal="left" vertical="center" wrapText="1"/>
    </xf>
    <xf numFmtId="0" fontId="7" fillId="2" borderId="1" xfId="6" applyFont="1" applyFill="1" applyBorder="1" applyAlignment="1">
      <alignment horizontal="left" vertical="center" wrapText="1"/>
    </xf>
    <xf numFmtId="0" fontId="6" fillId="2" borderId="1" xfId="6" applyFont="1" applyFill="1" applyBorder="1" applyAlignment="1">
      <alignment horizontal="center" vertical="center"/>
    </xf>
    <xf numFmtId="0" fontId="6" fillId="2" borderId="2" xfId="6" applyFont="1" applyFill="1" applyBorder="1" applyAlignment="1">
      <alignment horizontal="center" vertical="center"/>
    </xf>
    <xf numFmtId="0" fontId="8" fillId="5" borderId="2" xfId="6" applyFont="1" applyFill="1" applyBorder="1" applyAlignment="1">
      <alignment horizontal="center" vertical="center" wrapText="1"/>
    </xf>
    <xf numFmtId="0" fontId="9" fillId="0" borderId="1" xfId="6" applyFont="1" applyBorder="1" applyAlignment="1">
      <alignment horizontal="center" vertical="center"/>
    </xf>
    <xf numFmtId="0" fontId="9" fillId="0" borderId="1" xfId="6" applyFont="1" applyBorder="1" applyAlignment="1">
      <alignment horizontal="left" vertical="center"/>
    </xf>
    <xf numFmtId="0" fontId="6" fillId="0" borderId="2" xfId="6" applyFont="1" applyBorder="1" applyAlignment="1">
      <alignment horizontal="left" vertical="center" wrapText="1"/>
    </xf>
    <xf numFmtId="0" fontId="6" fillId="0" borderId="5" xfId="0" applyFont="1" applyBorder="1" applyAlignment="1">
      <alignment vertical="center" wrapText="1"/>
    </xf>
    <xf numFmtId="0" fontId="10" fillId="0" borderId="5" xfId="0" applyFont="1" applyBorder="1" applyAlignment="1">
      <alignment vertical="center" wrapText="1"/>
    </xf>
    <xf numFmtId="0" fontId="10" fillId="0" borderId="2" xfId="6" applyFont="1" applyBorder="1" applyAlignment="1">
      <alignment horizontal="left" vertical="center" wrapText="1"/>
    </xf>
    <xf numFmtId="0" fontId="6" fillId="0" borderId="5" xfId="0" applyFont="1" applyBorder="1">
      <alignment vertical="center"/>
    </xf>
    <xf numFmtId="0" fontId="9" fillId="0" borderId="6" xfId="6" applyFont="1" applyBorder="1" applyAlignment="1">
      <alignment horizontal="left" vertical="center"/>
    </xf>
    <xf numFmtId="0" fontId="6" fillId="0" borderId="6" xfId="6" applyFont="1" applyBorder="1" applyAlignment="1">
      <alignment horizontal="left" vertical="center" wrapText="1"/>
    </xf>
    <xf numFmtId="0" fontId="9" fillId="0" borderId="2" xfId="0" applyFont="1" applyBorder="1" applyAlignment="1"/>
    <xf numFmtId="0" fontId="9" fillId="0" borderId="7" xfId="6" applyFont="1" applyBorder="1" applyAlignment="1">
      <alignment horizontal="left" vertical="center"/>
    </xf>
    <xf numFmtId="0" fontId="9" fillId="0" borderId="1" xfId="0" applyFont="1" applyBorder="1" applyAlignment="1"/>
    <xf numFmtId="0" fontId="6" fillId="0" borderId="2" xfId="6" applyFont="1" applyBorder="1" applyAlignment="1">
      <alignment vertical="center" wrapText="1"/>
    </xf>
    <xf numFmtId="0" fontId="6" fillId="0" borderId="1" xfId="6" applyFont="1" applyBorder="1" applyAlignment="1">
      <alignment vertical="center" wrapText="1"/>
    </xf>
    <xf numFmtId="0" fontId="9" fillId="0" borderId="2" xfId="6" applyFont="1" applyBorder="1" applyAlignment="1">
      <alignment horizontal="left" vertical="center"/>
    </xf>
    <xf numFmtId="0" fontId="6" fillId="2" borderId="5" xfId="0" applyFont="1" applyFill="1" applyBorder="1" applyAlignment="1">
      <alignment vertical="center" wrapText="1"/>
    </xf>
    <xf numFmtId="0" fontId="9" fillId="2" borderId="1" xfId="0" applyFont="1" applyFill="1" applyBorder="1" applyAlignment="1"/>
    <xf numFmtId="0" fontId="9" fillId="0" borderId="5" xfId="6" applyFont="1" applyBorder="1" applyAlignment="1">
      <alignment horizontal="left" vertical="center"/>
    </xf>
    <xf numFmtId="0" fontId="6" fillId="0" borderId="5" xfId="6" applyFont="1" applyBorder="1" applyAlignment="1">
      <alignment vertical="center" wrapText="1"/>
    </xf>
    <xf numFmtId="0" fontId="6" fillId="0" borderId="2" xfId="0" applyFont="1" applyBorder="1" applyAlignment="1"/>
    <xf numFmtId="0" fontId="6" fillId="0" borderId="1" xfId="0" applyFont="1" applyBorder="1" applyAlignment="1"/>
    <xf numFmtId="0" fontId="9" fillId="0" borderId="5" xfId="6" applyFont="1" applyBorder="1">
      <alignment vertical="center"/>
    </xf>
    <xf numFmtId="0" fontId="6" fillId="2" borderId="2" xfId="6" applyFont="1" applyFill="1" applyBorder="1" applyAlignment="1">
      <alignment horizontal="left" vertical="center" wrapText="1"/>
    </xf>
    <xf numFmtId="0" fontId="9" fillId="0" borderId="1" xfId="6" applyFont="1" applyBorder="1" applyAlignment="1">
      <alignment horizontal="left" vertical="center" wrapText="1"/>
    </xf>
    <xf numFmtId="0" fontId="6" fillId="0" borderId="1" xfId="6" applyFont="1" applyBorder="1">
      <alignment vertical="center"/>
    </xf>
    <xf numFmtId="0" fontId="9" fillId="0" borderId="2" xfId="6" applyFont="1" applyBorder="1">
      <alignment vertical="center"/>
    </xf>
    <xf numFmtId="0" fontId="9" fillId="0" borderId="1" xfId="6" applyFont="1" applyBorder="1">
      <alignment vertical="center"/>
    </xf>
    <xf numFmtId="0" fontId="6" fillId="0" borderId="1" xfId="0" applyFont="1" applyBorder="1">
      <alignment vertical="center"/>
    </xf>
    <xf numFmtId="177" fontId="7" fillId="4" borderId="1" xfId="6" applyNumberFormat="1" applyFont="1" applyFill="1" applyBorder="1" applyAlignment="1">
      <alignment horizontal="left" vertical="center" wrapText="1"/>
    </xf>
    <xf numFmtId="0" fontId="7" fillId="0" borderId="1" xfId="6" applyFont="1" applyBorder="1" applyAlignment="1">
      <alignment horizontal="left" vertical="center" wrapText="1"/>
    </xf>
    <xf numFmtId="177" fontId="7" fillId="2" borderId="2" xfId="6" applyNumberFormat="1" applyFont="1" applyFill="1" applyBorder="1" applyAlignment="1">
      <alignment horizontal="left" vertical="center" wrapText="1"/>
    </xf>
    <xf numFmtId="177" fontId="6" fillId="2" borderId="2" xfId="6" applyNumberFormat="1" applyFont="1" applyFill="1" applyBorder="1" applyAlignment="1">
      <alignment horizontal="center" vertical="center"/>
    </xf>
    <xf numFmtId="177" fontId="6" fillId="2" borderId="1" xfId="6" applyNumberFormat="1" applyFont="1" applyFill="1" applyBorder="1" applyAlignment="1">
      <alignment horizontal="center" vertical="center"/>
    </xf>
    <xf numFmtId="177" fontId="8" fillId="5" borderId="2" xfId="6" applyNumberFormat="1" applyFont="1" applyFill="1" applyBorder="1" applyAlignment="1">
      <alignment horizontal="center" vertical="center" wrapText="1"/>
    </xf>
    <xf numFmtId="177" fontId="10" fillId="0" borderId="2" xfId="6" applyNumberFormat="1" applyFont="1" applyBorder="1" applyAlignment="1">
      <alignment horizontal="center" vertical="center" wrapText="1"/>
    </xf>
    <xf numFmtId="177" fontId="10" fillId="6" borderId="2" xfId="6" applyNumberFormat="1" applyFont="1" applyFill="1" applyBorder="1" applyAlignment="1">
      <alignment horizontal="center" vertical="center" wrapText="1"/>
    </xf>
    <xf numFmtId="0" fontId="10" fillId="0" borderId="2" xfId="6" applyFont="1" applyBorder="1" applyAlignment="1">
      <alignment horizontal="left" vertical="center"/>
    </xf>
    <xf numFmtId="0" fontId="6" fillId="0" borderId="2" xfId="6" applyFont="1" applyBorder="1" applyAlignment="1">
      <alignment horizontal="left" vertical="center"/>
    </xf>
    <xf numFmtId="0" fontId="9" fillId="0" borderId="1" xfId="5" applyFont="1" applyBorder="1" applyAlignment="1">
      <alignment horizontal="left" vertical="center"/>
    </xf>
    <xf numFmtId="177" fontId="6" fillId="0" borderId="2" xfId="6" applyNumberFormat="1" applyFont="1" applyBorder="1" applyAlignment="1">
      <alignment horizontal="center" vertical="center" wrapText="1"/>
    </xf>
    <xf numFmtId="0" fontId="11" fillId="0" borderId="2" xfId="2" applyBorder="1" applyAlignment="1">
      <alignment horizontal="left" vertical="center"/>
    </xf>
    <xf numFmtId="0" fontId="11" fillId="0" borderId="2" xfId="2" applyFill="1" applyBorder="1" applyAlignment="1">
      <alignment horizontal="left" vertical="center"/>
    </xf>
    <xf numFmtId="0" fontId="6" fillId="0" borderId="2" xfId="6" applyFont="1" applyBorder="1" applyAlignment="1">
      <alignment horizontal="left" vertical="top"/>
    </xf>
    <xf numFmtId="177" fontId="9" fillId="0" borderId="2" xfId="6" applyNumberFormat="1" applyFont="1" applyBorder="1" applyAlignment="1">
      <alignment horizontal="center" vertical="center"/>
    </xf>
    <xf numFmtId="14" fontId="11" fillId="0" borderId="2" xfId="2" applyNumberFormat="1" applyFill="1" applyBorder="1" applyAlignment="1">
      <alignment horizontal="left" vertical="center"/>
    </xf>
    <xf numFmtId="0" fontId="6" fillId="0" borderId="2" xfId="6" applyFont="1" applyBorder="1" applyAlignment="1">
      <alignment horizontal="left" vertical="top" wrapText="1"/>
    </xf>
    <xf numFmtId="0" fontId="9" fillId="0" borderId="2" xfId="5" applyFont="1" applyBorder="1" applyAlignment="1">
      <alignment horizontal="left" vertical="center"/>
    </xf>
    <xf numFmtId="177" fontId="9" fillId="0" borderId="1" xfId="6" applyNumberFormat="1" applyFont="1" applyBorder="1" applyAlignment="1">
      <alignment horizontal="center" vertical="center"/>
    </xf>
    <xf numFmtId="14" fontId="11" fillId="0" borderId="1" xfId="2" applyNumberFormat="1" applyFill="1" applyBorder="1" applyAlignment="1">
      <alignment horizontal="left" vertical="center"/>
    </xf>
    <xf numFmtId="177" fontId="6" fillId="0" borderId="1" xfId="6" applyNumberFormat="1" applyFont="1" applyBorder="1" applyAlignment="1">
      <alignment horizontal="center" vertical="center" wrapText="1"/>
    </xf>
    <xf numFmtId="177" fontId="6" fillId="0" borderId="1" xfId="6" applyNumberFormat="1" applyFont="1" applyBorder="1" applyAlignment="1">
      <alignment horizontal="center" vertical="center"/>
    </xf>
    <xf numFmtId="0" fontId="11" fillId="0" borderId="1" xfId="2" applyFill="1" applyBorder="1" applyAlignment="1">
      <alignment horizontal="left" vertical="center"/>
    </xf>
    <xf numFmtId="0" fontId="11" fillId="0" borderId="1" xfId="2" applyBorder="1" applyAlignment="1">
      <alignment horizontal="left" vertical="center"/>
    </xf>
    <xf numFmtId="14" fontId="12" fillId="0" borderId="1" xfId="2" applyNumberFormat="1" applyFont="1" applyFill="1" applyBorder="1" applyAlignment="1">
      <alignment horizontal="left" vertical="center"/>
    </xf>
    <xf numFmtId="177" fontId="9" fillId="0" borderId="1" xfId="5" applyNumberFormat="1" applyFont="1" applyBorder="1" applyAlignment="1">
      <alignment horizontal="center" vertical="center"/>
    </xf>
    <xf numFmtId="0" fontId="9" fillId="0" borderId="2" xfId="5" applyFont="1" applyBorder="1" applyAlignment="1">
      <alignment horizontal="left" vertical="top"/>
    </xf>
    <xf numFmtId="177" fontId="9" fillId="2" borderId="1" xfId="6" applyNumberFormat="1" applyFont="1" applyFill="1" applyBorder="1" applyAlignment="1">
      <alignment horizontal="center" vertical="center"/>
    </xf>
    <xf numFmtId="14" fontId="12" fillId="2" borderId="1" xfId="2" applyNumberFormat="1" applyFont="1" applyFill="1" applyBorder="1" applyAlignment="1">
      <alignment horizontal="left" vertical="center"/>
    </xf>
    <xf numFmtId="0" fontId="6" fillId="2" borderId="2" xfId="6" applyFont="1" applyFill="1" applyBorder="1" applyAlignment="1">
      <alignment horizontal="left" vertical="top" wrapText="1"/>
    </xf>
    <xf numFmtId="0" fontId="9" fillId="2" borderId="1" xfId="5" applyFont="1" applyFill="1" applyBorder="1" applyAlignment="1">
      <alignment horizontal="left" vertical="center"/>
    </xf>
    <xf numFmtId="14" fontId="11" fillId="2" borderId="1" xfId="2" applyNumberFormat="1" applyFill="1" applyBorder="1" applyAlignment="1">
      <alignment horizontal="left" vertical="center"/>
    </xf>
    <xf numFmtId="177" fontId="6" fillId="0" borderId="1" xfId="6" applyNumberFormat="1" applyFont="1" applyBorder="1" applyAlignment="1">
      <alignment horizontal="left" vertical="center" wrapText="1"/>
    </xf>
    <xf numFmtId="0" fontId="7" fillId="7" borderId="1" xfId="6" applyFont="1" applyFill="1" applyBorder="1" applyAlignment="1">
      <alignment horizontal="left" vertical="center" wrapText="1"/>
    </xf>
    <xf numFmtId="0" fontId="8" fillId="5" borderId="1" xfId="6" applyFont="1" applyFill="1" applyBorder="1" applyAlignment="1">
      <alignment horizontal="center" vertical="center" wrapText="1"/>
    </xf>
    <xf numFmtId="0" fontId="6" fillId="0" borderId="2" xfId="6" applyFont="1" applyBorder="1" applyAlignment="1">
      <alignment horizontal="center" vertical="center" wrapText="1"/>
    </xf>
    <xf numFmtId="0" fontId="6" fillId="0" borderId="2" xfId="6" applyFont="1" applyBorder="1" applyAlignment="1">
      <alignment vertical="top" wrapText="1"/>
    </xf>
    <xf numFmtId="0" fontId="6" fillId="0" borderId="2" xfId="6" applyFont="1" applyBorder="1">
      <alignment vertical="center"/>
    </xf>
    <xf numFmtId="0" fontId="6" fillId="0" borderId="2" xfId="6" applyFont="1" applyBorder="1" applyAlignment="1">
      <alignment vertical="top"/>
    </xf>
    <xf numFmtId="0" fontId="9" fillId="0" borderId="2" xfId="5" applyFont="1" applyBorder="1" applyAlignment="1">
      <alignment vertical="center"/>
    </xf>
    <xf numFmtId="0" fontId="9" fillId="0" borderId="2" xfId="8" applyNumberFormat="1" applyFont="1" applyFill="1" applyBorder="1" applyAlignment="1">
      <alignment vertical="center"/>
    </xf>
    <xf numFmtId="0" fontId="9" fillId="0" borderId="2" xfId="8" applyNumberFormat="1" applyFont="1" applyFill="1" applyBorder="1" applyAlignment="1">
      <alignment horizontal="left" vertical="center"/>
    </xf>
    <xf numFmtId="9" fontId="9" fillId="0" borderId="1" xfId="3" applyFont="1" applyFill="1" applyBorder="1" applyAlignment="1">
      <alignment vertical="center"/>
    </xf>
    <xf numFmtId="178" fontId="9" fillId="0" borderId="2" xfId="8" applyNumberFormat="1" applyFont="1" applyFill="1" applyBorder="1" applyAlignment="1">
      <alignment horizontal="center" vertical="center"/>
    </xf>
    <xf numFmtId="178" fontId="9" fillId="0" borderId="2" xfId="8" applyNumberFormat="1" applyFont="1" applyFill="1" applyBorder="1" applyAlignment="1">
      <alignment vertical="top"/>
    </xf>
    <xf numFmtId="0" fontId="6" fillId="2" borderId="1" xfId="6" applyFont="1" applyFill="1" applyBorder="1" applyAlignment="1">
      <alignment vertical="center" wrapText="1"/>
    </xf>
    <xf numFmtId="0" fontId="6" fillId="2" borderId="2" xfId="6" applyFont="1" applyFill="1" applyBorder="1" applyAlignment="1">
      <alignment horizontal="center" vertical="center" wrapText="1"/>
    </xf>
    <xf numFmtId="0" fontId="6" fillId="2" borderId="2" xfId="6" applyFont="1" applyFill="1" applyBorder="1" applyAlignment="1">
      <alignment vertical="top" wrapText="1"/>
    </xf>
    <xf numFmtId="0" fontId="6" fillId="2" borderId="2" xfId="6" applyFont="1" applyFill="1" applyBorder="1">
      <alignment vertical="center"/>
    </xf>
    <xf numFmtId="0" fontId="6" fillId="2" borderId="2" xfId="6" applyFont="1" applyFill="1" applyBorder="1" applyAlignment="1">
      <alignment vertical="center" wrapText="1"/>
    </xf>
    <xf numFmtId="4" fontId="7" fillId="4" borderId="1" xfId="1" applyNumberFormat="1" applyFont="1" applyFill="1" applyBorder="1" applyAlignment="1">
      <alignment horizontal="left" vertical="center" wrapText="1"/>
    </xf>
    <xf numFmtId="2" fontId="7" fillId="4" borderId="1" xfId="1" applyNumberFormat="1" applyFont="1" applyFill="1" applyBorder="1" applyAlignment="1">
      <alignment horizontal="left" vertical="center" wrapText="1"/>
    </xf>
    <xf numFmtId="0" fontId="7" fillId="4" borderId="1" xfId="6" applyFont="1" applyFill="1" applyBorder="1" applyAlignment="1">
      <alignment horizontal="center" vertical="center" wrapText="1"/>
    </xf>
    <xf numFmtId="10" fontId="7" fillId="7" borderId="1" xfId="3" applyNumberFormat="1" applyFont="1" applyFill="1" applyBorder="1" applyAlignment="1">
      <alignment horizontal="left" vertical="center" wrapText="1"/>
    </xf>
    <xf numFmtId="4" fontId="7" fillId="2" borderId="2" xfId="1" applyNumberFormat="1" applyFont="1" applyFill="1" applyBorder="1" applyAlignment="1">
      <alignment horizontal="left" vertical="center" wrapText="1"/>
    </xf>
    <xf numFmtId="2" fontId="7" fillId="2" borderId="2" xfId="1" applyNumberFormat="1" applyFont="1" applyFill="1" applyBorder="1" applyAlignment="1">
      <alignment horizontal="left" vertical="center" wrapText="1"/>
    </xf>
    <xf numFmtId="0" fontId="7" fillId="2" borderId="2" xfId="6" applyFont="1" applyFill="1" applyBorder="1" applyAlignment="1">
      <alignment horizontal="center" vertical="center" wrapText="1"/>
    </xf>
    <xf numFmtId="10" fontId="7" fillId="2" borderId="1" xfId="3" applyNumberFormat="1" applyFont="1" applyFill="1" applyBorder="1" applyAlignment="1">
      <alignment horizontal="left" vertical="center" wrapText="1"/>
    </xf>
    <xf numFmtId="4" fontId="6" fillId="2" borderId="2" xfId="1" applyNumberFormat="1" applyFont="1" applyFill="1" applyBorder="1" applyAlignment="1">
      <alignment horizontal="center" vertical="center"/>
    </xf>
    <xf numFmtId="2" fontId="6" fillId="2" borderId="1" xfId="1" applyNumberFormat="1" applyFont="1" applyFill="1" applyBorder="1" applyAlignment="1">
      <alignment horizontal="center" vertical="center"/>
    </xf>
    <xf numFmtId="2" fontId="6" fillId="2" borderId="2" xfId="1" applyNumberFormat="1" applyFont="1" applyFill="1" applyBorder="1" applyAlignment="1">
      <alignment horizontal="center" vertical="center"/>
    </xf>
    <xf numFmtId="10" fontId="6" fillId="2" borderId="1" xfId="3" applyNumberFormat="1" applyFont="1" applyFill="1" applyBorder="1" applyAlignment="1">
      <alignment horizontal="center" vertical="center"/>
    </xf>
    <xf numFmtId="4" fontId="8" fillId="5" borderId="2" xfId="1" applyNumberFormat="1" applyFont="1" applyFill="1" applyBorder="1" applyAlignment="1">
      <alignment horizontal="center" vertical="center" wrapText="1"/>
    </xf>
    <xf numFmtId="2" fontId="8" fillId="5" borderId="2" xfId="1" applyNumberFormat="1" applyFont="1" applyFill="1" applyBorder="1" applyAlignment="1">
      <alignment horizontal="center" vertical="center" wrapText="1"/>
    </xf>
    <xf numFmtId="10" fontId="8" fillId="5" borderId="2" xfId="3" applyNumberFormat="1" applyFont="1" applyFill="1" applyBorder="1" applyAlignment="1">
      <alignment horizontal="center" vertical="center" wrapText="1"/>
    </xf>
    <xf numFmtId="4" fontId="10" fillId="0" borderId="2" xfId="1" applyNumberFormat="1" applyFont="1" applyFill="1" applyBorder="1" applyAlignment="1">
      <alignment horizontal="center" vertical="center" wrapText="1"/>
    </xf>
    <xf numFmtId="2" fontId="10" fillId="0" borderId="2" xfId="1" applyNumberFormat="1" applyFont="1" applyFill="1" applyBorder="1" applyAlignment="1">
      <alignment horizontal="center" vertical="center" wrapText="1"/>
    </xf>
    <xf numFmtId="0" fontId="10" fillId="0" borderId="2" xfId="6" applyFont="1" applyBorder="1" applyAlignment="1">
      <alignment horizontal="center" vertical="center" wrapText="1"/>
    </xf>
    <xf numFmtId="10" fontId="9" fillId="0" borderId="1" xfId="3" applyNumberFormat="1" applyFont="1" applyFill="1" applyBorder="1" applyAlignment="1">
      <alignment horizontal="right" vertical="center"/>
    </xf>
    <xf numFmtId="4" fontId="6" fillId="0" borderId="2" xfId="1" applyNumberFormat="1" applyFont="1" applyBorder="1" applyAlignment="1">
      <alignment horizontal="right" vertical="center" wrapText="1"/>
    </xf>
    <xf numFmtId="2" fontId="6" fillId="0" borderId="2" xfId="1" applyNumberFormat="1" applyFont="1" applyFill="1" applyBorder="1" applyAlignment="1">
      <alignment horizontal="right" vertical="center" wrapText="1"/>
    </xf>
    <xf numFmtId="2" fontId="9" fillId="0" borderId="2" xfId="1" applyNumberFormat="1" applyFont="1" applyFill="1" applyBorder="1" applyAlignment="1">
      <alignment horizontal="right" vertical="center" wrapText="1"/>
    </xf>
    <xf numFmtId="10" fontId="9" fillId="0" borderId="2" xfId="3" applyNumberFormat="1" applyFont="1" applyFill="1" applyBorder="1" applyAlignment="1">
      <alignment horizontal="right" vertical="center"/>
    </xf>
    <xf numFmtId="10" fontId="10" fillId="0" borderId="1" xfId="3" applyNumberFormat="1" applyFont="1" applyFill="1" applyBorder="1" applyAlignment="1">
      <alignment horizontal="center" vertical="center" wrapText="1"/>
    </xf>
    <xf numFmtId="4" fontId="9" fillId="0" borderId="2" xfId="1" applyNumberFormat="1" applyFont="1" applyBorder="1" applyAlignment="1">
      <alignment horizontal="right" vertical="center"/>
    </xf>
    <xf numFmtId="2" fontId="9" fillId="0" borderId="2" xfId="1" applyNumberFormat="1" applyFont="1" applyFill="1" applyBorder="1" applyAlignment="1">
      <alignment horizontal="right" vertical="center"/>
    </xf>
    <xf numFmtId="4" fontId="6" fillId="2" borderId="2" xfId="1" applyNumberFormat="1" applyFont="1" applyFill="1" applyBorder="1" applyAlignment="1">
      <alignment horizontal="right" vertical="center" wrapText="1"/>
    </xf>
    <xf numFmtId="2" fontId="6" fillId="2" borderId="2" xfId="1" applyNumberFormat="1" applyFont="1" applyFill="1" applyBorder="1" applyAlignment="1">
      <alignment horizontal="right" vertical="center" wrapText="1"/>
    </xf>
    <xf numFmtId="0" fontId="6" fillId="2" borderId="2" xfId="6" applyFont="1" applyFill="1" applyBorder="1" applyAlignment="1">
      <alignment horizontal="right" vertical="center" wrapText="1"/>
    </xf>
    <xf numFmtId="0" fontId="6" fillId="0" borderId="2" xfId="6" applyFont="1" applyBorder="1" applyAlignment="1">
      <alignment horizontal="right" vertical="center" wrapText="1"/>
    </xf>
    <xf numFmtId="0" fontId="7" fillId="2" borderId="2" xfId="8" applyNumberFormat="1" applyFont="1" applyFill="1" applyBorder="1" applyAlignment="1">
      <alignment horizontal="left" vertical="center" wrapText="1"/>
    </xf>
    <xf numFmtId="2" fontId="7" fillId="2" borderId="1" xfId="1" applyNumberFormat="1" applyFont="1" applyFill="1" applyBorder="1" applyAlignment="1">
      <alignment horizontal="left" vertical="center" wrapText="1"/>
    </xf>
    <xf numFmtId="10" fontId="7" fillId="2" borderId="2" xfId="3" applyNumberFormat="1" applyFont="1" applyFill="1" applyBorder="1" applyAlignment="1">
      <alignment horizontal="left" vertical="center" wrapText="1"/>
    </xf>
    <xf numFmtId="0" fontId="7" fillId="2" borderId="1" xfId="8" applyNumberFormat="1" applyFont="1" applyFill="1" applyBorder="1" applyAlignment="1">
      <alignment horizontal="left" vertical="center" wrapText="1"/>
    </xf>
    <xf numFmtId="10" fontId="6" fillId="2" borderId="2" xfId="3" applyNumberFormat="1" applyFont="1" applyFill="1" applyBorder="1" applyAlignment="1">
      <alignment horizontal="center" vertical="center"/>
    </xf>
    <xf numFmtId="10" fontId="10" fillId="0" borderId="2" xfId="3" applyNumberFormat="1" applyFont="1" applyFill="1" applyBorder="1" applyAlignment="1">
      <alignment horizontal="center" vertical="center" wrapText="1"/>
    </xf>
    <xf numFmtId="2" fontId="6" fillId="0" borderId="2" xfId="1" applyNumberFormat="1" applyFont="1" applyBorder="1" applyAlignment="1">
      <alignment horizontal="right" vertical="center" wrapText="1"/>
    </xf>
    <xf numFmtId="2" fontId="6" fillId="0" borderId="1" xfId="1" applyNumberFormat="1" applyFont="1" applyBorder="1" applyAlignment="1">
      <alignment horizontal="right" vertical="center" wrapText="1"/>
    </xf>
    <xf numFmtId="2" fontId="6" fillId="0" borderId="1" xfId="1" applyNumberFormat="1" applyFont="1" applyFill="1" applyBorder="1" applyAlignment="1">
      <alignment horizontal="right" vertical="center" wrapText="1"/>
    </xf>
    <xf numFmtId="2" fontId="9" fillId="0" borderId="1" xfId="1" applyNumberFormat="1" applyFont="1" applyFill="1" applyBorder="1" applyAlignment="1">
      <alignment horizontal="right" vertical="center"/>
    </xf>
    <xf numFmtId="2" fontId="6" fillId="2" borderId="1" xfId="1" applyNumberFormat="1" applyFont="1" applyFill="1" applyBorder="1" applyAlignment="1">
      <alignment horizontal="right" vertical="center" wrapText="1"/>
    </xf>
    <xf numFmtId="2" fontId="6" fillId="0" borderId="1" xfId="1" applyNumberFormat="1" applyFont="1" applyBorder="1" applyAlignment="1">
      <alignment horizontal="right" vertical="center"/>
    </xf>
    <xf numFmtId="2" fontId="6" fillId="0" borderId="2" xfId="1" applyNumberFormat="1" applyFont="1" applyBorder="1" applyAlignment="1">
      <alignment horizontal="right" vertical="center"/>
    </xf>
    <xf numFmtId="1" fontId="6" fillId="0" borderId="2" xfId="1" applyNumberFormat="1" applyFont="1" applyFill="1" applyBorder="1" applyAlignment="1">
      <alignment horizontal="right" vertical="center" wrapText="1"/>
    </xf>
    <xf numFmtId="2" fontId="10" fillId="0" borderId="1" xfId="1" applyNumberFormat="1" applyFont="1" applyFill="1" applyBorder="1" applyAlignment="1">
      <alignment horizontal="center" vertical="center" wrapText="1"/>
    </xf>
    <xf numFmtId="0" fontId="9" fillId="0" borderId="2" xfId="8" applyNumberFormat="1" applyFont="1" applyFill="1" applyBorder="1" applyAlignment="1">
      <alignment horizontal="right" vertical="center"/>
    </xf>
    <xf numFmtId="10" fontId="6" fillId="2" borderId="1" xfId="3" applyNumberFormat="1" applyFont="1" applyFill="1" applyBorder="1" applyAlignment="1">
      <alignment horizontal="right" vertical="center" wrapText="1"/>
    </xf>
    <xf numFmtId="10" fontId="6" fillId="0" borderId="1" xfId="3" applyNumberFormat="1" applyFont="1" applyFill="1" applyBorder="1" applyAlignment="1">
      <alignment horizontal="right" vertical="center" wrapText="1"/>
    </xf>
    <xf numFmtId="0" fontId="6" fillId="7" borderId="1" xfId="6" applyFont="1" applyFill="1" applyBorder="1" applyAlignment="1">
      <alignment horizontal="left" vertical="center" wrapText="1"/>
    </xf>
    <xf numFmtId="10" fontId="6" fillId="0" borderId="1" xfId="3" applyNumberFormat="1" applyFont="1" applyFill="1" applyBorder="1" applyAlignment="1">
      <alignment horizontal="right" vertical="center"/>
    </xf>
    <xf numFmtId="0" fontId="9" fillId="0" borderId="2" xfId="5" applyFont="1" applyBorder="1" applyAlignment="1">
      <alignment horizontal="center" vertical="center"/>
    </xf>
    <xf numFmtId="0" fontId="9" fillId="0" borderId="1" xfId="5" applyFont="1" applyBorder="1" applyAlignment="1">
      <alignment horizontal="center" vertical="center"/>
    </xf>
    <xf numFmtId="179" fontId="6" fillId="0" borderId="2" xfId="3" applyNumberFormat="1" applyFont="1" applyFill="1" applyBorder="1" applyAlignment="1">
      <alignment horizontal="right" vertical="center"/>
    </xf>
    <xf numFmtId="10" fontId="6" fillId="2" borderId="1" xfId="3" applyNumberFormat="1" applyFont="1" applyFill="1" applyBorder="1" applyAlignment="1">
      <alignment horizontal="right" vertical="center"/>
    </xf>
    <xf numFmtId="10" fontId="6" fillId="2" borderId="2" xfId="3" applyNumberFormat="1" applyFont="1" applyFill="1" applyBorder="1" applyAlignment="1">
      <alignment horizontal="right" vertical="center"/>
    </xf>
    <xf numFmtId="0" fontId="9" fillId="0" borderId="2" xfId="5" applyFont="1" applyBorder="1" applyAlignment="1">
      <alignment horizontal="left" vertical="top" wrapText="1"/>
    </xf>
    <xf numFmtId="177" fontId="13" fillId="0" borderId="0" xfId="0" applyNumberFormat="1" applyFont="1" applyAlignment="1">
      <alignment horizontal="left" vertical="center" wrapText="1"/>
    </xf>
    <xf numFmtId="0" fontId="7" fillId="2" borderId="1" xfId="6" applyFont="1" applyFill="1" applyBorder="1" applyAlignment="1">
      <alignment horizontal="center" vertical="center" wrapText="1"/>
    </xf>
    <xf numFmtId="177" fontId="7" fillId="2" borderId="1" xfId="6" applyNumberFormat="1" applyFont="1" applyFill="1" applyBorder="1" applyAlignment="1">
      <alignment horizontal="center" vertical="center" wrapText="1"/>
    </xf>
    <xf numFmtId="0" fontId="9" fillId="0" borderId="5" xfId="5" applyFont="1" applyBorder="1" applyAlignment="1">
      <alignment horizontal="center" vertical="center"/>
    </xf>
    <xf numFmtId="0" fontId="4" fillId="0" borderId="1" xfId="0" applyFont="1" applyBorder="1" applyAlignment="1">
      <alignment horizontal="left" vertical="center"/>
    </xf>
    <xf numFmtId="0" fontId="0" fillId="0" borderId="4" xfId="0" applyBorder="1" applyAlignment="1"/>
    <xf numFmtId="0" fontId="4" fillId="0" borderId="1" xfId="0" applyFont="1" applyBorder="1" applyAlignment="1">
      <alignment horizontal="center" vertical="center" wrapText="1"/>
    </xf>
    <xf numFmtId="177" fontId="0" fillId="0" borderId="4" xfId="0" applyNumberFormat="1" applyBorder="1" applyAlignment="1">
      <alignment horizontal="center"/>
    </xf>
    <xf numFmtId="0" fontId="0" fillId="0" borderId="1" xfId="0" applyBorder="1" applyAlignment="1"/>
    <xf numFmtId="177" fontId="4" fillId="0" borderId="4" xfId="0" applyNumberFormat="1" applyFont="1" applyBorder="1" applyAlignment="1">
      <alignment horizontal="center"/>
    </xf>
    <xf numFmtId="0" fontId="9" fillId="0" borderId="8" xfId="5" applyFont="1" applyBorder="1" applyAlignment="1">
      <alignment horizontal="center" vertical="center"/>
    </xf>
    <xf numFmtId="0" fontId="4" fillId="0" borderId="9" xfId="0" applyFont="1" applyBorder="1" applyAlignment="1">
      <alignment horizontal="left" vertical="center"/>
    </xf>
    <xf numFmtId="0" fontId="4" fillId="0" borderId="9" xfId="0" applyFont="1" applyBorder="1" applyAlignment="1">
      <alignment horizontal="center" vertical="center" wrapText="1"/>
    </xf>
    <xf numFmtId="0" fontId="4" fillId="0" borderId="10" xfId="0" applyFont="1" applyBorder="1" applyAlignment="1">
      <alignment horizontal="left" vertical="center"/>
    </xf>
    <xf numFmtId="0" fontId="4"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horizontal="left" vertical="center"/>
    </xf>
    <xf numFmtId="0" fontId="0" fillId="0" borderId="10" xfId="0" applyBorder="1" applyAlignment="1"/>
    <xf numFmtId="0" fontId="6" fillId="2" borderId="1" xfId="6" applyFont="1" applyFill="1" applyBorder="1" applyAlignment="1">
      <alignment horizontal="center" vertical="center" wrapText="1"/>
    </xf>
    <xf numFmtId="0" fontId="6" fillId="0" borderId="0" xfId="6" applyFont="1" applyBorder="1" applyAlignment="1">
      <alignment horizontal="center" vertical="center" wrapText="1"/>
    </xf>
    <xf numFmtId="0" fontId="11" fillId="0" borderId="0" xfId="2" applyAlignment="1">
      <alignment horizontal="left" vertical="center"/>
    </xf>
    <xf numFmtId="180" fontId="9" fillId="0" borderId="2" xfId="6" applyNumberFormat="1" applyFont="1" applyBorder="1">
      <alignment vertical="center"/>
    </xf>
    <xf numFmtId="180" fontId="9" fillId="0" borderId="1" xfId="6" applyNumberFormat="1" applyFont="1" applyBorder="1">
      <alignment vertical="center"/>
    </xf>
    <xf numFmtId="14" fontId="9" fillId="0" borderId="7" xfId="6" applyNumberFormat="1" applyFont="1" applyBorder="1" applyAlignment="1">
      <alignment horizontal="left" vertical="center"/>
    </xf>
    <xf numFmtId="0" fontId="6" fillId="0" borderId="1" xfId="0" applyFont="1" applyBorder="1" applyAlignment="1">
      <alignment vertical="center" wrapText="1"/>
    </xf>
    <xf numFmtId="0" fontId="6" fillId="0" borderId="1" xfId="6" applyFont="1" applyBorder="1" applyAlignment="1">
      <alignment horizontal="left" vertical="center"/>
    </xf>
    <xf numFmtId="14" fontId="9" fillId="0" borderId="1" xfId="6" applyNumberFormat="1" applyFont="1" applyBorder="1" applyAlignment="1">
      <alignment horizontal="left" vertical="center"/>
    </xf>
    <xf numFmtId="14" fontId="14" fillId="0" borderId="1" xfId="2" applyNumberFormat="1" applyFont="1" applyFill="1" applyBorder="1" applyAlignment="1">
      <alignment horizontal="left" vertical="center"/>
    </xf>
    <xf numFmtId="14" fontId="15" fillId="0" borderId="1" xfId="7" applyNumberFormat="1" applyFont="1" applyFill="1" applyBorder="1" applyAlignment="1">
      <alignment horizontal="left" vertical="center"/>
    </xf>
    <xf numFmtId="14" fontId="15" fillId="0" borderId="0" xfId="7" applyNumberFormat="1" applyFont="1" applyFill="1" applyBorder="1" applyAlignment="1">
      <alignment horizontal="left" vertical="center"/>
    </xf>
    <xf numFmtId="0" fontId="9" fillId="0" borderId="1" xfId="8" applyNumberFormat="1" applyFont="1" applyFill="1" applyBorder="1" applyAlignment="1">
      <alignment horizontal="left" vertical="center"/>
    </xf>
    <xf numFmtId="0" fontId="9" fillId="0" borderId="1" xfId="5" applyFont="1" applyBorder="1" applyAlignment="1">
      <alignment vertical="center"/>
    </xf>
    <xf numFmtId="0" fontId="6" fillId="0" borderId="1" xfId="6" applyFont="1" applyBorder="1" applyAlignment="1">
      <alignment horizontal="left" vertical="top" wrapText="1"/>
    </xf>
    <xf numFmtId="177" fontId="9" fillId="0" borderId="2" xfId="5" applyNumberFormat="1" applyFont="1" applyBorder="1" applyAlignment="1">
      <alignment horizontal="center" vertical="center"/>
    </xf>
    <xf numFmtId="178" fontId="9" fillId="0" borderId="2" xfId="8" applyNumberFormat="1" applyFont="1" applyFill="1" applyBorder="1" applyAlignment="1">
      <alignment vertical="center"/>
    </xf>
    <xf numFmtId="9" fontId="9" fillId="0" borderId="2" xfId="3" applyFont="1" applyFill="1" applyBorder="1" applyAlignment="1">
      <alignment horizontal="left" vertical="center"/>
    </xf>
    <xf numFmtId="178" fontId="9" fillId="0" borderId="1" xfId="8" applyNumberFormat="1" applyFont="1" applyFill="1" applyBorder="1" applyAlignment="1">
      <alignment vertical="center"/>
    </xf>
    <xf numFmtId="0" fontId="9" fillId="0" borderId="2" xfId="8" applyNumberFormat="1" applyFont="1" applyFill="1" applyBorder="1" applyAlignment="1">
      <alignment horizontal="center" vertical="center"/>
    </xf>
    <xf numFmtId="0" fontId="9" fillId="0" borderId="0" xfId="5" applyFont="1" applyBorder="1" applyAlignment="1">
      <alignment vertical="center"/>
    </xf>
    <xf numFmtId="178" fontId="9" fillId="0" borderId="1" xfId="8" applyNumberFormat="1" applyFont="1" applyFill="1" applyBorder="1" applyAlignment="1">
      <alignment horizontal="center" vertical="center"/>
    </xf>
    <xf numFmtId="0" fontId="9" fillId="0" borderId="1" xfId="8" applyNumberFormat="1" applyFont="1" applyFill="1" applyBorder="1" applyAlignment="1">
      <alignment vertical="center"/>
    </xf>
    <xf numFmtId="0" fontId="6" fillId="0" borderId="1" xfId="6" applyFont="1" applyBorder="1" applyAlignment="1">
      <alignment horizontal="center" vertical="center" wrapText="1"/>
    </xf>
    <xf numFmtId="0" fontId="6" fillId="0" borderId="1" xfId="6" applyFont="1" applyBorder="1" applyAlignment="1">
      <alignment vertical="top" wrapText="1"/>
    </xf>
    <xf numFmtId="9" fontId="9" fillId="0" borderId="1" xfId="3" applyFont="1" applyFill="1" applyBorder="1" applyAlignment="1">
      <alignment horizontal="left" vertical="center"/>
    </xf>
    <xf numFmtId="0" fontId="9" fillId="0" borderId="1" xfId="8" applyNumberFormat="1" applyFont="1" applyFill="1" applyBorder="1" applyAlignment="1">
      <alignment horizontal="center" vertical="center"/>
    </xf>
    <xf numFmtId="176" fontId="9" fillId="0" borderId="1" xfId="8" applyFont="1" applyFill="1" applyBorder="1" applyAlignment="1">
      <alignment vertical="center"/>
    </xf>
    <xf numFmtId="4" fontId="6" fillId="0" borderId="2" xfId="1" applyNumberFormat="1" applyFont="1" applyFill="1" applyBorder="1" applyAlignment="1">
      <alignment horizontal="right" vertical="center" wrapText="1"/>
    </xf>
    <xf numFmtId="4" fontId="9" fillId="0" borderId="1" xfId="1" applyNumberFormat="1" applyFont="1" applyBorder="1" applyAlignment="1">
      <alignment horizontal="right" vertical="center"/>
    </xf>
    <xf numFmtId="0" fontId="9" fillId="0" borderId="1" xfId="8" applyNumberFormat="1" applyFont="1" applyFill="1" applyBorder="1" applyAlignment="1">
      <alignment horizontal="right" vertical="center"/>
    </xf>
    <xf numFmtId="4" fontId="6" fillId="0" borderId="1" xfId="1" applyNumberFormat="1" applyFont="1" applyFill="1" applyBorder="1" applyAlignment="1">
      <alignment horizontal="right" vertical="center" wrapText="1"/>
    </xf>
    <xf numFmtId="2" fontId="9" fillId="0" borderId="1" xfId="1" applyNumberFormat="1" applyFont="1" applyFill="1" applyBorder="1" applyAlignment="1">
      <alignment horizontal="right" vertical="center" wrapText="1"/>
    </xf>
    <xf numFmtId="2" fontId="6" fillId="0" borderId="2" xfId="1" applyNumberFormat="1" applyFont="1" applyFill="1" applyBorder="1" applyAlignment="1">
      <alignment horizontal="right" vertical="center"/>
    </xf>
    <xf numFmtId="0" fontId="6" fillId="0" borderId="1" xfId="6" applyFont="1" applyBorder="1" applyAlignment="1">
      <alignment horizontal="right" vertical="center" wrapText="1"/>
    </xf>
    <xf numFmtId="0" fontId="0" fillId="0" borderId="1" xfId="0" applyBorder="1" applyAlignment="1">
      <alignment horizontal="center" vertical="center" wrapText="1"/>
    </xf>
    <xf numFmtId="0" fontId="0" fillId="0" borderId="4" xfId="0" applyBorder="1" applyAlignment="1">
      <alignment horizontal="left" vertical="center"/>
    </xf>
    <xf numFmtId="0" fontId="0" fillId="0" borderId="4" xfId="0" applyBorder="1" applyAlignment="1">
      <alignment horizontal="center" vertical="center" wrapText="1"/>
    </xf>
    <xf numFmtId="0" fontId="0" fillId="0" borderId="1" xfId="0" applyBorder="1" applyAlignment="1">
      <alignment horizontal="left" vertical="center"/>
    </xf>
    <xf numFmtId="0" fontId="16" fillId="0" borderId="1" xfId="6" applyFont="1" applyBorder="1">
      <alignment vertical="center"/>
    </xf>
    <xf numFmtId="0" fontId="9" fillId="0" borderId="0" xfId="5" applyFont="1" applyBorder="1" applyAlignment="1">
      <alignment horizontal="left" vertical="center"/>
    </xf>
    <xf numFmtId="0" fontId="6" fillId="0" borderId="1" xfId="6" applyFont="1" applyBorder="1" applyAlignment="1">
      <alignment horizontal="left" vertical="top"/>
    </xf>
    <xf numFmtId="14" fontId="17" fillId="0" borderId="1" xfId="7" applyNumberFormat="1" applyFont="1" applyFill="1" applyBorder="1" applyAlignment="1">
      <alignment horizontal="left" vertical="center"/>
    </xf>
    <xf numFmtId="177" fontId="6" fillId="0" borderId="1" xfId="5" applyNumberFormat="1" applyFont="1" applyBorder="1" applyAlignment="1">
      <alignment horizontal="center" vertical="center"/>
    </xf>
    <xf numFmtId="0" fontId="6" fillId="0" borderId="1" xfId="5" applyFont="1" applyBorder="1" applyAlignment="1">
      <alignment horizontal="center" vertical="center"/>
    </xf>
    <xf numFmtId="4" fontId="6" fillId="0" borderId="1" xfId="1" applyNumberFormat="1" applyFont="1" applyBorder="1" applyAlignment="1">
      <alignment horizontal="right" vertical="center" wrapText="1"/>
    </xf>
    <xf numFmtId="2" fontId="9" fillId="0" borderId="0" xfId="1" applyNumberFormat="1" applyFont="1" applyFill="1" applyBorder="1" applyAlignment="1">
      <alignment horizontal="right" vertical="center"/>
    </xf>
    <xf numFmtId="0" fontId="9" fillId="0" borderId="1" xfId="6" applyFont="1" applyBorder="1" applyAlignment="1">
      <alignment horizontal="right" vertical="center"/>
    </xf>
    <xf numFmtId="2" fontId="6" fillId="0" borderId="1" xfId="1" applyNumberFormat="1" applyFont="1" applyFill="1" applyBorder="1" applyAlignment="1">
      <alignment horizontal="right" vertical="center"/>
    </xf>
    <xf numFmtId="0" fontId="6" fillId="0" borderId="1" xfId="5" applyFont="1" applyBorder="1" applyAlignment="1">
      <alignment vertical="center"/>
    </xf>
    <xf numFmtId="0" fontId="6" fillId="0" borderId="1" xfId="5" applyFont="1" applyBorder="1" applyAlignment="1">
      <alignment horizontal="left" vertical="center"/>
    </xf>
    <xf numFmtId="0" fontId="16" fillId="0" borderId="1" xfId="6" applyFont="1" applyBorder="1" applyAlignment="1">
      <alignment vertical="center" wrapText="1"/>
    </xf>
    <xf numFmtId="0" fontId="4" fillId="0" borderId="1" xfId="0" applyFont="1" applyBorder="1" applyAlignment="1"/>
    <xf numFmtId="0" fontId="4" fillId="0" borderId="4" xfId="0" applyFont="1" applyBorder="1" applyAlignment="1"/>
    <xf numFmtId="0" fontId="9" fillId="0" borderId="1" xfId="0" applyFont="1" applyBorder="1" applyAlignment="1">
      <alignment horizontal="left" vertical="center"/>
    </xf>
    <xf numFmtId="14" fontId="17" fillId="0" borderId="1" xfId="2" applyNumberFormat="1" applyFont="1" applyFill="1" applyBorder="1" applyAlignment="1">
      <alignment horizontal="left" vertical="center"/>
    </xf>
    <xf numFmtId="4" fontId="6" fillId="0" borderId="1" xfId="6" applyNumberFormat="1" applyFont="1" applyBorder="1" applyAlignment="1">
      <alignment horizontal="center" vertical="center" wrapText="1"/>
    </xf>
    <xf numFmtId="2" fontId="6" fillId="0" borderId="0" xfId="1" applyNumberFormat="1" applyFont="1" applyFill="1" applyBorder="1" applyAlignment="1">
      <alignment horizontal="right" vertical="center" wrapText="1"/>
    </xf>
    <xf numFmtId="0" fontId="9" fillId="0" borderId="1" xfId="0" applyFont="1" applyBorder="1" applyAlignment="1">
      <alignment horizontal="center" vertical="center"/>
    </xf>
    <xf numFmtId="0" fontId="18" fillId="0" borderId="1" xfId="6" applyFont="1" applyBorder="1" applyAlignment="1">
      <alignment horizontal="center" vertical="center"/>
    </xf>
    <xf numFmtId="0" fontId="9" fillId="0" borderId="1" xfId="0" applyFont="1" applyBorder="1">
      <alignment vertical="center"/>
    </xf>
    <xf numFmtId="177" fontId="9" fillId="0" borderId="1" xfId="1" applyNumberFormat="1" applyFont="1" applyFill="1" applyBorder="1" applyAlignment="1">
      <alignment horizontal="center" vertical="center"/>
    </xf>
    <xf numFmtId="2" fontId="9" fillId="0" borderId="1" xfId="8" applyNumberFormat="1" applyFont="1" applyFill="1" applyBorder="1" applyAlignment="1">
      <alignment horizontal="left" vertical="center"/>
    </xf>
    <xf numFmtId="2" fontId="9" fillId="0" borderId="1" xfId="8" applyNumberFormat="1" applyFont="1" applyFill="1" applyBorder="1" applyAlignment="1">
      <alignment horizontal="center" vertical="center"/>
    </xf>
    <xf numFmtId="4" fontId="4" fillId="0" borderId="0" xfId="0" applyNumberFormat="1" applyFont="1">
      <alignment vertical="center"/>
    </xf>
    <xf numFmtId="43" fontId="0" fillId="0" borderId="0" xfId="1" applyFont="1" applyAlignment="1">
      <alignment horizontal="right" vertical="center"/>
    </xf>
    <xf numFmtId="10" fontId="9" fillId="0" borderId="1" xfId="4" applyNumberFormat="1" applyFont="1" applyFill="1" applyBorder="1" applyAlignment="1">
      <alignment vertical="center" wrapText="1"/>
    </xf>
    <xf numFmtId="0" fontId="19" fillId="5" borderId="0" xfId="0" applyFont="1" applyFill="1" applyAlignment="1">
      <alignment horizontal="center" vertical="center"/>
    </xf>
    <xf numFmtId="0" fontId="19" fillId="5" borderId="0" xfId="0" applyFont="1" applyFill="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1" fillId="8" borderId="1" xfId="0" applyFont="1" applyFill="1" applyBorder="1" applyAlignment="1">
      <alignment horizontal="left" vertical="center" wrapText="1"/>
    </xf>
    <xf numFmtId="0" fontId="1" fillId="0" borderId="0" xfId="0" applyFont="1" applyAlignment="1">
      <alignment horizontal="center" vertical="center" wrapText="1"/>
    </xf>
    <xf numFmtId="0" fontId="20" fillId="0" borderId="0" xfId="0" applyFont="1" applyAlignment="1">
      <alignment horizontal="center" vertical="center"/>
    </xf>
    <xf numFmtId="2" fontId="25" fillId="0" borderId="2" xfId="1" applyNumberFormat="1" applyFont="1" applyBorder="1" applyAlignment="1">
      <alignment horizontal="right" vertical="center" wrapText="1"/>
    </xf>
    <xf numFmtId="2" fontId="26" fillId="4" borderId="1" xfId="1" applyNumberFormat="1" applyFont="1" applyFill="1" applyBorder="1" applyAlignment="1">
      <alignment horizontal="left" vertical="center" wrapText="1"/>
    </xf>
    <xf numFmtId="0" fontId="27" fillId="0" borderId="1" xfId="0" applyFont="1" applyBorder="1" applyAlignment="1">
      <alignment horizontal="left" vertical="center"/>
    </xf>
    <xf numFmtId="0" fontId="27" fillId="0" borderId="1" xfId="0" applyFont="1" applyBorder="1" applyAlignment="1">
      <alignment horizontal="center" vertical="center" wrapText="1"/>
    </xf>
    <xf numFmtId="0" fontId="25" fillId="0" borderId="2" xfId="6" applyFont="1" applyBorder="1" applyAlignment="1">
      <alignment horizontal="left" vertical="center" wrapText="1"/>
    </xf>
    <xf numFmtId="0" fontId="25" fillId="0" borderId="2" xfId="6" applyFont="1" applyBorder="1" applyAlignment="1">
      <alignment vertical="top" wrapText="1"/>
    </xf>
    <xf numFmtId="0" fontId="26" fillId="4" borderId="1" xfId="6" applyFont="1" applyFill="1" applyBorder="1" applyAlignment="1">
      <alignment horizontal="left" vertical="center" wrapText="1"/>
    </xf>
    <xf numFmtId="0" fontId="25" fillId="0" borderId="2" xfId="6" applyFont="1" applyBorder="1" applyAlignment="1">
      <alignment horizontal="left" vertical="top" wrapText="1"/>
    </xf>
    <xf numFmtId="0" fontId="25" fillId="0" borderId="2" xfId="6" applyFont="1" applyBorder="1" applyAlignment="1">
      <alignment horizontal="left" vertical="center"/>
    </xf>
    <xf numFmtId="0" fontId="25" fillId="0" borderId="1" xfId="6" applyFont="1" applyBorder="1" applyAlignment="1">
      <alignment horizontal="left" vertical="center" wrapText="1"/>
    </xf>
    <xf numFmtId="0" fontId="25" fillId="0" borderId="2" xfId="6" applyFont="1" applyBorder="1" applyAlignment="1">
      <alignment horizontal="center" vertical="center" wrapText="1"/>
    </xf>
    <xf numFmtId="0" fontId="25" fillId="0" borderId="5" xfId="0" applyFont="1" applyBorder="1" applyAlignment="1">
      <alignment vertical="center" wrapText="1"/>
    </xf>
    <xf numFmtId="0" fontId="28" fillId="0" borderId="1" xfId="6" applyFont="1" applyBorder="1" applyAlignment="1">
      <alignment horizontal="left" vertical="center"/>
    </xf>
    <xf numFmtId="177" fontId="9" fillId="0" borderId="1" xfId="6" applyNumberFormat="1" applyFont="1" applyFill="1" applyBorder="1" applyAlignment="1">
      <alignment horizontal="center" vertical="center"/>
    </xf>
    <xf numFmtId="177" fontId="6" fillId="0" borderId="2" xfId="6" applyNumberFormat="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cellXfs>
  <cellStyles count="9">
    <cellStyle name="Normal 2" xfId="5" xr:uid="{00000000-0005-0000-0000-00002B000000}"/>
    <cellStyle name="百分比" xfId="3" builtinId="5"/>
    <cellStyle name="百分比 2" xfId="4" xr:uid="{00000000-0005-0000-0000-00000D000000}"/>
    <cellStyle name="常规" xfId="0" builtinId="0"/>
    <cellStyle name="常规 3" xfId="6" xr:uid="{00000000-0005-0000-0000-000033000000}"/>
    <cellStyle name="超链接" xfId="2" builtinId="8"/>
    <cellStyle name="超链接 2" xfId="7" xr:uid="{00000000-0005-0000-0000-000034000000}"/>
    <cellStyle name="千位分隔" xfId="1" builtinId="3"/>
    <cellStyle name="千位分隔 2" xfId="8" xr:uid="{00000000-0005-0000-0000-000035000000}"/>
  </cellStyles>
  <dxfs count="133">
    <dxf>
      <font>
        <color theme="1" tint="0.499984740745262"/>
      </font>
    </dxf>
    <dxf>
      <font>
        <color theme="1" tint="0.499984740745262"/>
      </font>
    </dxf>
    <dxf>
      <font>
        <color theme="1" tint="0.499984740745262"/>
      </font>
    </dxf>
    <dxf>
      <font>
        <color theme="1" tint="0.499984740745262"/>
      </font>
    </dxf>
    <dxf>
      <font>
        <color rgb="FF9C0006"/>
      </font>
      <fill>
        <patternFill patternType="solid">
          <bgColor rgb="FFFFC7CE"/>
        </patternFill>
      </fill>
    </dxf>
    <dxf>
      <font>
        <color rgb="FF9C0006"/>
      </font>
      <fill>
        <patternFill patternType="solid">
          <bgColor rgb="FFFFC7CE"/>
        </patternFill>
      </fill>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rgb="FF9C0006"/>
      </font>
      <fill>
        <patternFill patternType="solid">
          <bgColor rgb="FFFFC7CE"/>
        </patternFill>
      </fill>
    </dxf>
    <dxf>
      <font>
        <color rgb="FF9C0006"/>
      </font>
      <fill>
        <patternFill patternType="solid">
          <bgColor rgb="FFFFC7CE"/>
        </patternFill>
      </fill>
    </dxf>
    <dxf>
      <font>
        <color theme="1" tint="0.499984740745262"/>
      </font>
    </dxf>
    <dxf>
      <font>
        <color rgb="FF9C0006"/>
      </font>
      <fill>
        <patternFill patternType="solid">
          <bgColor rgb="FFFFC7CE"/>
        </patternFill>
      </fill>
    </dxf>
    <dxf>
      <font>
        <color theme="1" tint="0.499984740745262"/>
      </font>
    </dxf>
    <dxf>
      <font>
        <color rgb="FF9C0006"/>
      </font>
      <fill>
        <patternFill patternType="solid">
          <bgColor rgb="FFFFC7CE"/>
        </patternFill>
      </fill>
    </dxf>
    <dxf>
      <font>
        <color theme="1" tint="0.499984740745262"/>
      </font>
    </dxf>
    <dxf>
      <font>
        <color rgb="FF9C0006"/>
      </font>
      <fill>
        <patternFill patternType="solid">
          <bgColor rgb="FFFFC7CE"/>
        </patternFill>
      </fill>
    </dxf>
    <dxf>
      <font>
        <color theme="1" tint="0.499984740745262"/>
      </font>
    </dxf>
    <dxf>
      <font>
        <color rgb="FF9C0006"/>
      </font>
      <fill>
        <patternFill patternType="solid">
          <bgColor rgb="FFFFC7CE"/>
        </patternFill>
      </fill>
    </dxf>
    <dxf>
      <font>
        <color theme="1" tint="0.499984740745262"/>
      </font>
    </dxf>
    <dxf>
      <font>
        <color rgb="FF9C0006"/>
      </font>
      <fill>
        <patternFill patternType="solid">
          <bgColor rgb="FFFFC7CE"/>
        </patternFill>
      </fill>
    </dxf>
    <dxf>
      <font>
        <color theme="1" tint="0.499984740745262"/>
      </font>
    </dxf>
    <dxf>
      <font>
        <color rgb="FF9C0006"/>
      </font>
      <fill>
        <patternFill patternType="solid">
          <bgColor rgb="FFFFC7CE"/>
        </patternFill>
      </fill>
    </dxf>
    <dxf>
      <font>
        <color theme="1" tint="0.499984740745262"/>
      </font>
    </dxf>
    <dxf>
      <font>
        <color rgb="FF9C0006"/>
      </font>
      <fill>
        <patternFill patternType="solid">
          <bgColor rgb="FFFFC7CE"/>
        </patternFill>
      </fill>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
      <font>
        <color theme="1" tint="0.499984740745262"/>
      </font>
    </dxf>
  </dxfs>
  <tableStyles count="0" defaultTableStyle="TableStyleMedium2"/>
  <colors>
    <mruColors>
      <color rgb="FFC4C3D5"/>
      <color rgb="FFD7E7DD"/>
      <color rgb="FFF3DC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296124</xdr:colOff>
      <xdr:row>14</xdr:row>
      <xdr:rowOff>38100</xdr:rowOff>
    </xdr:from>
    <xdr:to>
      <xdr:col>8</xdr:col>
      <xdr:colOff>183088</xdr:colOff>
      <xdr:row>20</xdr:row>
      <xdr:rowOff>49552</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487410" y="10317480"/>
          <a:ext cx="4954270" cy="3196590"/>
        </a:xfrm>
        <a:prstGeom prst="rect">
          <a:avLst/>
        </a:prstGeom>
      </xdr:spPr>
    </xdr:pic>
    <xdr:clientData/>
  </xdr:twoCellAnchor>
  <xdr:twoCellAnchor editAs="oneCell">
    <xdr:from>
      <xdr:col>4</xdr:col>
      <xdr:colOff>42545</xdr:colOff>
      <xdr:row>10</xdr:row>
      <xdr:rowOff>339725</xdr:rowOff>
    </xdr:from>
    <xdr:to>
      <xdr:col>15</xdr:col>
      <xdr:colOff>237403</xdr:colOff>
      <xdr:row>13</xdr:row>
      <xdr:rowOff>70938</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8234045" y="8035925"/>
          <a:ext cx="9848850" cy="2115820"/>
        </a:xfrm>
        <a:prstGeom prst="rect">
          <a:avLst/>
        </a:prstGeom>
      </xdr:spPr>
    </xdr:pic>
    <xdr:clientData/>
  </xdr:twoCellAnchor>
  <xdr:twoCellAnchor editAs="oneCell">
    <xdr:from>
      <xdr:col>4</xdr:col>
      <xdr:colOff>118745</xdr:colOff>
      <xdr:row>17</xdr:row>
      <xdr:rowOff>38735</xdr:rowOff>
    </xdr:from>
    <xdr:to>
      <xdr:col>15</xdr:col>
      <xdr:colOff>144780</xdr:colOff>
      <xdr:row>22</xdr:row>
      <xdr:rowOff>137371</xdr:rowOff>
    </xdr:to>
    <xdr:pic>
      <xdr:nvPicPr>
        <xdr:cNvPr id="4" name="图片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8310245" y="12116435"/>
          <a:ext cx="9680575" cy="20643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10291</xdr:colOff>
      <xdr:row>9</xdr:row>
      <xdr:rowOff>119453</xdr:rowOff>
    </xdr:from>
    <xdr:to>
      <xdr:col>3</xdr:col>
      <xdr:colOff>4038600</xdr:colOff>
      <xdr:row>23</xdr:row>
      <xdr:rowOff>20027</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5466080" y="1910080"/>
          <a:ext cx="4028440" cy="35045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src.gov.cn/csrc/c101928/c1043321/content.shtml" TargetMode="External"/><Relationship Id="rId21" Type="http://schemas.openxmlformats.org/officeDocument/2006/relationships/hyperlink" Target="http://static.cninfo.com.cn/finalpage/2018-12-21/1205681241.PDF" TargetMode="External"/><Relationship Id="rId63" Type="http://schemas.openxmlformats.org/officeDocument/2006/relationships/hyperlink" Target="http://www.cninfo.com.cn/new/disclosure/detail?plate=szse&amp;orgId=9900016930&amp;stockCode=002535&amp;announcementId=1208214222&amp;announcementTime=2020-08-21" TargetMode="External"/><Relationship Id="rId159" Type="http://schemas.openxmlformats.org/officeDocument/2006/relationships/hyperlink" Target="http://www.csrc.gov.cn/csrc/c101928/c1043151/content.shtml" TargetMode="External"/><Relationship Id="rId170" Type="http://schemas.openxmlformats.org/officeDocument/2006/relationships/hyperlink" Target="http://www.szse.cn/disclosure/listed/bulletinDetail/index.html?e3d592dc-b0c1-441e-91df-2077c33dfc40" TargetMode="External"/><Relationship Id="rId226" Type="http://schemas.openxmlformats.org/officeDocument/2006/relationships/hyperlink" Target="http://www.bse.cn/uploads/6/file/public/202207/20220712185211_xe8spp3as9.pdf" TargetMode="External"/><Relationship Id="rId268" Type="http://schemas.openxmlformats.org/officeDocument/2006/relationships/hyperlink" Target="http://www.szse.cn/disclosure/listed/bulletinDetail/index.html?3794b252-b997-465b-b865-c264962f2657" TargetMode="External"/><Relationship Id="rId32" Type="http://schemas.openxmlformats.org/officeDocument/2006/relationships/hyperlink" Target="http://www.cninfo.com.cn/new/disclosure/detail?plate=sse&amp;orgId=9900017431&amp;stockCode=601519&amp;announcementId=1202507475&amp;announcementTime=2016-07-27" TargetMode="External"/><Relationship Id="rId74" Type="http://schemas.openxmlformats.org/officeDocument/2006/relationships/hyperlink" Target="http://www.cninfo.com.cn/new/disclosure/detail?plate=szse&amp;orgId=9900012451&amp;stockCode=300093&amp;announcementId=1207525205&amp;announcementTime=2020-04-20" TargetMode="External"/><Relationship Id="rId128" Type="http://schemas.openxmlformats.org/officeDocument/2006/relationships/hyperlink" Target="http://www.csrc.gov.cn/csrc/c101928/c1043017/content.shtml" TargetMode="External"/><Relationship Id="rId5" Type="http://schemas.openxmlformats.org/officeDocument/2006/relationships/hyperlink" Target="http://www.cninfo.com.cn/new/disclosure/detail?plate=szse&amp;orgId=9900004022&amp;stockCode=002207&amp;announcementId=1203804839&amp;announcementTime=2017-08-16" TargetMode="External"/><Relationship Id="rId181" Type="http://schemas.openxmlformats.org/officeDocument/2006/relationships/hyperlink" Target="http://www.szse.cn/disclosure/listed/bulletinDetail/index.html?ffed0736-255d-4573-b2e0-7625eb7696e8" TargetMode="External"/><Relationship Id="rId237" Type="http://schemas.openxmlformats.org/officeDocument/2006/relationships/hyperlink" Target="http://static.sse.com.cn/disclosure/listedinfo/announcement/c/2020-06-10/600666_20200610_1.pdf" TargetMode="External"/><Relationship Id="rId279" Type="http://schemas.openxmlformats.org/officeDocument/2006/relationships/hyperlink" Target="http://www.szse.cn/disclosure/listed/bulletinDetail/index.html?a92e45c8-3b1b-4119-889b-0429167cca00" TargetMode="External"/><Relationship Id="rId43" Type="http://schemas.openxmlformats.org/officeDocument/2006/relationships/hyperlink" Target="http://www.cninfo.com.cn/new/disclosure/detail?plate=szse&amp;orgId=gssz0000995&amp;stockCode=000995&amp;announcementId=1202874861&amp;announcementTime=2016-12-15" TargetMode="External"/><Relationship Id="rId139" Type="http://schemas.openxmlformats.org/officeDocument/2006/relationships/hyperlink" Target="http://www.cninfo.com.cn/new/disclosure/detail?plate=sse&amp;orgId=gssh0600086&amp;stockCode=600086&amp;announcementId=1208444944&amp;announcementTime=2020-09-16" TargetMode="External"/><Relationship Id="rId290" Type="http://schemas.openxmlformats.org/officeDocument/2006/relationships/hyperlink" Target="http://static.sse.com.cn/disclosure/listedinfo/announcement/c/new/2023-07-07/600388_20230707_43F3.pdf" TargetMode="External"/><Relationship Id="rId85" Type="http://schemas.openxmlformats.org/officeDocument/2006/relationships/hyperlink" Target="http://static.cninfo.com.cn/finalpage/2021-10-30/1211432348.PDF" TargetMode="External"/><Relationship Id="rId150" Type="http://schemas.openxmlformats.org/officeDocument/2006/relationships/hyperlink" Target="http://www.csrc.gov.cn/csrc/c101928/c1043253/content.shtml" TargetMode="External"/><Relationship Id="rId192" Type="http://schemas.openxmlformats.org/officeDocument/2006/relationships/hyperlink" Target="http://www.szse.cn/disclosure/listed/bulletinDetail/index.html?38c7abc2-3174-459d-9408-d1c89244f8b9" TargetMode="External"/><Relationship Id="rId206" Type="http://schemas.openxmlformats.org/officeDocument/2006/relationships/hyperlink" Target="http://static.cninfo.com.cn/finalpage/2021-11-24/1211684964.PDF" TargetMode="External"/><Relationship Id="rId248" Type="http://schemas.openxmlformats.org/officeDocument/2006/relationships/hyperlink" Target="http://static.sse.com.cn/disclosure/listedinfo/announcement/c/2015-06-22/600598_20150623_1.pdf" TargetMode="External"/><Relationship Id="rId12" Type="http://schemas.openxmlformats.org/officeDocument/2006/relationships/hyperlink" Target="http://www.cninfo.com.cn/new/disclosure/detail?plate=szse&amp;orgId=gssz0000693&amp;stockCode=000693&amp;announcementId=1204379879&amp;announcementTime=2018-02-01" TargetMode="External"/><Relationship Id="rId33" Type="http://schemas.openxmlformats.org/officeDocument/2006/relationships/hyperlink" Target="http://www.cninfo.com.cn/new/disclosure/detail?plate=szse&amp;orgId=9900021430&amp;stockCode=002617&amp;announcementId=1200730723&amp;announcementTime=2015-03-24" TargetMode="External"/><Relationship Id="rId108" Type="http://schemas.openxmlformats.org/officeDocument/2006/relationships/hyperlink" Target="http://static.cninfo.com.cn/finalpage/2022-01-18/1212203541.PDF" TargetMode="External"/><Relationship Id="rId129" Type="http://schemas.openxmlformats.org/officeDocument/2006/relationships/hyperlink" Target="http://www.csrc.gov.cn/csrc/c101928/c1043099/content.shtml" TargetMode="External"/><Relationship Id="rId280" Type="http://schemas.openxmlformats.org/officeDocument/2006/relationships/hyperlink" Target="http://www.szse.cn/disclosure/listed/bulletinDetail/index.html?9d21b442-09bb-4359-b28e-78287f0dc07c" TargetMode="External"/><Relationship Id="rId54" Type="http://schemas.openxmlformats.org/officeDocument/2006/relationships/hyperlink" Target="http://www.cninfo.com.cn/new/disclosure/detail?plate=szse&amp;orgId=9900022325&amp;stockCode=300362&amp;announcementId=1206296019&amp;announcementTime=2019-05-23" TargetMode="External"/><Relationship Id="rId75" Type="http://schemas.openxmlformats.org/officeDocument/2006/relationships/hyperlink" Target="http://www.cninfo.com.cn/new/disclosure/detail?plate=sse&amp;orgId=gssh0600830&amp;stockCode=600830&amp;announcementId=1207474223&amp;announcementTime=2020-04-10" TargetMode="External"/><Relationship Id="rId96" Type="http://schemas.openxmlformats.org/officeDocument/2006/relationships/hyperlink" Target="http://static.cninfo.com.cn/finalpage/2021-08-03/1210639941.PDF" TargetMode="External"/><Relationship Id="rId140" Type="http://schemas.openxmlformats.org/officeDocument/2006/relationships/hyperlink" Target="http://www.cninfo.com.cn/new/disclosure/detail?plate=sse&amp;orgId=9900022961&amp;stockCode=603111&amp;announcementId=1210614183&amp;announcementTime=2021-07-31" TargetMode="External"/><Relationship Id="rId161" Type="http://schemas.openxmlformats.org/officeDocument/2006/relationships/hyperlink" Target="http://www.csrc.gov.cn/csrc/c101928/c1043056/content.shtml" TargetMode="External"/><Relationship Id="rId182" Type="http://schemas.openxmlformats.org/officeDocument/2006/relationships/hyperlink" Target="http://www.szse.cn/disclosure/listed/bulletinDetail/index.html?b937f097-abe5-47da-9dd6-b1e369684398" TargetMode="External"/><Relationship Id="rId217" Type="http://schemas.openxmlformats.org/officeDocument/2006/relationships/hyperlink" Target="http://static.cninfo.com.cn/finalpage/2021-08-16/1210752894.PDF" TargetMode="External"/><Relationship Id="rId6" Type="http://schemas.openxmlformats.org/officeDocument/2006/relationships/hyperlink" Target="http://www.cninfo.com.cn/new/disclosure/detail?plate=sse&amp;orgId=gssh0600281&amp;stockCode=600281&amp;announcementId=1203669367&amp;announcementTime=2017-07-01" TargetMode="External"/><Relationship Id="rId238" Type="http://schemas.openxmlformats.org/officeDocument/2006/relationships/hyperlink" Target="http://static.sse.com.cn/disclosure/listedinfo/announcement/c/2020-07-04/600179_20200704_1.pdf" TargetMode="External"/><Relationship Id="rId259" Type="http://schemas.openxmlformats.org/officeDocument/2006/relationships/hyperlink" Target="http://www.szse.cn/disclosure/listed/bulletinDetail/index.html?8b9ec367-de84-4934-a43a-ba4e85f205f7" TargetMode="External"/><Relationship Id="rId23" Type="http://schemas.openxmlformats.org/officeDocument/2006/relationships/hyperlink" Target="http://www.cninfo.com.cn/new/disclosure/detail?plate=sse&amp;orgId=gssh0600610&amp;stockCode=600610&amp;announcementId=1204622977&amp;announcementTime=2018-04-13" TargetMode="External"/><Relationship Id="rId119" Type="http://schemas.openxmlformats.org/officeDocument/2006/relationships/hyperlink" Target="http://www.csrc.gov.cn/csrc/c101928/c1042990/content.shtml" TargetMode="External"/><Relationship Id="rId270" Type="http://schemas.openxmlformats.org/officeDocument/2006/relationships/hyperlink" Target="http://www.szse.cn/disclosure/listed/bulletinDetail/index.html?ae9f54b1-7cff-4c98-b55a-91e6ec9cc57d" TargetMode="External"/><Relationship Id="rId291" Type="http://schemas.openxmlformats.org/officeDocument/2006/relationships/hyperlink" Target="http://static.sse.com.cn/disclosure/listedinfo/announcement/c/new/2023-07-03/600287_20230703_S4XQ.pdf" TargetMode="External"/><Relationship Id="rId44" Type="http://schemas.openxmlformats.org/officeDocument/2006/relationships/hyperlink" Target="http://static.cninfo.com.cn/finalpage/2017-05-02/1203455666.PDF" TargetMode="External"/><Relationship Id="rId65" Type="http://schemas.openxmlformats.org/officeDocument/2006/relationships/hyperlink" Target="http://www.cninfo.com.cn/new/disclosure/detail?plate=szse&amp;orgId=9900016208&amp;stockCode=002517&amp;announcementId=1208012374&amp;announcementTime=2020-07-08" TargetMode="External"/><Relationship Id="rId86" Type="http://schemas.openxmlformats.org/officeDocument/2006/relationships/hyperlink" Target="http://static.cninfo.com.cn/finalpage/2021-10-19/1211316922.PDF" TargetMode="External"/><Relationship Id="rId130" Type="http://schemas.openxmlformats.org/officeDocument/2006/relationships/hyperlink" Target="http://www.csrc.gov.cn/csrc/c101928/c1043064/content.shtml" TargetMode="External"/><Relationship Id="rId151" Type="http://schemas.openxmlformats.org/officeDocument/2006/relationships/hyperlink" Target="http://www.csrc.gov.cn/csrc/c101928/c1043306/content.shtml" TargetMode="External"/><Relationship Id="rId172" Type="http://schemas.openxmlformats.org/officeDocument/2006/relationships/hyperlink" Target="http://static.cninfo.com.cn/finalpage/2022-02-22/1212411648.PDF" TargetMode="External"/><Relationship Id="rId193" Type="http://schemas.openxmlformats.org/officeDocument/2006/relationships/hyperlink" Target="http://www.szse.cn/disclosure/listed/bulletinDetail/index.html?43517a53-051f-472d-a5f8-f0264d82c726" TargetMode="External"/><Relationship Id="rId207" Type="http://schemas.openxmlformats.org/officeDocument/2006/relationships/hyperlink" Target="http://www.szse.cn/disclosure/listed/bulletinDetail/index.html?7f0b1e41-2e80-45ff-8789-5dd321fbba8b" TargetMode="External"/><Relationship Id="rId228" Type="http://schemas.openxmlformats.org/officeDocument/2006/relationships/hyperlink" Target="http://www.szse.cn/disclosure/listed/bulletinDetail/index.html?9e9f3dfd-44ef-4470-abbf-c848549ec269" TargetMode="External"/><Relationship Id="rId249" Type="http://schemas.openxmlformats.org/officeDocument/2006/relationships/hyperlink" Target="http://static.sse.com.cn/disclosure/listedinfo/announcement/c/2015-01-06/600076_20150107_1.pdf" TargetMode="External"/><Relationship Id="rId13" Type="http://schemas.openxmlformats.org/officeDocument/2006/relationships/hyperlink" Target="http://static.cninfo.com.cn/finalpage/2021-05-19/1210003257.PDF" TargetMode="External"/><Relationship Id="rId109" Type="http://schemas.openxmlformats.org/officeDocument/2006/relationships/hyperlink" Target="http://static.cninfo.com.cn/finalpage/2022-01-20/1212219967.PDF" TargetMode="External"/><Relationship Id="rId260" Type="http://schemas.openxmlformats.org/officeDocument/2006/relationships/hyperlink" Target="http://www.szse.cn/disclosure/listed/bulletinDetail/index.html?9a9e3480-16c0-4e3a-b7a1-5050b3b64bcf" TargetMode="External"/><Relationship Id="rId281" Type="http://schemas.openxmlformats.org/officeDocument/2006/relationships/hyperlink" Target="http://www.szse.cn/disclosure/listed/bulletinDetail/index.html?5f1cf421-7592-4a9a-90ba-dd0fbdbf2a27" TargetMode="External"/><Relationship Id="rId34" Type="http://schemas.openxmlformats.org/officeDocument/2006/relationships/hyperlink" Target="http://www.cninfo.com.cn/new/disclosure/detail?plate=sse&amp;orgId=gssh0600247&amp;stockCode=600247&amp;announcementId=1203177803&amp;announcementTime=2017-03-20" TargetMode="External"/><Relationship Id="rId55" Type="http://schemas.openxmlformats.org/officeDocument/2006/relationships/hyperlink" Target="http://www.cninfo.com.cn/new/disclosure/detail?plate=sse&amp;orgId=gssh0600518&amp;stockCode=600518&amp;announcementId=1207813837&amp;announcementTime=2020-05-15" TargetMode="External"/><Relationship Id="rId76" Type="http://schemas.openxmlformats.org/officeDocument/2006/relationships/hyperlink" Target="http://www.cninfo.com.cn/new/disclosure/detail?plate=szse&amp;orgId=9900003443&amp;stockCode=002164&amp;announcementId=1209142539&amp;announcementTime=2021-01-20" TargetMode="External"/><Relationship Id="rId97" Type="http://schemas.openxmlformats.org/officeDocument/2006/relationships/hyperlink" Target="http://static.cninfo.com.cn/finalpage/2021-09-14/1211045518.PDF" TargetMode="External"/><Relationship Id="rId120" Type="http://schemas.openxmlformats.org/officeDocument/2006/relationships/hyperlink" Target="http://www.csrc.gov.cn/csrc/c101928/c1042997/content.shtml" TargetMode="External"/><Relationship Id="rId141" Type="http://schemas.openxmlformats.org/officeDocument/2006/relationships/hyperlink" Target="http://www.csrc.gov.cn/csrc/c101928/c1043274/content.shtml" TargetMode="External"/><Relationship Id="rId7" Type="http://schemas.openxmlformats.org/officeDocument/2006/relationships/hyperlink" Target="http://www.cninfo.com.cn/new/disclosure/detail?plate=szse&amp;orgId=gssz0000798&amp;stockCode=000798&amp;announcementId=1204144471&amp;announcementTime=2017-11-17" TargetMode="External"/><Relationship Id="rId162" Type="http://schemas.openxmlformats.org/officeDocument/2006/relationships/hyperlink" Target="http://www.csrc.gov.cn/shandong/c104191/c1078039/content.shtml" TargetMode="External"/><Relationship Id="rId183" Type="http://schemas.openxmlformats.org/officeDocument/2006/relationships/hyperlink" Target="http://www.szse.cn/disclosure/listed/bulletinDetail/index.html?9ead8a55-9007-467a-85a8-ebe3d067998c" TargetMode="External"/><Relationship Id="rId218" Type="http://schemas.openxmlformats.org/officeDocument/2006/relationships/hyperlink" Target="http://www.szse.cn/disclosure/listed/bulletinDetail/index.html?b4f4ab08-49d0-4c5d-afa9-490d18e22188" TargetMode="External"/><Relationship Id="rId239" Type="http://schemas.openxmlformats.org/officeDocument/2006/relationships/hyperlink" Target="http://static.sse.com.cn/disclosure/listedinfo/announcement/c/2020-11-11/600568_20201111_1.pdf" TargetMode="External"/><Relationship Id="rId250" Type="http://schemas.openxmlformats.org/officeDocument/2006/relationships/hyperlink" Target="http://static.sse.com.cn/disclosure/listedinfo/announcement/c/2015-01-08/601558_20150109_1.pdf" TargetMode="External"/><Relationship Id="rId271" Type="http://schemas.openxmlformats.org/officeDocument/2006/relationships/hyperlink" Target="http://www.szse.cn/disclosure/listed/bulletinDetail/index.html?71e4d08e-9cbe-4afe-ae96-d826050f7667" TargetMode="External"/><Relationship Id="rId292" Type="http://schemas.openxmlformats.org/officeDocument/2006/relationships/vmlDrawing" Target="../drawings/vmlDrawing1.vml"/><Relationship Id="rId24" Type="http://schemas.openxmlformats.org/officeDocument/2006/relationships/hyperlink" Target="http://www.cninfo.com.cn/new/disclosure/detail?plate=szse&amp;orgId=9900009828&amp;stockCode=002330&amp;announcementId=1202726588&amp;announcementTime=2016-09-27" TargetMode="External"/><Relationship Id="rId45" Type="http://schemas.openxmlformats.org/officeDocument/2006/relationships/hyperlink" Target="http://static.cninfo.com.cn/finalpage/2018-12-11/1205661553.PDF" TargetMode="External"/><Relationship Id="rId66" Type="http://schemas.openxmlformats.org/officeDocument/2006/relationships/hyperlink" Target="http://www.cninfo.com.cn/new/disclosure/detail?plate=szse&amp;orgId=9900022740&amp;stockCode=300363&amp;announcementId=1207811433&amp;announcementTime=2020-05-15" TargetMode="External"/><Relationship Id="rId87" Type="http://schemas.openxmlformats.org/officeDocument/2006/relationships/hyperlink" Target="http://static.cninfo.com.cn/finalpage/2021-10-13/1211244602.PDF" TargetMode="External"/><Relationship Id="rId110" Type="http://schemas.openxmlformats.org/officeDocument/2006/relationships/hyperlink" Target="http://static.cninfo.com.cn/finalpage/2021-12-29/1212046642.PDF" TargetMode="External"/><Relationship Id="rId131" Type="http://schemas.openxmlformats.org/officeDocument/2006/relationships/hyperlink" Target="http://www.csrc.gov.cn/csrc/c101928/c1043157/content.shtml" TargetMode="External"/><Relationship Id="rId152" Type="http://schemas.openxmlformats.org/officeDocument/2006/relationships/hyperlink" Target="http://www.csrc.gov.cn/csrc/c101928/c1043250/content.shtml" TargetMode="External"/><Relationship Id="rId173" Type="http://schemas.openxmlformats.org/officeDocument/2006/relationships/hyperlink" Target="http://www.szse.cn/disclosure/listed/bulletinDetail/index.html?bbb3f03f-d55b-4ed4-8219-a58c3e95e813" TargetMode="External"/><Relationship Id="rId194" Type="http://schemas.openxmlformats.org/officeDocument/2006/relationships/hyperlink" Target="http://www.szse.cn/disclosure/listed/bulletinDetail/index.html?bf2b6c82-cafa-4125-9249-e2886818380c" TargetMode="External"/><Relationship Id="rId208" Type="http://schemas.openxmlformats.org/officeDocument/2006/relationships/hyperlink" Target="http://www.cninfo.com.cn/new/disclosure/detail?plate=sse&amp;orgId=gssh0600983&amp;stockCode=600983&amp;announcementId=1208113291&amp;announcementTime=2020-08-01" TargetMode="External"/><Relationship Id="rId229" Type="http://schemas.openxmlformats.org/officeDocument/2006/relationships/hyperlink" Target="http://www.szse.cn/disclosure/listed/bulletinDetail/index.html?6c05011b-01db-4280-bacd-9684b6a68eab" TargetMode="External"/><Relationship Id="rId240" Type="http://schemas.openxmlformats.org/officeDocument/2006/relationships/hyperlink" Target="http://www.szse.cn/disclosure/listed/bulletinDetail/index.html?32f84faf-154a-4f49-8a55-59448055a939" TargetMode="External"/><Relationship Id="rId261" Type="http://schemas.openxmlformats.org/officeDocument/2006/relationships/hyperlink" Target="http://static.sse.com.cn/disclosure/listedinfo/announcement/c/new/2023-03-16/603007_20230316_888I.pdf" TargetMode="External"/><Relationship Id="rId14" Type="http://schemas.openxmlformats.org/officeDocument/2006/relationships/hyperlink" Target="http://static.cninfo.com.cn/finalpage/2021-04-22/1209758314.PDF" TargetMode="External"/><Relationship Id="rId35" Type="http://schemas.openxmlformats.org/officeDocument/2006/relationships/hyperlink" Target="http://static.cninfo.com.cn/finalpage/2015-03-19/1200714152.PDF" TargetMode="External"/><Relationship Id="rId56" Type="http://schemas.openxmlformats.org/officeDocument/2006/relationships/hyperlink" Target="http://www.cninfo.com.cn/new/disclosure/detail?plate=szse&amp;orgId=gssz0000636&amp;stockCode=000636&amp;announcementId=1207109630&amp;announcementTime=2019-11-25" TargetMode="External"/><Relationship Id="rId77" Type="http://schemas.openxmlformats.org/officeDocument/2006/relationships/hyperlink" Target="http://www.cninfo.com.cn/new/disclosure/detail?plate=szse&amp;orgId=9900012607&amp;stockCode=002411&amp;announcementId=1208570261&amp;announcementTime=2020-10-16" TargetMode="External"/><Relationship Id="rId100" Type="http://schemas.openxmlformats.org/officeDocument/2006/relationships/hyperlink" Target="http://static.sse.com.cn/disclosure/listedinfo/announcement/c/new/2021-12-24/603009_20211224_1_myrV8P3M.pdf" TargetMode="External"/><Relationship Id="rId282" Type="http://schemas.openxmlformats.org/officeDocument/2006/relationships/hyperlink" Target="http://www.szse.cn/disclosure/listed/bulletinDetail/index.html?1204e620-42ed-4368-bb61-c60ac0eb7da9" TargetMode="External"/><Relationship Id="rId8" Type="http://schemas.openxmlformats.org/officeDocument/2006/relationships/hyperlink" Target="http://www.cninfo.com.cn/new/disclosure/detail?plate=sse&amp;orgId=gssh0600078&amp;stockCode=600078&amp;announcementId=1205832942&amp;announcementTime=2019-02-14" TargetMode="External"/><Relationship Id="rId98" Type="http://schemas.openxmlformats.org/officeDocument/2006/relationships/hyperlink" Target="http://static.cninfo.com.cn/finalpage/2021-06-29/1210354944.PDF" TargetMode="External"/><Relationship Id="rId121" Type="http://schemas.openxmlformats.org/officeDocument/2006/relationships/hyperlink" Target="http://www.csrc.gov.cn/csrc/c101928/c1042991/content.shtml" TargetMode="External"/><Relationship Id="rId142" Type="http://schemas.openxmlformats.org/officeDocument/2006/relationships/hyperlink" Target="http://www.csrc.gov.cn/csrc/c101928/c1043318/content.shtml" TargetMode="External"/><Relationship Id="rId163" Type="http://schemas.openxmlformats.org/officeDocument/2006/relationships/hyperlink" Target="http://www.szse.cn/disclosure/listed/bulletinDetail/index.html?883bc199-d503-4a66-a26e-c29dd964ba6e" TargetMode="External"/><Relationship Id="rId184" Type="http://schemas.openxmlformats.org/officeDocument/2006/relationships/hyperlink" Target="http://www.szse.cn/disclosure/listed/bulletinDetail/index.html?9cafbf2e-d050-4bde-ae3f-0c5f11ae417a" TargetMode="External"/><Relationship Id="rId219" Type="http://schemas.openxmlformats.org/officeDocument/2006/relationships/hyperlink" Target="http://static.sse.com.cn/disclosure/listedinfo/announcement/c/new/2022-10-28/600734_20221028_1_FCTNfAG3.pdf" TargetMode="External"/><Relationship Id="rId230" Type="http://schemas.openxmlformats.org/officeDocument/2006/relationships/hyperlink" Target="http://www.csrc.gov.cn/csrc/c101928/c2563183/content.shtml&#65288;&#34892;&#25919;&#22788;&#32602;&#20070;&#65292;&#20844;&#21496;&#24050;&#36864;&#24066;&#65289;" TargetMode="External"/><Relationship Id="rId251" Type="http://schemas.openxmlformats.org/officeDocument/2006/relationships/hyperlink" Target="http://static.sse.com.cn/disclosure/listedinfo/announcement/c/2015-01-09/600469_20150110_3.pdf" TargetMode="External"/><Relationship Id="rId25" Type="http://schemas.openxmlformats.org/officeDocument/2006/relationships/hyperlink" Target="http://www.szse.cn/disclosure/listed/bulletinDetail/index.html?4f25211f-acb5-439b-bd97-2221640bb40c" TargetMode="External"/><Relationship Id="rId46" Type="http://schemas.openxmlformats.org/officeDocument/2006/relationships/hyperlink" Target="http://www.cninfo.com.cn/new/disclosure/detail?plate=sse&amp;orgId=gssh0600651&amp;stockCode=600651&amp;announcementId=1207059946&amp;announcementTime=2019-11-02" TargetMode="External"/><Relationship Id="rId67" Type="http://schemas.openxmlformats.org/officeDocument/2006/relationships/hyperlink" Target="http://www.cninfo.com.cn/new/disclosure/detail?plate=sse&amp;orgId=gssh0600781&amp;stockCode=600781&amp;announcementId=1208614614&amp;announcementTime=2020-10-27" TargetMode="External"/><Relationship Id="rId272" Type="http://schemas.openxmlformats.org/officeDocument/2006/relationships/hyperlink" Target="http://static.sse.com.cn/disclosure/listedinfo/announcement/c/new/2023-04-29/688701_20230429_8RW6.pdf" TargetMode="External"/><Relationship Id="rId293" Type="http://schemas.openxmlformats.org/officeDocument/2006/relationships/comments" Target="../comments1.xml"/><Relationship Id="rId88" Type="http://schemas.openxmlformats.org/officeDocument/2006/relationships/hyperlink" Target="http://static.cninfo.com.cn/finalpage/2021-09-22/1211097208.PDF" TargetMode="External"/><Relationship Id="rId111" Type="http://schemas.openxmlformats.org/officeDocument/2006/relationships/hyperlink" Target="http://static.cninfo.com.cn/finalpage/2022-01-20/1212218832.PDF" TargetMode="External"/><Relationship Id="rId132" Type="http://schemas.openxmlformats.org/officeDocument/2006/relationships/hyperlink" Target="http://www.csrc.gov.cn/csrc/c101928/c1043209/content.shtml" TargetMode="External"/><Relationship Id="rId153" Type="http://schemas.openxmlformats.org/officeDocument/2006/relationships/hyperlink" Target="http://www.csrc.gov.cn/csrc/c101928/c1043235/content.shtml" TargetMode="External"/><Relationship Id="rId174" Type="http://schemas.openxmlformats.org/officeDocument/2006/relationships/hyperlink" Target="http://www.szse.cn/disclosure/listed/bulletinDetail/index.html?58c0fa98-c47f-4159-bc6f-c2eab80c1151" TargetMode="External"/><Relationship Id="rId195" Type="http://schemas.openxmlformats.org/officeDocument/2006/relationships/hyperlink" Target="http://www.szse.cn/disclosure/listed/bulletinDetail/index.html?6899cd06-eb92-425b-b071-1460cbc4ad85" TargetMode="External"/><Relationship Id="rId209" Type="http://schemas.openxmlformats.org/officeDocument/2006/relationships/hyperlink" Target="http://www.cninfo.com.cn/new/disclosure/detail?plate=szse&amp;orgId=9900003882&amp;stockCode=002188&amp;announcementId=1207483134&amp;announcementTime=2020-04-13" TargetMode="External"/><Relationship Id="rId220" Type="http://schemas.openxmlformats.org/officeDocument/2006/relationships/hyperlink" Target="http://www.sse.com.cn/disclosure/listedinfo/announcement/c/new/2022-11-19/688086_20221119_F64X.pdf" TargetMode="External"/><Relationship Id="rId241" Type="http://schemas.openxmlformats.org/officeDocument/2006/relationships/hyperlink" Target="http://static.sse.com.cn/disclosure/listedinfo/announcement/c/2019-04-02/600654_20190402_1.pdf" TargetMode="External"/><Relationship Id="rId15" Type="http://schemas.openxmlformats.org/officeDocument/2006/relationships/hyperlink" Target="http://www.cninfo.com.cn/new/disclosure/detail?plate=szse&amp;orgId=gssz0000010&amp;stockCode=000010&amp;announcementId=1206496550&amp;announcementTime=2019-08-05" TargetMode="External"/><Relationship Id="rId36" Type="http://schemas.openxmlformats.org/officeDocument/2006/relationships/hyperlink" Target="http://static.cninfo.com.cn/finalpage/2015-09-24/1201629321.PDF" TargetMode="External"/><Relationship Id="rId57" Type="http://schemas.openxmlformats.org/officeDocument/2006/relationships/hyperlink" Target="http://www.szse.cn/disclosure/listed/bulletinDetail/index.html?6eaa2f86-5fe1-4b0b-9521-d3789ea55c74" TargetMode="External"/><Relationship Id="rId262" Type="http://schemas.openxmlformats.org/officeDocument/2006/relationships/hyperlink" Target="http://static.sse.com.cn/disclosure/listedinfo/announcement/c/new/2023-03-23/600589_20230323_5NRK.pdf" TargetMode="External"/><Relationship Id="rId283" Type="http://schemas.openxmlformats.org/officeDocument/2006/relationships/hyperlink" Target="http://static.sse.com.cn/disclosure/listedinfo/announcement/c/new/2023-06-10/688565_20230610_6URQ.pdf" TargetMode="External"/><Relationship Id="rId78" Type="http://schemas.openxmlformats.org/officeDocument/2006/relationships/hyperlink" Target="http://www.cninfo.com.cn/new/disclosure/detail?plate=szse&amp;orgId=9900001762&amp;stockCode=002102&amp;announcementId=1209034384&amp;announcementTime=2021-01-04" TargetMode="External"/><Relationship Id="rId99" Type="http://schemas.openxmlformats.org/officeDocument/2006/relationships/hyperlink" Target="http://static.cninfo.com.cn/finalpage/2021-10-23/1211363452.PDF" TargetMode="External"/><Relationship Id="rId101" Type="http://schemas.openxmlformats.org/officeDocument/2006/relationships/hyperlink" Target="http://static.sse.com.cn/disclosure/listedinfo/announcement/c/new/2021-12-24/600382_20211224_1_Tmw0tdu7.pdf" TargetMode="External"/><Relationship Id="rId122" Type="http://schemas.openxmlformats.org/officeDocument/2006/relationships/hyperlink" Target="http://www.csrc.gov.cn/csrc/c101928/c1043003/content.shtml" TargetMode="External"/><Relationship Id="rId143" Type="http://schemas.openxmlformats.org/officeDocument/2006/relationships/hyperlink" Target="http://www.csrc.gov.cn/csrc/c101928/c1043312/content.shtml" TargetMode="External"/><Relationship Id="rId164" Type="http://schemas.openxmlformats.org/officeDocument/2006/relationships/hyperlink" Target="http://www.szse.cn/disclosure/listed/bulletinDetail/index.html?f0bddb5d-94fc-4058-8a5e-9192b707aa90" TargetMode="External"/><Relationship Id="rId185" Type="http://schemas.openxmlformats.org/officeDocument/2006/relationships/hyperlink" Target="http://static.sse.com.cn/disclosure/listedinfo/announcement/c/new/2022-08-11/600221_20220811_2_aVRYecAM.pdf" TargetMode="External"/><Relationship Id="rId9" Type="http://schemas.openxmlformats.org/officeDocument/2006/relationships/hyperlink" Target="http://www.cninfo.com.cn/new/disclosure/detail?plate=szse&amp;orgId=9900023194&amp;stockCode=002715&amp;announcementId=1203591061&amp;announcementTime=2017-06-06" TargetMode="External"/><Relationship Id="rId210" Type="http://schemas.openxmlformats.org/officeDocument/2006/relationships/hyperlink" Target="http://www.cninfo.com.cn/new/disclosure/detail?plate=sse&amp;orgId=gssh0600807&amp;stockCode=600807&amp;announcementId=1207021647&amp;announcementTime=2019-10-26" TargetMode="External"/><Relationship Id="rId26" Type="http://schemas.openxmlformats.org/officeDocument/2006/relationships/hyperlink" Target="http://www.cninfo.com.cn/new/disclosure/detail?plate=szse&amp;orgId=9900004624&amp;stockCode=002237&amp;announcementId=1202303377&amp;announcementTime=2016-05-07" TargetMode="External"/><Relationship Id="rId231" Type="http://schemas.openxmlformats.org/officeDocument/2006/relationships/hyperlink" Target="http://www.szse.cn/disclosure/listed/bulletinDetail/index.html?0547b7ab-d1a8-4d62-b266-d8afc278fba6" TargetMode="External"/><Relationship Id="rId252" Type="http://schemas.openxmlformats.org/officeDocument/2006/relationships/hyperlink" Target="http://static.sse.com.cn/disclosure/listedinfo/announcement/c/2015-02-09/600822_20150210_1.pdf" TargetMode="External"/><Relationship Id="rId273" Type="http://schemas.openxmlformats.org/officeDocument/2006/relationships/hyperlink" Target="http://static.sse.com.cn/disclosure/listedinfo/announcement/c/2018-01-10/600680_20180110_1.pdf" TargetMode="External"/><Relationship Id="rId47" Type="http://schemas.openxmlformats.org/officeDocument/2006/relationships/hyperlink" Target="http://static.cninfo.com.cn/finalpage/2019-12-03/1207130135.PDF" TargetMode="External"/><Relationship Id="rId68" Type="http://schemas.openxmlformats.org/officeDocument/2006/relationships/hyperlink" Target="http://www.cninfo.com.cn/new/disclosure/detail?plate=szse&amp;orgId=gssz0000760&amp;stockCode=000760&amp;announcementId=1207895169&amp;announcementTime=2020-06-04" TargetMode="External"/><Relationship Id="rId89" Type="http://schemas.openxmlformats.org/officeDocument/2006/relationships/hyperlink" Target="http://static.sse.com.cn/disclosure/listedinfo/announcement/c/new/2021-12-21/600112_20211221_1_8GNSKZub.pdf" TargetMode="External"/><Relationship Id="rId112" Type="http://schemas.openxmlformats.org/officeDocument/2006/relationships/hyperlink" Target="http://static.cninfo.com.cn/finalpage/2021-12-08/1211836372.PDF" TargetMode="External"/><Relationship Id="rId133" Type="http://schemas.openxmlformats.org/officeDocument/2006/relationships/hyperlink" Target="http://www.csrc.gov.cn/csrc/c101928/c1043149/content.shtml" TargetMode="External"/><Relationship Id="rId154" Type="http://schemas.openxmlformats.org/officeDocument/2006/relationships/hyperlink" Target="http://www.csrc.gov.cn/csrc/c101928/c1043168/content.shtml" TargetMode="External"/><Relationship Id="rId175" Type="http://schemas.openxmlformats.org/officeDocument/2006/relationships/hyperlink" Target="http://www.szse.cn/disclosure/listed/bulletinDetail/index.html?9031ee95-5744-411a-8b1c-fcb58500aee8" TargetMode="External"/><Relationship Id="rId196" Type="http://schemas.openxmlformats.org/officeDocument/2006/relationships/hyperlink" Target="http://static.cninfo.com.cn/finalpage/2021-12-20/1211948937.PDF" TargetMode="External"/><Relationship Id="rId200" Type="http://schemas.openxmlformats.org/officeDocument/2006/relationships/hyperlink" Target="http://www.szse.cn/disclosure/listed/bulletinDetail/index.html?23bd21cb-b6f7-4090-863c-722028161c72" TargetMode="External"/><Relationship Id="rId16" Type="http://schemas.openxmlformats.org/officeDocument/2006/relationships/hyperlink" Target="http://static.cninfo.com.cn/finalpage/2018-05-11/1204929627.PDF" TargetMode="External"/><Relationship Id="rId221" Type="http://schemas.openxmlformats.org/officeDocument/2006/relationships/hyperlink" Target="http://static.sse.com.cn/disclosure/listedinfo/announcement/c/new/2022-12-03/600260_20221203_K7E1.pdf" TargetMode="External"/><Relationship Id="rId242" Type="http://schemas.openxmlformats.org/officeDocument/2006/relationships/hyperlink" Target="http://www.szse.cn/disclosure/listed/bulletinDetail/index.html?669d08ed-be25-42db-a4c6-3c05243d5db2" TargetMode="External"/><Relationship Id="rId263" Type="http://schemas.openxmlformats.org/officeDocument/2006/relationships/hyperlink" Target="http://www.szse.cn/disclosure/listed/bulletinDetail/index.html?0698fdb9-9f19-4fb5-866a-314fd85212d3" TargetMode="External"/><Relationship Id="rId284" Type="http://schemas.openxmlformats.org/officeDocument/2006/relationships/hyperlink" Target="http://static.sse.com.cn/disclosure/listedinfo/announcement/c/new/2023-06-17/603803_20230617_BIGG.pdf" TargetMode="External"/><Relationship Id="rId37" Type="http://schemas.openxmlformats.org/officeDocument/2006/relationships/hyperlink" Target="http://static.cninfo.com.cn/finalpage/2015-12-10/1201825535.PDF" TargetMode="External"/><Relationship Id="rId58" Type="http://schemas.openxmlformats.org/officeDocument/2006/relationships/hyperlink" Target="http://static.cninfo.com.cn/finalpage/2019-11-05/1207064337.PDF" TargetMode="External"/><Relationship Id="rId79" Type="http://schemas.openxmlformats.org/officeDocument/2006/relationships/hyperlink" Target="http://static.sse.com.cn/disclosure/listedinfo/announcement/c/2020-04-30/600701_20200430_2.pdf" TargetMode="External"/><Relationship Id="rId102" Type="http://schemas.openxmlformats.org/officeDocument/2006/relationships/hyperlink" Target="http://static.cninfo.com.cn/finalpage/2021-05-27/1210104917.PDF" TargetMode="External"/><Relationship Id="rId123" Type="http://schemas.openxmlformats.org/officeDocument/2006/relationships/hyperlink" Target="http://www.csrc.gov.cn/csrc/c101928/c1043009/content.shtml" TargetMode="External"/><Relationship Id="rId144" Type="http://schemas.openxmlformats.org/officeDocument/2006/relationships/hyperlink" Target="http://www.csrc.gov.cn/csrc/c101928/c1043267/content.shtml" TargetMode="External"/><Relationship Id="rId90" Type="http://schemas.openxmlformats.org/officeDocument/2006/relationships/hyperlink" Target="http://static.cninfo.com.cn/finalpage/2021-07-30/1210616239.PDF" TargetMode="External"/><Relationship Id="rId165" Type="http://schemas.openxmlformats.org/officeDocument/2006/relationships/hyperlink" Target="http://www.szse.cn/disclosure/listed/bulletinDetail/index.html?8e621f2d-c82c-469a-9121-ed300faf3d97" TargetMode="External"/><Relationship Id="rId186" Type="http://schemas.openxmlformats.org/officeDocument/2006/relationships/hyperlink" Target="http://static.sse.com.cn/disclosure/listedinfo/announcement/c/new/2022-08-25/600515_20220825_6_NJQGN41v.pdf" TargetMode="External"/><Relationship Id="rId211" Type="http://schemas.openxmlformats.org/officeDocument/2006/relationships/hyperlink" Target="http://www.cninfo.com.cn/new/disclosure/detail?plate=sse&amp;orgId=gssh0600399&amp;stockCode=600399&amp;announcementId=1207199295&amp;announcementTime=2019-12-27" TargetMode="External"/><Relationship Id="rId232" Type="http://schemas.openxmlformats.org/officeDocument/2006/relationships/hyperlink" Target="http://www.szse.cn/disclosure/listed/bulletinDetail/index.html?a45d2e7c-7106-47b2-82f8-229755ad0826" TargetMode="External"/><Relationship Id="rId253" Type="http://schemas.openxmlformats.org/officeDocument/2006/relationships/hyperlink" Target="http://static.sse.com.cn/disclosure/listedinfo/announcement/c/2015-04-07/600145_20150408_1.pdf" TargetMode="External"/><Relationship Id="rId274" Type="http://schemas.openxmlformats.org/officeDocument/2006/relationships/hyperlink" Target="http://www.szse.cn/disclosure/listed/bulletinDetail/index.html?d25d4761-b7d0-427c-bc3e-a4316afb6ca5" TargetMode="External"/><Relationship Id="rId27" Type="http://schemas.openxmlformats.org/officeDocument/2006/relationships/hyperlink" Target="http://www.cninfo.com.cn/new/disclosure/detail?plate=sse&amp;orgId=gssh0600810&amp;stockCode=600810&amp;announcementId=1202923602&amp;announcementTime=2016-12-22" TargetMode="External"/><Relationship Id="rId48" Type="http://schemas.openxmlformats.org/officeDocument/2006/relationships/hyperlink" Target="http://www.cninfo.com.cn/new/disclosure/detail?plate=szse&amp;orgId=9900021914&amp;stockCode=002650&amp;announcementId=1207303771&amp;announcementTime=2020-02-13" TargetMode="External"/><Relationship Id="rId69" Type="http://schemas.openxmlformats.org/officeDocument/2006/relationships/hyperlink" Target="http://www.cninfo.com.cn/new/disclosure/detail?plate=szse&amp;orgId=9900010253&amp;stockCode=002341&amp;announcementId=1207851970&amp;announcementTime=2020-05-25" TargetMode="External"/><Relationship Id="rId113" Type="http://schemas.openxmlformats.org/officeDocument/2006/relationships/hyperlink" Target="http://www.csrc.gov.cn/csrc/c101928/c1043107/content.shtml" TargetMode="External"/><Relationship Id="rId134" Type="http://schemas.openxmlformats.org/officeDocument/2006/relationships/hyperlink" Target="http://www.csrc.gov.cn/csrc/c101928/c1043113/content.shtml" TargetMode="External"/><Relationship Id="rId80" Type="http://schemas.openxmlformats.org/officeDocument/2006/relationships/hyperlink" Target="http://static.cninfo.com.cn/finalpage/2021-04-06/1209638693.PDF" TargetMode="External"/><Relationship Id="rId155" Type="http://schemas.openxmlformats.org/officeDocument/2006/relationships/hyperlink" Target="http://www.csrc.gov.cn/csrc/c101928/c1043233/content.shtml" TargetMode="External"/><Relationship Id="rId176" Type="http://schemas.openxmlformats.org/officeDocument/2006/relationships/hyperlink" Target="http://static.sse.com.cn/disclosure/listedinfo/announcement/c/new/2022-11-24/600532_20221124_SMTD.pdf" TargetMode="External"/><Relationship Id="rId197" Type="http://schemas.openxmlformats.org/officeDocument/2006/relationships/hyperlink" Target="http://static.cninfo.com.cn/finalpage/2021-08-16/1210752894.PDF" TargetMode="External"/><Relationship Id="rId201" Type="http://schemas.openxmlformats.org/officeDocument/2006/relationships/hyperlink" Target="http://www.sse.com.cn/disclosure/listedinfo/announcement/c/new/2022-11-19/688086_20221119_F64X.pdf" TargetMode="External"/><Relationship Id="rId222" Type="http://schemas.openxmlformats.org/officeDocument/2006/relationships/hyperlink" Target="http://www.sse.com.cn/disclosure/listedinfo/announcement/c/new/2022-11-15/600463_20221115_1L3O.pdf" TargetMode="External"/><Relationship Id="rId243" Type="http://schemas.openxmlformats.org/officeDocument/2006/relationships/hyperlink" Target="http://www.szse.cn/disclosure/listed/bulletinDetail/index.html?92d23f1d-12f1-4d6f-9363-6dbeefb6fac1" TargetMode="External"/><Relationship Id="rId264" Type="http://schemas.openxmlformats.org/officeDocument/2006/relationships/hyperlink" Target="http://www.szse.cn/disclosure/listed/bulletinDetail/index.html?4047b51c-dfb9-4633-bfea-13b391239648" TargetMode="External"/><Relationship Id="rId285" Type="http://schemas.openxmlformats.org/officeDocument/2006/relationships/hyperlink" Target="http://www.szse.cn/disclosure/listed/bulletinDetail/index.html?7057b443-39ac-40bd-85a3-534cdac7965f" TargetMode="External"/><Relationship Id="rId17" Type="http://schemas.openxmlformats.org/officeDocument/2006/relationships/hyperlink" Target="http://static.cninfo.com.cn/finalpage/2018-02-02/1204385329.PDF" TargetMode="External"/><Relationship Id="rId38" Type="http://schemas.openxmlformats.org/officeDocument/2006/relationships/hyperlink" Target="http://static.cninfo.com.cn/finalpage/2015-11-04/1201750954.PDF" TargetMode="External"/><Relationship Id="rId59" Type="http://schemas.openxmlformats.org/officeDocument/2006/relationships/hyperlink" Target="http://static.cninfo.com.cn/finalpage/2019-09-23/1206939876.PDF" TargetMode="External"/><Relationship Id="rId103" Type="http://schemas.openxmlformats.org/officeDocument/2006/relationships/hyperlink" Target="http://static.cninfo.com.cn/finalpage/2021-03-17/1209394374.PDF" TargetMode="External"/><Relationship Id="rId124" Type="http://schemas.openxmlformats.org/officeDocument/2006/relationships/hyperlink" Target="http://www.csrc.gov.cn/csrc/c101928/c1043033/content.shtml" TargetMode="External"/><Relationship Id="rId70" Type="http://schemas.openxmlformats.org/officeDocument/2006/relationships/hyperlink" Target="http://www.cninfo.com.cn/new/disclosure/detail?plate=sse&amp;orgId=gssh0600525&amp;stockCode=600525&amp;announcementId=1208608018&amp;announcementTime=2020-10-24" TargetMode="External"/><Relationship Id="rId91" Type="http://schemas.openxmlformats.org/officeDocument/2006/relationships/hyperlink" Target="http://static.cninfo.com.cn/finalpage/2021-09-03/1210965199.PDF" TargetMode="External"/><Relationship Id="rId145" Type="http://schemas.openxmlformats.org/officeDocument/2006/relationships/hyperlink" Target="http://www.csrc.gov.cn/csrc/c101928/c1043283/content.shtml" TargetMode="External"/><Relationship Id="rId166" Type="http://schemas.openxmlformats.org/officeDocument/2006/relationships/hyperlink" Target="http://www.szse.cn/disclosure/listed/bulletinDetail/index.html?3dc0a1a6-2e08-41a6-97bc-a4ab5812f238" TargetMode="External"/><Relationship Id="rId187" Type="http://schemas.openxmlformats.org/officeDocument/2006/relationships/hyperlink" Target="http://static.sse.com.cn/disclosure/listedinfo/announcement/c/new/2022-09-06/600387_20220906_1_vCcTpuPs.pdf" TargetMode="External"/><Relationship Id="rId1" Type="http://schemas.openxmlformats.org/officeDocument/2006/relationships/hyperlink" Target="http://static.cninfo.com.cn/finalpage/2017-09-26/1203999148.PDF" TargetMode="External"/><Relationship Id="rId212" Type="http://schemas.openxmlformats.org/officeDocument/2006/relationships/hyperlink" Target="http://www.cninfo.com.cn/new/disclosure/detail?plate=szse&amp;orgId=9900000781&amp;stockCode=002069&amp;announcementId=1207960708&amp;announcementTime=2020-06-25" TargetMode="External"/><Relationship Id="rId233" Type="http://schemas.openxmlformats.org/officeDocument/2006/relationships/hyperlink" Target="http://www.szse.cn/disclosure/listed/bulletinDetail/index.html?ccc94fcf-ee3a-463f-9249-5146c805e479" TargetMode="External"/><Relationship Id="rId254" Type="http://schemas.openxmlformats.org/officeDocument/2006/relationships/hyperlink" Target="http://static.sse.com.cn/disclosure/listedinfo/announcement/c/2014-12-19/600293_20141220_1.pdf" TargetMode="External"/><Relationship Id="rId28" Type="http://schemas.openxmlformats.org/officeDocument/2006/relationships/hyperlink" Target="http://www.cninfo.com.cn/new/disclosure/detail?plate=szse&amp;orgId=9900021237&amp;stockCode=002608&amp;announcementId=1202786578&amp;announcementTime=2016-10-26" TargetMode="External"/><Relationship Id="rId49" Type="http://schemas.openxmlformats.org/officeDocument/2006/relationships/hyperlink" Target="http://www.cninfo.com.cn/new/disclosure/detail?plate=szse&amp;orgId=9900005061&amp;stockCode=002263&amp;announcementId=1207215648&amp;announcementTime=2020-01-02" TargetMode="External"/><Relationship Id="rId114" Type="http://schemas.openxmlformats.org/officeDocument/2006/relationships/hyperlink" Target="http://www.csrc.gov.cn/csrc/c101928/c1043289/content.shtml" TargetMode="External"/><Relationship Id="rId275" Type="http://schemas.openxmlformats.org/officeDocument/2006/relationships/hyperlink" Target="http://static.sse.com.cn/disclosure/listedinfo/announcement/c/2017-11-17/600806_20171117_1.pdf" TargetMode="External"/><Relationship Id="rId60" Type="http://schemas.openxmlformats.org/officeDocument/2006/relationships/hyperlink" Target="http://www.cninfo.com.cn/new/disclosure/detail?plate=szse&amp;orgId=gssz0000670&amp;stockCode=000670&amp;announcementId=1207064503&amp;announcementTime=2019-11-05" TargetMode="External"/><Relationship Id="rId81" Type="http://schemas.openxmlformats.org/officeDocument/2006/relationships/hyperlink" Target="http://static.cninfo.com.cn/finalpage/2021-11-18/1211615302.PDF" TargetMode="External"/><Relationship Id="rId135" Type="http://schemas.openxmlformats.org/officeDocument/2006/relationships/hyperlink" Target="http://www.csrc.gov.cn/csrc/c101928/c1043133/content.shtml" TargetMode="External"/><Relationship Id="rId156" Type="http://schemas.openxmlformats.org/officeDocument/2006/relationships/hyperlink" Target="http://www.csrc.gov.cn/csrc/c101928/c1043205/content.shtml" TargetMode="External"/><Relationship Id="rId177" Type="http://schemas.openxmlformats.org/officeDocument/2006/relationships/hyperlink" Target="http://www.sse.com.cn/disclosure/listedinfo/announcement/c/new/2022-11-21/600310_20221121_QXSH.pdf" TargetMode="External"/><Relationship Id="rId198" Type="http://schemas.openxmlformats.org/officeDocument/2006/relationships/hyperlink" Target="http://www.szse.cn/disclosure/listed/bulletinDetail/index.html?b4f4ab08-49d0-4c5d-afa9-490d18e22188" TargetMode="External"/><Relationship Id="rId202" Type="http://schemas.openxmlformats.org/officeDocument/2006/relationships/hyperlink" Target="http://static.sse.com.cn/disclosure/listedinfo/announcement/c/new/2022-11-19/688555_20221119_KSZU.pdf" TargetMode="External"/><Relationship Id="rId223" Type="http://schemas.openxmlformats.org/officeDocument/2006/relationships/hyperlink" Target="http://www.csrc.gov.cn/jilin/c103788/c6696685/content.shtml" TargetMode="External"/><Relationship Id="rId244" Type="http://schemas.openxmlformats.org/officeDocument/2006/relationships/hyperlink" Target="http://www.szse.cn/disclosure/listed/bulletinDetail/index.html?68bfe8d8-61ed-4879-b8db-f438c54f6c7b" TargetMode="External"/><Relationship Id="rId18" Type="http://schemas.openxmlformats.org/officeDocument/2006/relationships/hyperlink" Target="http://static.cninfo.com.cn/finalpage/2018-11-02/1205574974.PDF" TargetMode="External"/><Relationship Id="rId39" Type="http://schemas.openxmlformats.org/officeDocument/2006/relationships/hyperlink" Target="http://static.cninfo.com.cn/finalpage/2015-08-01/1201375358.PDF" TargetMode="External"/><Relationship Id="rId265" Type="http://schemas.openxmlformats.org/officeDocument/2006/relationships/hyperlink" Target="http://www.szse.cn/disclosure/listed/bulletinDetail/index.html?0dc52bd3-c5e1-4183-9f2a-bec495463c04" TargetMode="External"/><Relationship Id="rId286" Type="http://schemas.openxmlformats.org/officeDocument/2006/relationships/hyperlink" Target="http://static.sse.com.cn/disclosure/listedinfo/announcement/c/new/2023-05-11/603557_20230511_UNXN.pdf" TargetMode="External"/><Relationship Id="rId50" Type="http://schemas.openxmlformats.org/officeDocument/2006/relationships/hyperlink" Target="http://www.cninfo.com.cn/new/disclosure/detail?plate=szse&amp;orgId=9900001344&amp;stockCode=002086&amp;announcementId=1206956118&amp;announcementTime=2019-09-30" TargetMode="External"/><Relationship Id="rId104" Type="http://schemas.openxmlformats.org/officeDocument/2006/relationships/hyperlink" Target="http://static.cninfo.com.cn/finalpage/2021-07-09/1210442418.PDF" TargetMode="External"/><Relationship Id="rId125" Type="http://schemas.openxmlformats.org/officeDocument/2006/relationships/hyperlink" Target="http://www.csrc.gov.cn/csrc/c101928/c1043040/content.shtml" TargetMode="External"/><Relationship Id="rId146" Type="http://schemas.openxmlformats.org/officeDocument/2006/relationships/hyperlink" Target="http://www.csrc.gov.cn/csrc/c101928/c1043301/content.shtml" TargetMode="External"/><Relationship Id="rId167" Type="http://schemas.openxmlformats.org/officeDocument/2006/relationships/hyperlink" Target="http://www.szse.cn/disclosure/listed/bulletinDetail/index.html?00704d69-77c9-4c64-94aa-813181d1e8bd" TargetMode="External"/><Relationship Id="rId188" Type="http://schemas.openxmlformats.org/officeDocument/2006/relationships/hyperlink" Target="http://www.szse.cn/disclosure/listed/bulletinDetail/index.html?3dfec14a-4f40-407a-b608-708789fb6226=" TargetMode="External"/><Relationship Id="rId71" Type="http://schemas.openxmlformats.org/officeDocument/2006/relationships/hyperlink" Target="http://www.cninfo.com.cn/new/disclosure/detail?plate=szse&amp;orgId=9900023703&amp;stockCode=002766&amp;announcementId=1208886438&amp;announcementTime=2020-12-11" TargetMode="External"/><Relationship Id="rId92" Type="http://schemas.openxmlformats.org/officeDocument/2006/relationships/hyperlink" Target="http://static.cninfo.com.cn/finalpage/2021-09-02/1210965712.PDF" TargetMode="External"/><Relationship Id="rId213" Type="http://schemas.openxmlformats.org/officeDocument/2006/relationships/hyperlink" Target="http://www.cninfo.com.cn/new/disclosure/detail?plate=szse&amp;orgId=9900002421&amp;stockCode=002122&amp;announcementId=1207067395&amp;announcementTime=2019-11-06" TargetMode="External"/><Relationship Id="rId234" Type="http://schemas.openxmlformats.org/officeDocument/2006/relationships/hyperlink" Target="http://www.szse.cn/disclosure/listed/bulletinDetail/index.html?7e9fe308-ff7d-4fd6-8a84-dd13639bf8bd" TargetMode="External"/><Relationship Id="rId2" Type="http://schemas.openxmlformats.org/officeDocument/2006/relationships/hyperlink" Target="http://static.cninfo.com.cn/finalpage/2017-09-19/1203982020.PDF" TargetMode="External"/><Relationship Id="rId29" Type="http://schemas.openxmlformats.org/officeDocument/2006/relationships/hyperlink" Target="http://static.cninfo.com.cn/finalpage/2016-02-24/1201992131.PDF" TargetMode="External"/><Relationship Id="rId255" Type="http://schemas.openxmlformats.org/officeDocument/2006/relationships/hyperlink" Target="http://www.szse.cn/disclosure/listed/bulletinDetail/index.html?c1c8dc42-89bb-492f-ad59-188d02d2e172" TargetMode="External"/><Relationship Id="rId276" Type="http://schemas.openxmlformats.org/officeDocument/2006/relationships/hyperlink" Target="http://www.szse.cn/disclosure/listed/bulletinDetail/index.html?b792c46e-cf72-450b-a435-26046ccfbbd3" TargetMode="External"/><Relationship Id="rId40" Type="http://schemas.openxmlformats.org/officeDocument/2006/relationships/hyperlink" Target="http://static.cninfo.com.cn/finalpage/2016-03-21/1202058837.PDF" TargetMode="External"/><Relationship Id="rId115" Type="http://schemas.openxmlformats.org/officeDocument/2006/relationships/hyperlink" Target="http://www.csrc.gov.cn/csrc/c101928/c1043316/content.shtml" TargetMode="External"/><Relationship Id="rId136" Type="http://schemas.openxmlformats.org/officeDocument/2006/relationships/hyperlink" Target="http://www.csrc.gov.cn/csrc/c101928/c1043150/content.shtml" TargetMode="External"/><Relationship Id="rId157" Type="http://schemas.openxmlformats.org/officeDocument/2006/relationships/hyperlink" Target="http://www.csrc.gov.cn/csrc/c101928/c1043181/content.shtml" TargetMode="External"/><Relationship Id="rId178" Type="http://schemas.openxmlformats.org/officeDocument/2006/relationships/hyperlink" Target="http://www.szse.cn/disclosure/listed/bulletinDetail/index.html?698be3d2-bc78-41d3-aab3-555d1ee8f77b" TargetMode="External"/><Relationship Id="rId61" Type="http://schemas.openxmlformats.org/officeDocument/2006/relationships/hyperlink" Target="http://www.cninfo.com.cn/new/disclosure/detail?plate=szse&amp;orgId=9900003823&amp;stockCode=002181&amp;announcementId=1209869701&amp;announcementTime=2021-04-30" TargetMode="External"/><Relationship Id="rId82" Type="http://schemas.openxmlformats.org/officeDocument/2006/relationships/hyperlink" Target="http://static.cninfo.com.cn/finalpage/2021-11-12/1211561916.PDF" TargetMode="External"/><Relationship Id="rId199" Type="http://schemas.openxmlformats.org/officeDocument/2006/relationships/hyperlink" Target="http://static.sse.com.cn/disclosure/listedinfo/announcement/c/new/2022-10-28/600734_20221028_1_FCTNfAG3.pdf" TargetMode="External"/><Relationship Id="rId203" Type="http://schemas.openxmlformats.org/officeDocument/2006/relationships/hyperlink" Target="http://www.bse.cn/disclosure/2022/2022-09-09/1662725992_926986.pdf" TargetMode="External"/><Relationship Id="rId19" Type="http://schemas.openxmlformats.org/officeDocument/2006/relationships/hyperlink" Target="http://static.cninfo.com.cn/finalpage/2018-06-14/1205061536.PDF" TargetMode="External"/><Relationship Id="rId224" Type="http://schemas.openxmlformats.org/officeDocument/2006/relationships/hyperlink" Target="http://www.sse.com.cn/disclosure/credibility/supervision/measures/criticism/c/37af2a1f-0fb7-426e-a2d1-71c286c8ae5a.pdf" TargetMode="External"/><Relationship Id="rId245" Type="http://schemas.openxmlformats.org/officeDocument/2006/relationships/hyperlink" Target="http://www.szse.cn/disclosure/listed/bulletinDetail/index.html?7b2765b3-ceb4-4767-a629-24c9f2dc7f43" TargetMode="External"/><Relationship Id="rId266" Type="http://schemas.openxmlformats.org/officeDocument/2006/relationships/hyperlink" Target="http://static.sse.com.cn/disclosure/listedinfo/announcement/c/new/2023-04-12/603669_20230412_UHL2.pdf" TargetMode="External"/><Relationship Id="rId287" Type="http://schemas.openxmlformats.org/officeDocument/2006/relationships/hyperlink" Target="http://static.sse.com.cn/disclosure/listedinfo/announcement/c/new/2023-06-03/600343_20230603_DONH.pdf" TargetMode="External"/><Relationship Id="rId30" Type="http://schemas.openxmlformats.org/officeDocument/2006/relationships/hyperlink" Target="http://www.cninfo.com.cn/new/disclosure/detail?plate=szse&amp;orgId=gssz0000007&amp;stockCode=000007&amp;announcementId=1201853534&amp;announcementTime=2015-12-23%2011:39" TargetMode="External"/><Relationship Id="rId105" Type="http://schemas.openxmlformats.org/officeDocument/2006/relationships/hyperlink" Target="http://static.cninfo.com.cn/finalpage/2021-01-21/1209153125.PDF" TargetMode="External"/><Relationship Id="rId126" Type="http://schemas.openxmlformats.org/officeDocument/2006/relationships/hyperlink" Target="http://www.csrc.gov.cn/csrc/c101928/c1043232/content.shtml" TargetMode="External"/><Relationship Id="rId147" Type="http://schemas.openxmlformats.org/officeDocument/2006/relationships/hyperlink" Target="http://www.csrc.gov.cn/csrc/c101928/c1043310/content.shtml" TargetMode="External"/><Relationship Id="rId168" Type="http://schemas.openxmlformats.org/officeDocument/2006/relationships/hyperlink" Target="http://static.sse.com.cn/disclosure/listedinfo/announcement/c/new/2022-06-03/600719_20220603_1_qqTgLyxe.pdf" TargetMode="External"/><Relationship Id="rId51" Type="http://schemas.openxmlformats.org/officeDocument/2006/relationships/hyperlink" Target="http://www.cninfo.com.cn/new/disclosure/detail?plate=szse&amp;orgId=gssz0000939&amp;stockCode=000939&amp;announcementId=1207783741&amp;announcementTime=2020-05-13" TargetMode="External"/><Relationship Id="rId72" Type="http://schemas.openxmlformats.org/officeDocument/2006/relationships/hyperlink" Target="http://www.cninfo.com.cn/new/disclosure/detail?plate=szse&amp;orgId=9900021552&amp;stockCode=002629&amp;announcementId=1208464305&amp;announcementTime=2020-09-22" TargetMode="External"/><Relationship Id="rId93" Type="http://schemas.openxmlformats.org/officeDocument/2006/relationships/hyperlink" Target="http://static.cninfo.com.cn/finalpage/2021-09-01/1210945047.PDF" TargetMode="External"/><Relationship Id="rId189" Type="http://schemas.openxmlformats.org/officeDocument/2006/relationships/hyperlink" Target="http://static.sse.com.cn/disclosure/listedinfo/announcement/c/new/2022-12-10/601727_20221210_FDKT.pdf" TargetMode="External"/><Relationship Id="rId3" Type="http://schemas.openxmlformats.org/officeDocument/2006/relationships/hyperlink" Target="http://static.cninfo.com.cn/finalpage/2017-12-09/1204207186.PDF" TargetMode="External"/><Relationship Id="rId214" Type="http://schemas.openxmlformats.org/officeDocument/2006/relationships/hyperlink" Target="http://www.cninfo.com.cn/new/disclosure/detail?plate=szse&amp;orgId=9900015672&amp;stockCode=002496&amp;announcementId=1207194641&amp;announcementTime=2019-12-26" TargetMode="External"/><Relationship Id="rId235" Type="http://schemas.openxmlformats.org/officeDocument/2006/relationships/hyperlink" Target="http://www.szse.cn/disclosure/listed/bulletinDetail/index.html?f70e03a2-75b6-4996-8f52-2ef853d465b3" TargetMode="External"/><Relationship Id="rId256" Type="http://schemas.openxmlformats.org/officeDocument/2006/relationships/hyperlink" Target="http://www.szse.cn/disclosure/listed/bulletinDetail/index.html?7d4ebe99-1f9C-4608-bee1-e1b8b337389d&#65288;&#34892;&#25919;&#22788;&#32602;&#20070;&#65292;&#27809;&#26377;&#25259;&#38706;&#34892;&#25919;&#22788;&#32602;&#20107;&#20808;&#21578;&#30693;&#20070;&#65289;" TargetMode="External"/><Relationship Id="rId277" Type="http://schemas.openxmlformats.org/officeDocument/2006/relationships/hyperlink" Target="http://www.szse.cn/disclosure/listed/bulletinDetail/index.html?5a676b72-0643-49b4-b495-c9e271d38025" TargetMode="External"/><Relationship Id="rId116" Type="http://schemas.openxmlformats.org/officeDocument/2006/relationships/hyperlink" Target="http://www.csrc.gov.cn/csrc/c101928/c1043317/content.shtml" TargetMode="External"/><Relationship Id="rId137" Type="http://schemas.openxmlformats.org/officeDocument/2006/relationships/hyperlink" Target="http://www.csrc.gov.cn/csrc/c101928/c1043191/content.shtml" TargetMode="External"/><Relationship Id="rId158" Type="http://schemas.openxmlformats.org/officeDocument/2006/relationships/hyperlink" Target="http://www.csrc.gov.cn/csrc/c101928/c1043154/content.shtml" TargetMode="External"/><Relationship Id="rId20" Type="http://schemas.openxmlformats.org/officeDocument/2006/relationships/hyperlink" Target="http://static.cninfo.com.cn/finalpage/2018-03-06/1204452216.PDF" TargetMode="External"/><Relationship Id="rId41" Type="http://schemas.openxmlformats.org/officeDocument/2006/relationships/hyperlink" Target="http://static.cninfo.com.cn/finalpage/2015-03-18/1200710748.PDF" TargetMode="External"/><Relationship Id="rId62" Type="http://schemas.openxmlformats.org/officeDocument/2006/relationships/hyperlink" Target="http://static.sse.com.cn/disclosure/listedinfo/announcement/c/new/2021-06-09/600290_20210609_1.pdf" TargetMode="External"/><Relationship Id="rId83" Type="http://schemas.openxmlformats.org/officeDocument/2006/relationships/hyperlink" Target="http://static.cninfo.com.cn/finalpage/2021-11-05/1211493131.PDF" TargetMode="External"/><Relationship Id="rId179" Type="http://schemas.openxmlformats.org/officeDocument/2006/relationships/hyperlink" Target="http://www.szse.cn/disclosure/listed/bulletinDetail/index.html?4e7f1209-f522-4dce-aa5a-b9dff22f5cee" TargetMode="External"/><Relationship Id="rId190" Type="http://schemas.openxmlformats.org/officeDocument/2006/relationships/hyperlink" Target="http://www.szse.cn/disclosure/listed/bulletinDetail/index.html?b557775b-eadb-4a59-8a9c-1f2f2acf09cb=" TargetMode="External"/><Relationship Id="rId204" Type="http://schemas.openxmlformats.org/officeDocument/2006/relationships/hyperlink" Target="http://static.sse.com.cn/disclosure/listedinfo/announcement/c/new/2022-12-03/600260_20221203_K7E1.pdf" TargetMode="External"/><Relationship Id="rId225" Type="http://schemas.openxmlformats.org/officeDocument/2006/relationships/hyperlink" Target="http://www.sse.com.cn/disclosure/credibility/supervision/measures/focus/c/0a87a4fb-d22b-49a5-9e33-88e522bbe39f.pdf" TargetMode="External"/><Relationship Id="rId246" Type="http://schemas.openxmlformats.org/officeDocument/2006/relationships/hyperlink" Target="http://static.sse.com.cn/disclosure/listedinfo/announcement/c/2019-12-17/600610_20191217_3.pdf" TargetMode="External"/><Relationship Id="rId267" Type="http://schemas.openxmlformats.org/officeDocument/2006/relationships/hyperlink" Target="http://static.sse.com.cn/disclosure/listedinfo/announcement/c/new/2023-04-19/600122_20230419_O6ZG.pdf" TargetMode="External"/><Relationship Id="rId288" Type="http://schemas.openxmlformats.org/officeDocument/2006/relationships/hyperlink" Target="http://static.sse.com.cn/disclosure/listedinfo/announcement/c/new/2023-06-17/603603_20230617_13LY.pdf" TargetMode="External"/><Relationship Id="rId106" Type="http://schemas.openxmlformats.org/officeDocument/2006/relationships/hyperlink" Target="http://static.cninfo.com.cn/finalpage/2021-12-03/1211781101.PDF" TargetMode="External"/><Relationship Id="rId127" Type="http://schemas.openxmlformats.org/officeDocument/2006/relationships/hyperlink" Target="http://www.csrc.gov.cn/csrc/c101928/c1043015/content.shtml" TargetMode="External"/><Relationship Id="rId10" Type="http://schemas.openxmlformats.org/officeDocument/2006/relationships/hyperlink" Target="http://www.cninfo.com.cn/new/disclosure/detail?plate=szse&amp;orgId=9900018895&amp;stockCode=300208&amp;announcementId=1204801477&amp;announcementTime=2018-04-26%2017:15" TargetMode="External"/><Relationship Id="rId31" Type="http://schemas.openxmlformats.org/officeDocument/2006/relationships/hyperlink" Target="http://static.cninfo.com.cn/finalpage/2015-06-04/1201100093.PDF" TargetMode="External"/><Relationship Id="rId52" Type="http://schemas.openxmlformats.org/officeDocument/2006/relationships/hyperlink" Target="http://www.cninfo.com.cn/new/disclosure/detail?plate=szse&amp;orgId=9900022970&amp;stockCode=002742&amp;announcementId=1206917277&amp;announcementTime=2019-09-12" TargetMode="External"/><Relationship Id="rId73" Type="http://schemas.openxmlformats.org/officeDocument/2006/relationships/hyperlink" Target="http://www.cninfo.com.cn/new/disclosure/detail?plate=szse&amp;orgId=gssz0000995&amp;stockCode=000995&amp;announcementId=1208522129&amp;announcementTime=2020-10-09" TargetMode="External"/><Relationship Id="rId94" Type="http://schemas.openxmlformats.org/officeDocument/2006/relationships/hyperlink" Target="http://static.cninfo.com.cn/finalpage/2021-08-24/1210827780.PDF" TargetMode="External"/><Relationship Id="rId148" Type="http://schemas.openxmlformats.org/officeDocument/2006/relationships/hyperlink" Target="http://www.csrc.gov.cn/csrc/c101928/c1043308/content.shtml" TargetMode="External"/><Relationship Id="rId169" Type="http://schemas.openxmlformats.org/officeDocument/2006/relationships/hyperlink" Target="http://static.sse.com.cn/disclosure/listedinfo/announcement/c/new/2022-04-20/600093_20220420_1_rnm42MnJ.pdf" TargetMode="External"/><Relationship Id="rId4" Type="http://schemas.openxmlformats.org/officeDocument/2006/relationships/hyperlink" Target="http://static.cninfo.com.cn/finalpage/2017-12-16/1204233361.PDF" TargetMode="External"/><Relationship Id="rId180" Type="http://schemas.openxmlformats.org/officeDocument/2006/relationships/hyperlink" Target="http://www.szse.cn/disclosure/listed/bulletinDetail/index.html?b5cc9c5a-a819-4dc3-8f0b-2c0dadec335a" TargetMode="External"/><Relationship Id="rId215" Type="http://schemas.openxmlformats.org/officeDocument/2006/relationships/hyperlink" Target="http://www.cninfo.com.cn/new/disclosure/detail?plate=sse&amp;orgId=gssh0600634&amp;stockCode=600634&amp;announcementId=1207962362&amp;announcementTime=2020-06-29" TargetMode="External"/><Relationship Id="rId236" Type="http://schemas.openxmlformats.org/officeDocument/2006/relationships/hyperlink" Target="http://www.szse.cn/disclosure/listed/bulletinDetail/index.html?f012055b-6582-4921-ac8c-66bc62ed63b3&#65288;&#34892;&#25919;&#22788;&#32602;&#20070;&#65292;&#20844;&#21496;&#24050;&#36864;&#24066;&#65289;" TargetMode="External"/><Relationship Id="rId257" Type="http://schemas.openxmlformats.org/officeDocument/2006/relationships/hyperlink" Target="http://www.szse.cn/disclosure/listed/bulletinDetail/index.html?547d6673-6041-4bbd-9db4-d13de6c2c383&#65288;&#34892;&#25919;&#22788;&#32602;&#20070;&#65292;&#20107;&#20808;&#21578;&#30693;&#20070;&#23545;&#20110;&#36829;&#35268;&#20869;&#23481;&#27809;&#26377;&#20855;&#20307;&#35828;&#26126;&#21482;&#26377;&#26631;&#39064;&#65292;&#20869;&#23481;&#19981;&#20840;&#65289;" TargetMode="External"/><Relationship Id="rId278" Type="http://schemas.openxmlformats.org/officeDocument/2006/relationships/hyperlink" Target="http://www.szse.cn/disclosure/listed/bulletinDetail/index.html?27c04d07-f3de-4ad1-a832-e7b87b83daec" TargetMode="External"/><Relationship Id="rId42" Type="http://schemas.openxmlformats.org/officeDocument/2006/relationships/hyperlink" Target="http://www.cninfo.com.cn/new/disclosure/detail?plate=sse&amp;orgId=gssh0600408&amp;stockCode=600408&amp;announcementId=1202211884&amp;announcementTime=2016-04-21" TargetMode="External"/><Relationship Id="rId84" Type="http://schemas.openxmlformats.org/officeDocument/2006/relationships/hyperlink" Target="http://static.cninfo.com.cn/finalpage/2021-11-03/1211468067.PDF" TargetMode="External"/><Relationship Id="rId138" Type="http://schemas.openxmlformats.org/officeDocument/2006/relationships/hyperlink" Target="http://www.csrc.gov.cn/csrc/c101928/c1043247/content.shtml" TargetMode="External"/><Relationship Id="rId191" Type="http://schemas.openxmlformats.org/officeDocument/2006/relationships/hyperlink" Target="http://static.sse.com.cn/disclosure/listedinfo/announcement/c/new/2022-12-24/688656_20221224_UPH7.pdf" TargetMode="External"/><Relationship Id="rId205" Type="http://schemas.openxmlformats.org/officeDocument/2006/relationships/hyperlink" Target="http://www.sse.com.cn/disclosure/listedinfo/announcement/c/new/2022-11-15/600463_20221115_1L3O.pdf" TargetMode="External"/><Relationship Id="rId247" Type="http://schemas.openxmlformats.org/officeDocument/2006/relationships/hyperlink" Target="http://www.szse.cn/disclosure/listed/bulletinDetail/index.html?dd2c13a9-ad0b-4e8f-a2a0-33950855a058" TargetMode="External"/><Relationship Id="rId107" Type="http://schemas.openxmlformats.org/officeDocument/2006/relationships/hyperlink" Target="http://static.cninfo.com.cn/finalpage/2021-12-16/1211922220.PDF" TargetMode="External"/><Relationship Id="rId289" Type="http://schemas.openxmlformats.org/officeDocument/2006/relationships/hyperlink" Target="http://www.szse.cn/disclosure/listed/bulletinDetail/index.html?100ab340-4ad2-4a5f-b54d-a19a5e32107b" TargetMode="External"/><Relationship Id="rId11" Type="http://schemas.openxmlformats.org/officeDocument/2006/relationships/hyperlink" Target="http://www.cninfo.com.cn/new/disclosure/detail?plate=szse&amp;orgId=9900008411&amp;stockCode=300028&amp;announcementId=1204456262&amp;announcementTime=2018-03-07" TargetMode="External"/><Relationship Id="rId53" Type="http://schemas.openxmlformats.org/officeDocument/2006/relationships/hyperlink" Target="http://www.cninfo.com.cn/new/disclosure/detail?plate=szse&amp;orgId=9900012228&amp;stockCode=300090&amp;announcementId=1207074217&amp;announcementTime=2019-11-08" TargetMode="External"/><Relationship Id="rId149" Type="http://schemas.openxmlformats.org/officeDocument/2006/relationships/hyperlink" Target="http://www.csrc.gov.cn/csrc/c101928/c1043269/content.shtml" TargetMode="External"/><Relationship Id="rId95" Type="http://schemas.openxmlformats.org/officeDocument/2006/relationships/hyperlink" Target="http://static.cninfo.com.cn/finalpage/2021-04-09/1209657948.PDF" TargetMode="External"/><Relationship Id="rId160" Type="http://schemas.openxmlformats.org/officeDocument/2006/relationships/hyperlink" Target="http://www.csrc.gov.cn/csrc/c101928/c1043116/content.shtml" TargetMode="External"/><Relationship Id="rId216" Type="http://schemas.openxmlformats.org/officeDocument/2006/relationships/hyperlink" Target="http://www.cninfo.com.cn/new/disclosure/detail?plate=sse&amp;orgId=gssh0600634&amp;stockCode=600634&amp;announcementId=1207962362&amp;announcementTime=2020-06-29" TargetMode="External"/><Relationship Id="rId258" Type="http://schemas.openxmlformats.org/officeDocument/2006/relationships/hyperlink" Target="http://www.csrc.gov.cn/jiangsu/c103902/c861cf13208aa467cb85ba54b2555cb64/content.shtml&#65288;&#34892;&#25919;&#22788;&#32602;&#20915;&#23450;&#20070;&#65292;&#20844;&#21496;&#24050;&#36864;&#24066;&#65289;" TargetMode="External"/><Relationship Id="rId22" Type="http://schemas.openxmlformats.org/officeDocument/2006/relationships/hyperlink" Target="http://static.cninfo.com.cn/finalpage/2019-05-07/1206234548.PDF" TargetMode="External"/><Relationship Id="rId64" Type="http://schemas.openxmlformats.org/officeDocument/2006/relationships/hyperlink" Target="http://www.cninfo.com.cn/new/disclosure/detail?plate=szse&amp;orgId=gssz0000835&amp;stockCode=000835&amp;announcementId=1207858455&amp;announcementTime=2020-05-26" TargetMode="External"/><Relationship Id="rId118" Type="http://schemas.openxmlformats.org/officeDocument/2006/relationships/hyperlink" Target="http://www.csrc.gov.cn/csrc/c101928/c1042987/content.shtml" TargetMode="External"/><Relationship Id="rId171" Type="http://schemas.openxmlformats.org/officeDocument/2006/relationships/hyperlink" Target="http://static.sse.com.cn/disclosure/listedinfo/announcement/c/new/2022-07-12/600078_20220712_2_Rl1ufg7J.pdf" TargetMode="External"/><Relationship Id="rId227" Type="http://schemas.openxmlformats.org/officeDocument/2006/relationships/hyperlink" Target="http://www.csrc.gov.cn/csrc/c101928/c1043200/content.shtml" TargetMode="External"/><Relationship Id="rId269" Type="http://schemas.openxmlformats.org/officeDocument/2006/relationships/hyperlink" Target="http://www.szse.cn/disclosure/listed/bulletinDetail/index.html?3d2607bc-eb39-4197-a4c8-7013b16c2a1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E21"/>
  <sheetViews>
    <sheetView topLeftCell="B8" zoomScale="80" zoomScaleNormal="80" workbookViewId="0">
      <selection activeCell="D5" sqref="D5"/>
    </sheetView>
  </sheetViews>
  <sheetFormatPr defaultColWidth="9.5546875" defaultRowHeight="14.4" x14ac:dyDescent="0.25"/>
  <cols>
    <col min="1" max="1" width="6.44140625" style="8" customWidth="1"/>
    <col min="2" max="2" width="11.44140625" style="8" customWidth="1"/>
    <col min="3" max="3" width="20.77734375" style="8" customWidth="1"/>
    <col min="4" max="4" width="80.77734375" style="7" customWidth="1"/>
    <col min="5" max="5" width="45.21875" customWidth="1"/>
  </cols>
  <sheetData>
    <row r="1" spans="1:5" ht="16.2" x14ac:dyDescent="0.25">
      <c r="A1" s="251" t="s">
        <v>0</v>
      </c>
      <c r="B1" s="251" t="s">
        <v>1</v>
      </c>
      <c r="C1" s="251" t="s">
        <v>2</v>
      </c>
      <c r="D1" s="252" t="s">
        <v>3</v>
      </c>
      <c r="E1" s="251" t="s">
        <v>4</v>
      </c>
    </row>
    <row r="2" spans="1:5" ht="16.2" x14ac:dyDescent="0.25">
      <c r="A2" s="253">
        <v>1</v>
      </c>
      <c r="B2" s="253" t="s">
        <v>5</v>
      </c>
      <c r="C2" s="253" t="s">
        <v>6</v>
      </c>
      <c r="D2" s="254" t="s">
        <v>7</v>
      </c>
      <c r="E2" s="255" t="s">
        <v>8</v>
      </c>
    </row>
    <row r="3" spans="1:5" ht="31.2" x14ac:dyDescent="0.25">
      <c r="A3" s="253">
        <v>2</v>
      </c>
      <c r="B3" s="253" t="s">
        <v>9</v>
      </c>
      <c r="C3" s="253" t="s">
        <v>10</v>
      </c>
      <c r="D3" s="254" t="s">
        <v>11</v>
      </c>
      <c r="E3" s="255" t="s">
        <v>12</v>
      </c>
    </row>
    <row r="4" spans="1:5" ht="15.6" x14ac:dyDescent="0.25">
      <c r="A4" s="253">
        <v>3</v>
      </c>
      <c r="B4" s="253" t="s">
        <v>13</v>
      </c>
      <c r="C4" s="253" t="s">
        <v>14</v>
      </c>
      <c r="D4" s="254" t="s">
        <v>15</v>
      </c>
      <c r="E4" s="1"/>
    </row>
    <row r="5" spans="1:5" ht="246" customHeight="1" x14ac:dyDescent="0.25">
      <c r="A5" s="253">
        <v>4</v>
      </c>
      <c r="B5" s="253" t="s">
        <v>16</v>
      </c>
      <c r="C5" s="253" t="s">
        <v>17</v>
      </c>
      <c r="D5" s="254" t="s">
        <v>18</v>
      </c>
      <c r="E5" s="1"/>
    </row>
    <row r="6" spans="1:5" ht="156" x14ac:dyDescent="0.25">
      <c r="A6" s="253">
        <v>5</v>
      </c>
      <c r="B6" s="253" t="s">
        <v>19</v>
      </c>
      <c r="C6" s="253" t="s">
        <v>20</v>
      </c>
      <c r="D6" s="254" t="s">
        <v>21</v>
      </c>
      <c r="E6" s="1"/>
    </row>
    <row r="7" spans="1:5" ht="46.8" x14ac:dyDescent="0.25">
      <c r="A7" s="253">
        <v>6</v>
      </c>
      <c r="B7" s="253" t="s">
        <v>22</v>
      </c>
      <c r="C7" s="253" t="s">
        <v>23</v>
      </c>
      <c r="D7" s="254" t="s">
        <v>24</v>
      </c>
      <c r="E7" s="1"/>
    </row>
    <row r="8" spans="1:5" ht="31.2" x14ac:dyDescent="0.25">
      <c r="A8" s="253">
        <v>7</v>
      </c>
      <c r="B8" s="253" t="s">
        <v>25</v>
      </c>
      <c r="C8" s="253" t="s">
        <v>26</v>
      </c>
      <c r="D8" s="254" t="s">
        <v>27</v>
      </c>
      <c r="E8" s="1"/>
    </row>
    <row r="9" spans="1:5" ht="31.2" x14ac:dyDescent="0.25">
      <c r="A9" s="253">
        <v>8</v>
      </c>
      <c r="B9" s="253" t="s">
        <v>28</v>
      </c>
      <c r="C9" s="256" t="s">
        <v>29</v>
      </c>
      <c r="D9" s="254" t="s">
        <v>30</v>
      </c>
      <c r="E9" s="1"/>
    </row>
    <row r="10" spans="1:5" ht="15.6" x14ac:dyDescent="0.25">
      <c r="A10" s="253">
        <v>9</v>
      </c>
      <c r="B10" s="253" t="s">
        <v>31</v>
      </c>
      <c r="C10" s="256" t="s">
        <v>32</v>
      </c>
      <c r="D10" s="254" t="s">
        <v>33</v>
      </c>
      <c r="E10" s="1"/>
    </row>
    <row r="11" spans="1:5" ht="31.8" x14ac:dyDescent="0.25">
      <c r="A11" s="253">
        <v>10</v>
      </c>
      <c r="B11" s="253" t="s">
        <v>34</v>
      </c>
      <c r="C11" s="256" t="s">
        <v>35</v>
      </c>
      <c r="D11" s="254" t="s">
        <v>36</v>
      </c>
      <c r="E11" s="1"/>
    </row>
    <row r="12" spans="1:5" ht="124.8" x14ac:dyDescent="0.25">
      <c r="A12" s="253">
        <v>11</v>
      </c>
      <c r="B12" s="253" t="s">
        <v>37</v>
      </c>
      <c r="C12" s="256" t="s">
        <v>38</v>
      </c>
      <c r="D12" s="254" t="s">
        <v>39</v>
      </c>
      <c r="E12" s="1"/>
    </row>
    <row r="13" spans="1:5" ht="31.2" x14ac:dyDescent="0.25">
      <c r="A13" s="253">
        <v>12</v>
      </c>
      <c r="B13" s="253" t="s">
        <v>40</v>
      </c>
      <c r="C13" s="253" t="s">
        <v>41</v>
      </c>
      <c r="D13" s="254" t="s">
        <v>42</v>
      </c>
      <c r="E13" s="1"/>
    </row>
    <row r="14" spans="1:5" ht="15.6" x14ac:dyDescent="0.25">
      <c r="A14" s="273">
        <v>13</v>
      </c>
      <c r="B14" s="273" t="s">
        <v>43</v>
      </c>
      <c r="C14" s="253" t="s">
        <v>44</v>
      </c>
      <c r="D14" s="254" t="s">
        <v>45</v>
      </c>
      <c r="E14" s="1"/>
    </row>
    <row r="15" spans="1:5" ht="79.2" x14ac:dyDescent="0.25">
      <c r="A15" s="273"/>
      <c r="B15" s="273"/>
      <c r="C15" s="257" t="s">
        <v>46</v>
      </c>
      <c r="D15" s="254" t="s">
        <v>47</v>
      </c>
      <c r="E15" s="1"/>
    </row>
    <row r="16" spans="1:5" ht="15.6" x14ac:dyDescent="0.25">
      <c r="A16" s="273"/>
      <c r="B16" s="273"/>
      <c r="C16" s="253" t="s">
        <v>48</v>
      </c>
      <c r="D16" s="254" t="s">
        <v>49</v>
      </c>
      <c r="E16" s="1"/>
    </row>
    <row r="17" spans="1:5" ht="46.8" x14ac:dyDescent="0.25">
      <c r="A17" s="273">
        <v>14</v>
      </c>
      <c r="B17" s="274" t="s">
        <v>50</v>
      </c>
      <c r="C17" s="256" t="s">
        <v>51</v>
      </c>
      <c r="D17" s="254" t="s">
        <v>52</v>
      </c>
      <c r="E17" s="1"/>
    </row>
    <row r="18" spans="1:5" ht="46.8" x14ac:dyDescent="0.25">
      <c r="A18" s="273"/>
      <c r="B18" s="274"/>
      <c r="C18" s="257" t="s">
        <v>46</v>
      </c>
      <c r="D18" s="254" t="s">
        <v>53</v>
      </c>
      <c r="E18" s="1"/>
    </row>
    <row r="19" spans="1:5" ht="31.2" x14ac:dyDescent="0.25">
      <c r="A19" s="253">
        <v>15</v>
      </c>
      <c r="B19" s="253" t="s">
        <v>54</v>
      </c>
      <c r="C19" s="253" t="s">
        <v>55</v>
      </c>
      <c r="D19" s="254" t="s">
        <v>56</v>
      </c>
      <c r="E19" s="1"/>
    </row>
    <row r="20" spans="1:5" ht="31.2" x14ac:dyDescent="0.25">
      <c r="A20" s="273">
        <v>16</v>
      </c>
      <c r="B20" s="273" t="s">
        <v>57</v>
      </c>
      <c r="C20" s="253" t="s">
        <v>58</v>
      </c>
      <c r="D20" s="254" t="s">
        <v>59</v>
      </c>
      <c r="E20" s="1"/>
    </row>
    <row r="21" spans="1:5" ht="31.2" x14ac:dyDescent="0.25">
      <c r="A21" s="273"/>
      <c r="B21" s="273"/>
      <c r="C21" s="257" t="s">
        <v>60</v>
      </c>
      <c r="D21" s="254" t="s">
        <v>61</v>
      </c>
      <c r="E21" s="1"/>
    </row>
  </sheetData>
  <sheetProtection formatCells="0" insertHyperlinks="0" autoFilter="0"/>
  <mergeCells count="6">
    <mergeCell ref="A14:A16"/>
    <mergeCell ref="A17:A18"/>
    <mergeCell ref="A20:A21"/>
    <mergeCell ref="B14:B16"/>
    <mergeCell ref="B17:B18"/>
    <mergeCell ref="B20:B21"/>
  </mergeCells>
  <phoneticPr fontId="24" type="noConversion"/>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G311"/>
  <sheetViews>
    <sheetView tabSelected="1" zoomScale="80" zoomScaleNormal="80" workbookViewId="0">
      <pane xSplit="3" ySplit="4" topLeftCell="D5" activePane="bottomRight" state="frozen"/>
      <selection pane="topRight"/>
      <selection pane="bottomLeft"/>
      <selection pane="bottomRight" activeCell="A8" sqref="A8"/>
    </sheetView>
  </sheetViews>
  <sheetFormatPr defaultColWidth="9.5546875" defaultRowHeight="14.4" x14ac:dyDescent="0.25"/>
  <cols>
    <col min="1" max="1" width="12.44140625" customWidth="1"/>
    <col min="2" max="2" width="13.5546875" customWidth="1"/>
    <col min="3" max="3" width="12.5546875" customWidth="1"/>
    <col min="4" max="4" width="15.44140625" customWidth="1"/>
    <col min="5" max="5" width="9.77734375" customWidth="1"/>
    <col min="6" max="6" width="35.77734375" customWidth="1"/>
    <col min="7" max="7" width="12.5546875" customWidth="1"/>
    <col min="8" max="8" width="43.109375" customWidth="1"/>
    <col min="9" max="10" width="17.77734375" style="14" customWidth="1"/>
    <col min="11" max="11" width="15.6640625" style="14" customWidth="1"/>
    <col min="12" max="12" width="24.21875" style="15" customWidth="1"/>
    <col min="13" max="13" width="15.77734375" customWidth="1"/>
    <col min="14" max="14" width="12.5546875" customWidth="1"/>
    <col min="15" max="15" width="16.21875" customWidth="1"/>
    <col min="16" max="16" width="60.77734375" customWidth="1"/>
    <col min="17" max="17" width="44.5546875" customWidth="1"/>
    <col min="18" max="18" width="12.5546875" style="14" customWidth="1"/>
    <col min="19" max="20" width="12.5546875" customWidth="1"/>
    <col min="21" max="21" width="17.77734375" customWidth="1"/>
    <col min="22" max="22" width="34.109375" customWidth="1"/>
    <col min="23" max="23" width="38.44140625" customWidth="1"/>
    <col min="24" max="24" width="22.77734375" customWidth="1"/>
    <col min="25" max="25" width="15.5546875" style="16" customWidth="1"/>
    <col min="26" max="26" width="13.77734375" style="17" customWidth="1"/>
    <col min="27" max="27" width="15.5546875" style="17" customWidth="1"/>
    <col min="28" max="28" width="15.5546875" style="18" customWidth="1"/>
    <col min="29" max="29" width="15.5546875" style="17" customWidth="1"/>
    <col min="30" max="30" width="20.6640625" style="19" customWidth="1"/>
    <col min="31" max="32" width="15.5546875" style="17" customWidth="1"/>
    <col min="33" max="33" width="15.5546875" style="8" customWidth="1"/>
    <col min="34" max="34" width="15.5546875" style="17" customWidth="1"/>
    <col min="35" max="35" width="15.5546875" style="19" customWidth="1"/>
    <col min="36" max="37" width="15.5546875" style="17" customWidth="1"/>
    <col min="38" max="38" width="15.5546875" style="8" customWidth="1"/>
    <col min="39" max="39" width="15.5546875" style="17" customWidth="1"/>
    <col min="40" max="40" width="15.5546875" style="19" customWidth="1"/>
    <col min="41" max="42" width="15.5546875" style="17" customWidth="1"/>
    <col min="43" max="43" width="15.5546875" style="8" customWidth="1"/>
    <col min="44" max="44" width="15.5546875" style="17" customWidth="1"/>
    <col min="45" max="45" width="15.5546875" style="19" customWidth="1"/>
    <col min="46" max="47" width="15.5546875" style="17" customWidth="1"/>
    <col min="48" max="48" width="15.5546875" style="8" customWidth="1"/>
    <col min="49" max="49" width="15.5546875" style="17" customWidth="1"/>
    <col min="50" max="50" width="15.5546875" style="19" customWidth="1"/>
    <col min="51" max="51" width="25.5546875" customWidth="1"/>
    <col min="52" max="66" width="15.5546875" style="8" customWidth="1"/>
    <col min="67" max="67" width="52.109375" customWidth="1"/>
    <col min="68" max="68" width="19.5546875" style="20" customWidth="1"/>
    <col min="69" max="69" width="22.21875" style="8" customWidth="1"/>
    <col min="70" max="70" width="22.21875" style="21" customWidth="1"/>
    <col min="71" max="71" width="34.77734375" style="20" customWidth="1"/>
    <col min="73" max="73" width="29.21875" customWidth="1"/>
  </cols>
  <sheetData>
    <row r="1" spans="1:73" s="7" customFormat="1" ht="24" customHeight="1" x14ac:dyDescent="0.25">
      <c r="A1" s="22" t="s">
        <v>62</v>
      </c>
      <c r="B1" s="23"/>
      <c r="C1" s="23"/>
      <c r="D1" s="23"/>
      <c r="E1" s="23"/>
      <c r="F1" s="23"/>
      <c r="G1" s="23"/>
      <c r="H1" s="24" t="s">
        <v>2608</v>
      </c>
      <c r="I1" s="59" t="s">
        <v>63</v>
      </c>
      <c r="J1" s="59" t="s">
        <v>64</v>
      </c>
      <c r="K1" s="59" t="s">
        <v>65</v>
      </c>
      <c r="L1" s="60"/>
      <c r="M1" s="24" t="s">
        <v>66</v>
      </c>
      <c r="N1" s="24" t="s">
        <v>67</v>
      </c>
      <c r="O1" s="24" t="s">
        <v>68</v>
      </c>
      <c r="P1" s="24" t="s">
        <v>69</v>
      </c>
      <c r="Q1" s="24" t="s">
        <v>70</v>
      </c>
      <c r="R1" s="92"/>
      <c r="S1" s="24" t="s">
        <v>71</v>
      </c>
      <c r="T1" s="23"/>
      <c r="U1" s="93" t="s">
        <v>72</v>
      </c>
      <c r="V1" s="264" t="s">
        <v>2567</v>
      </c>
      <c r="W1" s="24" t="s">
        <v>2554</v>
      </c>
      <c r="X1" s="24" t="s">
        <v>73</v>
      </c>
      <c r="Y1" s="110" t="s">
        <v>74</v>
      </c>
      <c r="Z1" s="111" t="s">
        <v>75</v>
      </c>
      <c r="AA1" s="111" t="s">
        <v>76</v>
      </c>
      <c r="AB1" s="112" t="s">
        <v>77</v>
      </c>
      <c r="AC1" s="111" t="s">
        <v>78</v>
      </c>
      <c r="AD1" s="113" t="s">
        <v>79</v>
      </c>
      <c r="AE1" s="111" t="s">
        <v>80</v>
      </c>
      <c r="AF1" s="111" t="s">
        <v>76</v>
      </c>
      <c r="AG1" s="24" t="s">
        <v>81</v>
      </c>
      <c r="AH1" s="111" t="s">
        <v>82</v>
      </c>
      <c r="AI1" s="113" t="s">
        <v>83</v>
      </c>
      <c r="AJ1" s="111" t="s">
        <v>84</v>
      </c>
      <c r="AK1" s="259" t="s">
        <v>2547</v>
      </c>
      <c r="AL1" s="24" t="s">
        <v>85</v>
      </c>
      <c r="AM1" s="111" t="s">
        <v>86</v>
      </c>
      <c r="AN1" s="113" t="s">
        <v>87</v>
      </c>
      <c r="AO1" s="111" t="s">
        <v>88</v>
      </c>
      <c r="AP1" s="111" t="s">
        <v>76</v>
      </c>
      <c r="AQ1" s="24" t="s">
        <v>89</v>
      </c>
      <c r="AR1" s="111" t="s">
        <v>90</v>
      </c>
      <c r="AS1" s="113" t="s">
        <v>91</v>
      </c>
      <c r="AT1" s="111" t="s">
        <v>92</v>
      </c>
      <c r="AU1" s="111" t="s">
        <v>93</v>
      </c>
      <c r="AV1" s="24" t="s">
        <v>94</v>
      </c>
      <c r="AW1" s="111" t="s">
        <v>95</v>
      </c>
      <c r="AX1" s="113" t="s">
        <v>96</v>
      </c>
      <c r="AY1" s="24" t="s">
        <v>97</v>
      </c>
      <c r="AZ1" s="158" t="s">
        <v>98</v>
      </c>
      <c r="BA1" s="158" t="s">
        <v>98</v>
      </c>
      <c r="BB1" s="158" t="s">
        <v>98</v>
      </c>
      <c r="BC1" s="158" t="s">
        <v>98</v>
      </c>
      <c r="BD1" s="158" t="s">
        <v>98</v>
      </c>
      <c r="BE1" s="158" t="s">
        <v>98</v>
      </c>
      <c r="BF1" s="158" t="s">
        <v>98</v>
      </c>
      <c r="BG1" s="158" t="s">
        <v>98</v>
      </c>
      <c r="BH1" s="158" t="s">
        <v>98</v>
      </c>
      <c r="BI1" s="158" t="s">
        <v>98</v>
      </c>
      <c r="BJ1" s="158" t="s">
        <v>98</v>
      </c>
      <c r="BK1" s="158" t="s">
        <v>98</v>
      </c>
      <c r="BL1" s="158" t="s">
        <v>98</v>
      </c>
      <c r="BM1" s="158" t="s">
        <v>98</v>
      </c>
      <c r="BN1" s="158" t="s">
        <v>98</v>
      </c>
      <c r="BO1" s="15"/>
      <c r="BQ1" s="9"/>
      <c r="BR1" s="166" t="s">
        <v>99</v>
      </c>
      <c r="BS1" s="93" t="s">
        <v>100</v>
      </c>
      <c r="BU1" s="167" t="s">
        <v>101</v>
      </c>
    </row>
    <row r="2" spans="1:73" s="7" customFormat="1" ht="34.950000000000003" customHeight="1" x14ac:dyDescent="0.25">
      <c r="A2" s="25" t="s">
        <v>102</v>
      </c>
      <c r="B2" s="26" t="s">
        <v>103</v>
      </c>
      <c r="C2" s="27" t="s">
        <v>104</v>
      </c>
      <c r="D2" s="26" t="s">
        <v>105</v>
      </c>
      <c r="E2" s="27" t="s">
        <v>106</v>
      </c>
      <c r="F2" s="26" t="s">
        <v>107</v>
      </c>
      <c r="G2" s="27" t="s">
        <v>108</v>
      </c>
      <c r="H2" s="26" t="s">
        <v>109</v>
      </c>
      <c r="I2" s="61" t="s">
        <v>110</v>
      </c>
      <c r="J2" s="61" t="s">
        <v>111</v>
      </c>
      <c r="K2" s="61" t="s">
        <v>112</v>
      </c>
      <c r="L2" s="26" t="s">
        <v>111</v>
      </c>
      <c r="M2" s="26" t="s">
        <v>112</v>
      </c>
      <c r="N2" s="26" t="s">
        <v>113</v>
      </c>
      <c r="O2" s="26" t="s">
        <v>114</v>
      </c>
      <c r="P2" s="26" t="s">
        <v>115</v>
      </c>
      <c r="Q2" s="26" t="s">
        <v>116</v>
      </c>
      <c r="R2" s="61" t="s">
        <v>117</v>
      </c>
      <c r="S2" s="27" t="s">
        <v>118</v>
      </c>
      <c r="T2" s="27" t="s">
        <v>119</v>
      </c>
      <c r="U2" s="26" t="s">
        <v>120</v>
      </c>
      <c r="V2" s="26" t="s">
        <v>121</v>
      </c>
      <c r="W2" s="26" t="s">
        <v>122</v>
      </c>
      <c r="X2" s="26" t="s">
        <v>123</v>
      </c>
      <c r="Y2" s="114" t="s">
        <v>124</v>
      </c>
      <c r="Z2" s="115" t="s">
        <v>125</v>
      </c>
      <c r="AA2" s="115" t="s">
        <v>126</v>
      </c>
      <c r="AB2" s="116" t="s">
        <v>127</v>
      </c>
      <c r="AC2" s="115" t="s">
        <v>128</v>
      </c>
      <c r="AD2" s="117" t="s">
        <v>129</v>
      </c>
      <c r="AE2" s="115" t="s">
        <v>130</v>
      </c>
      <c r="AF2" s="115" t="s">
        <v>131</v>
      </c>
      <c r="AG2" s="140" t="s">
        <v>132</v>
      </c>
      <c r="AH2" s="141" t="s">
        <v>133</v>
      </c>
      <c r="AI2" s="142" t="s">
        <v>134</v>
      </c>
      <c r="AJ2" s="141" t="s">
        <v>135</v>
      </c>
      <c r="AK2" s="141" t="s">
        <v>136</v>
      </c>
      <c r="AL2" s="143" t="s">
        <v>137</v>
      </c>
      <c r="AM2" s="115" t="s">
        <v>138</v>
      </c>
      <c r="AN2" s="117" t="s">
        <v>139</v>
      </c>
      <c r="AO2" s="115" t="s">
        <v>140</v>
      </c>
      <c r="AP2" s="141" t="s">
        <v>141</v>
      </c>
      <c r="AQ2" s="143" t="s">
        <v>142</v>
      </c>
      <c r="AR2" s="141" t="s">
        <v>143</v>
      </c>
      <c r="AS2" s="142" t="s">
        <v>144</v>
      </c>
      <c r="AT2" s="115" t="s">
        <v>145</v>
      </c>
      <c r="AU2" s="115" t="s">
        <v>146</v>
      </c>
      <c r="AV2" s="26" t="s">
        <v>147</v>
      </c>
      <c r="AW2" s="115" t="s">
        <v>148</v>
      </c>
      <c r="AX2" s="117" t="s">
        <v>149</v>
      </c>
      <c r="AY2" s="26" t="s">
        <v>150</v>
      </c>
      <c r="AZ2" s="27" t="s">
        <v>151</v>
      </c>
      <c r="BA2" s="27" t="s">
        <v>152</v>
      </c>
      <c r="BB2" s="27" t="s">
        <v>153</v>
      </c>
      <c r="BC2" s="27" t="s">
        <v>154</v>
      </c>
      <c r="BD2" s="27" t="s">
        <v>155</v>
      </c>
      <c r="BE2" s="27" t="s">
        <v>156</v>
      </c>
      <c r="BF2" s="27" t="s">
        <v>157</v>
      </c>
      <c r="BG2" s="27" t="s">
        <v>158</v>
      </c>
      <c r="BH2" s="27" t="s">
        <v>159</v>
      </c>
      <c r="BI2" s="27" t="s">
        <v>160</v>
      </c>
      <c r="BJ2" s="27" t="s">
        <v>161</v>
      </c>
      <c r="BK2" s="27" t="s">
        <v>162</v>
      </c>
      <c r="BL2" s="27" t="s">
        <v>163</v>
      </c>
      <c r="BM2" s="27" t="s">
        <v>164</v>
      </c>
      <c r="BN2" s="27" t="s">
        <v>165</v>
      </c>
      <c r="BO2" s="167" t="s">
        <v>166</v>
      </c>
      <c r="BP2" s="167" t="s">
        <v>167</v>
      </c>
      <c r="BQ2" s="167" t="s">
        <v>168</v>
      </c>
      <c r="BR2" s="168" t="s">
        <v>167</v>
      </c>
      <c r="BS2" s="167" t="s">
        <v>167</v>
      </c>
      <c r="BU2" s="167" t="s">
        <v>169</v>
      </c>
    </row>
    <row r="3" spans="1:73" s="8" customFormat="1" ht="15" x14ac:dyDescent="0.25">
      <c r="A3" s="28" t="s">
        <v>170</v>
      </c>
      <c r="B3" s="29" t="s">
        <v>171</v>
      </c>
      <c r="C3" s="28" t="s">
        <v>172</v>
      </c>
      <c r="D3" s="29" t="s">
        <v>173</v>
      </c>
      <c r="E3" s="28" t="s">
        <v>174</v>
      </c>
      <c r="F3" s="29" t="s">
        <v>175</v>
      </c>
      <c r="G3" s="28" t="s">
        <v>176</v>
      </c>
      <c r="H3" s="28" t="s">
        <v>176</v>
      </c>
      <c r="I3" s="62" t="s">
        <v>177</v>
      </c>
      <c r="J3" s="63" t="s">
        <v>178</v>
      </c>
      <c r="K3" s="62" t="s">
        <v>179</v>
      </c>
      <c r="L3" s="28" t="s">
        <v>180</v>
      </c>
      <c r="M3" s="29" t="s">
        <v>181</v>
      </c>
      <c r="N3" s="28" t="s">
        <v>182</v>
      </c>
      <c r="O3" s="29" t="s">
        <v>183</v>
      </c>
      <c r="P3" s="28" t="s">
        <v>184</v>
      </c>
      <c r="Q3" s="29" t="s">
        <v>185</v>
      </c>
      <c r="R3" s="63" t="s">
        <v>186</v>
      </c>
      <c r="S3" s="29" t="s">
        <v>187</v>
      </c>
      <c r="T3" s="28" t="s">
        <v>188</v>
      </c>
      <c r="U3" s="29" t="s">
        <v>189</v>
      </c>
      <c r="V3" s="28" t="s">
        <v>190</v>
      </c>
      <c r="W3" s="29" t="s">
        <v>191</v>
      </c>
      <c r="X3" s="28" t="s">
        <v>192</v>
      </c>
      <c r="Y3" s="118" t="s">
        <v>193</v>
      </c>
      <c r="Z3" s="119" t="s">
        <v>194</v>
      </c>
      <c r="AA3" s="120" t="s">
        <v>195</v>
      </c>
      <c r="AB3" s="28" t="s">
        <v>196</v>
      </c>
      <c r="AC3" s="120" t="s">
        <v>197</v>
      </c>
      <c r="AD3" s="121" t="s">
        <v>198</v>
      </c>
      <c r="AE3" s="120" t="s">
        <v>199</v>
      </c>
      <c r="AF3" s="119" t="s">
        <v>200</v>
      </c>
      <c r="AG3" s="29" t="s">
        <v>201</v>
      </c>
      <c r="AH3" s="119" t="s">
        <v>202</v>
      </c>
      <c r="AI3" s="144" t="s">
        <v>203</v>
      </c>
      <c r="AJ3" s="119" t="s">
        <v>204</v>
      </c>
      <c r="AK3" s="120" t="s">
        <v>205</v>
      </c>
      <c r="AL3" s="28" t="s">
        <v>206</v>
      </c>
      <c r="AM3" s="120" t="s">
        <v>207</v>
      </c>
      <c r="AN3" s="121" t="s">
        <v>208</v>
      </c>
      <c r="AO3" s="120" t="s">
        <v>209</v>
      </c>
      <c r="AP3" s="119" t="s">
        <v>210</v>
      </c>
      <c r="AQ3" s="29" t="s">
        <v>211</v>
      </c>
      <c r="AR3" s="119" t="s">
        <v>212</v>
      </c>
      <c r="AS3" s="144" t="s">
        <v>213</v>
      </c>
      <c r="AT3" s="119" t="s">
        <v>214</v>
      </c>
      <c r="AU3" s="120" t="s">
        <v>215</v>
      </c>
      <c r="AV3" s="28" t="s">
        <v>216</v>
      </c>
      <c r="AW3" s="120" t="s">
        <v>217</v>
      </c>
      <c r="AX3" s="121" t="s">
        <v>218</v>
      </c>
      <c r="AY3" s="29" t="s">
        <v>219</v>
      </c>
      <c r="AZ3" s="28" t="s">
        <v>220</v>
      </c>
      <c r="BA3" s="29" t="s">
        <v>221</v>
      </c>
      <c r="BB3" s="28" t="s">
        <v>222</v>
      </c>
      <c r="BC3" s="29" t="s">
        <v>223</v>
      </c>
      <c r="BD3" s="28" t="s">
        <v>224</v>
      </c>
      <c r="BE3" s="29" t="s">
        <v>225</v>
      </c>
      <c r="BF3" s="28" t="s">
        <v>226</v>
      </c>
      <c r="BG3" s="29" t="s">
        <v>227</v>
      </c>
      <c r="BH3" s="28" t="s">
        <v>228</v>
      </c>
      <c r="BI3" s="29" t="s">
        <v>229</v>
      </c>
      <c r="BJ3" s="28" t="s">
        <v>230</v>
      </c>
      <c r="BK3" s="29" t="s">
        <v>231</v>
      </c>
      <c r="BL3" s="28" t="s">
        <v>232</v>
      </c>
      <c r="BM3" s="29" t="s">
        <v>233</v>
      </c>
      <c r="BN3" s="28" t="s">
        <v>234</v>
      </c>
      <c r="BO3" s="28" t="s">
        <v>235</v>
      </c>
      <c r="BP3" s="28" t="s">
        <v>236</v>
      </c>
      <c r="BQ3" s="28" t="s">
        <v>237</v>
      </c>
      <c r="BR3" s="63" t="s">
        <v>238</v>
      </c>
      <c r="BS3" s="28" t="s">
        <v>239</v>
      </c>
      <c r="BU3" s="167"/>
    </row>
    <row r="4" spans="1:73" s="9" customFormat="1" ht="48" customHeight="1" x14ac:dyDescent="0.25">
      <c r="A4" s="30" t="s">
        <v>0</v>
      </c>
      <c r="B4" s="30" t="s">
        <v>240</v>
      </c>
      <c r="C4" s="30" t="s">
        <v>241</v>
      </c>
      <c r="D4" s="30" t="s">
        <v>242</v>
      </c>
      <c r="E4" s="30" t="s">
        <v>243</v>
      </c>
      <c r="F4" s="30" t="s">
        <v>244</v>
      </c>
      <c r="G4" s="30" t="s">
        <v>245</v>
      </c>
      <c r="H4" s="30" t="s">
        <v>246</v>
      </c>
      <c r="I4" s="64" t="s">
        <v>247</v>
      </c>
      <c r="J4" s="64" t="s">
        <v>248</v>
      </c>
      <c r="K4" s="64" t="s">
        <v>249</v>
      </c>
      <c r="L4" s="30" t="s">
        <v>250</v>
      </c>
      <c r="M4" s="30" t="s">
        <v>251</v>
      </c>
      <c r="N4" s="30" t="s">
        <v>252</v>
      </c>
      <c r="O4" s="30" t="s">
        <v>26</v>
      </c>
      <c r="P4" s="30" t="s">
        <v>253</v>
      </c>
      <c r="Q4" s="30" t="s">
        <v>254</v>
      </c>
      <c r="R4" s="64" t="s">
        <v>255</v>
      </c>
      <c r="S4" s="94" t="s">
        <v>256</v>
      </c>
      <c r="T4" s="30" t="s">
        <v>257</v>
      </c>
      <c r="U4" s="30" t="s">
        <v>258</v>
      </c>
      <c r="V4" s="30" t="s">
        <v>259</v>
      </c>
      <c r="W4" s="30" t="s">
        <v>260</v>
      </c>
      <c r="X4" s="30" t="s">
        <v>261</v>
      </c>
      <c r="Y4" s="122" t="s">
        <v>262</v>
      </c>
      <c r="Z4" s="123" t="s">
        <v>263</v>
      </c>
      <c r="AA4" s="123" t="s">
        <v>264</v>
      </c>
      <c r="AB4" s="30" t="s">
        <v>265</v>
      </c>
      <c r="AC4" s="123" t="s">
        <v>266</v>
      </c>
      <c r="AD4" s="124" t="s">
        <v>267</v>
      </c>
      <c r="AE4" s="123" t="s">
        <v>268</v>
      </c>
      <c r="AF4" s="123" t="s">
        <v>269</v>
      </c>
      <c r="AG4" s="30" t="s">
        <v>270</v>
      </c>
      <c r="AH4" s="123" t="s">
        <v>271</v>
      </c>
      <c r="AI4" s="124" t="s">
        <v>272</v>
      </c>
      <c r="AJ4" s="123" t="s">
        <v>273</v>
      </c>
      <c r="AK4" s="123" t="s">
        <v>274</v>
      </c>
      <c r="AL4" s="30" t="s">
        <v>275</v>
      </c>
      <c r="AM4" s="123" t="s">
        <v>276</v>
      </c>
      <c r="AN4" s="124" t="s">
        <v>277</v>
      </c>
      <c r="AO4" s="123" t="s">
        <v>278</v>
      </c>
      <c r="AP4" s="123" t="s">
        <v>279</v>
      </c>
      <c r="AQ4" s="30" t="s">
        <v>89</v>
      </c>
      <c r="AR4" s="123" t="s">
        <v>280</v>
      </c>
      <c r="AS4" s="124" t="s">
        <v>281</v>
      </c>
      <c r="AT4" s="123" t="s">
        <v>282</v>
      </c>
      <c r="AU4" s="123" t="s">
        <v>283</v>
      </c>
      <c r="AV4" s="30" t="s">
        <v>94</v>
      </c>
      <c r="AW4" s="123" t="s">
        <v>266</v>
      </c>
      <c r="AX4" s="124" t="s">
        <v>284</v>
      </c>
      <c r="AY4" s="30" t="s">
        <v>285</v>
      </c>
      <c r="AZ4" s="30" t="s">
        <v>286</v>
      </c>
      <c r="BA4" s="30" t="s">
        <v>287</v>
      </c>
      <c r="BB4" s="30" t="s">
        <v>288</v>
      </c>
      <c r="BC4" s="30" t="s">
        <v>289</v>
      </c>
      <c r="BD4" s="30" t="s">
        <v>290</v>
      </c>
      <c r="BE4" s="30" t="s">
        <v>291</v>
      </c>
      <c r="BF4" s="30" t="s">
        <v>292</v>
      </c>
      <c r="BG4" s="30" t="s">
        <v>293</v>
      </c>
      <c r="BH4" s="30" t="s">
        <v>294</v>
      </c>
      <c r="BI4" s="30" t="s">
        <v>295</v>
      </c>
      <c r="BJ4" s="30" t="s">
        <v>296</v>
      </c>
      <c r="BK4" s="30" t="s">
        <v>297</v>
      </c>
      <c r="BL4" s="30" t="s">
        <v>298</v>
      </c>
      <c r="BM4" s="30" t="s">
        <v>299</v>
      </c>
      <c r="BN4" s="30" t="s">
        <v>300</v>
      </c>
      <c r="BO4" s="30" t="s">
        <v>301</v>
      </c>
      <c r="BP4" s="30" t="s">
        <v>302</v>
      </c>
      <c r="BQ4" s="30" t="s">
        <v>303</v>
      </c>
      <c r="BR4" s="64" t="s">
        <v>304</v>
      </c>
      <c r="BS4" s="30" t="s">
        <v>305</v>
      </c>
      <c r="BU4" s="184" t="s">
        <v>306</v>
      </c>
    </row>
    <row r="5" spans="1:73" s="10" customFormat="1" ht="15" customHeight="1" x14ac:dyDescent="0.25">
      <c r="A5" s="31"/>
      <c r="B5" s="32"/>
      <c r="C5" s="33"/>
      <c r="D5" s="33"/>
      <c r="E5" s="33"/>
      <c r="F5" s="34"/>
      <c r="G5" s="33"/>
      <c r="H5" s="33"/>
      <c r="I5" s="65"/>
      <c r="J5" s="66" t="s">
        <v>2626</v>
      </c>
      <c r="K5" s="65"/>
      <c r="L5" s="67"/>
      <c r="M5" s="68"/>
      <c r="N5" s="33"/>
      <c r="O5" s="69"/>
      <c r="P5" s="33"/>
      <c r="Q5" s="33"/>
      <c r="R5" s="70"/>
      <c r="S5" s="23"/>
      <c r="T5" s="95"/>
      <c r="U5" s="69"/>
      <c r="V5" s="96"/>
      <c r="W5" s="96"/>
      <c r="X5" s="96"/>
      <c r="Y5" s="125"/>
      <c r="Z5" s="126"/>
      <c r="AA5" s="126"/>
      <c r="AB5" s="127"/>
      <c r="AC5" s="126"/>
      <c r="AD5" s="128"/>
      <c r="AE5" s="126"/>
      <c r="AF5" s="126"/>
      <c r="AG5" s="127"/>
      <c r="AH5" s="126"/>
      <c r="AI5" s="145"/>
      <c r="AJ5" s="126"/>
      <c r="AK5" s="126"/>
      <c r="AL5" s="127"/>
      <c r="AM5" s="126"/>
      <c r="AN5" s="128"/>
      <c r="AO5" s="126"/>
      <c r="AP5" s="126"/>
      <c r="AQ5" s="127"/>
      <c r="AR5" s="126"/>
      <c r="AS5" s="128"/>
      <c r="AT5" s="126"/>
      <c r="AU5" s="126"/>
      <c r="AV5" s="127"/>
      <c r="AW5" s="126"/>
      <c r="AX5" s="159"/>
      <c r="AY5" s="127"/>
      <c r="AZ5" s="160" t="str">
        <f t="shared" ref="AZ5:AZ12" si="0">IFERROR(IF(Z5&gt;100000,"Y","N"),"N")</f>
        <v>N</v>
      </c>
      <c r="BA5" s="160" t="str">
        <f t="shared" ref="BA5:BA12" si="1">IFERROR(IF(AD5&gt;0.5,"Y","N"),"N")</f>
        <v>N</v>
      </c>
      <c r="BB5" s="160" t="str">
        <f t="shared" ref="BB5:BB12" si="2">IFERROR(IF(AE5&gt;100000,"Y","N"),"N")</f>
        <v>N</v>
      </c>
      <c r="BC5" s="160" t="str">
        <f t="shared" ref="BC5:BC12" si="3">IFERROR(IF(AI5&gt;0.5,"Y","N"),"N")</f>
        <v>N</v>
      </c>
      <c r="BD5" s="160" t="str">
        <f t="shared" ref="BD5:BD12" si="4">IFERROR(IF(AJ5&gt;100000,"Y","N"),"N")</f>
        <v>N</v>
      </c>
      <c r="BE5" s="160" t="str">
        <f t="shared" ref="BE5:BE12" si="5">IFERROR(IF(AN5&gt;0.5,"Y","N"),"N")</f>
        <v>N</v>
      </c>
      <c r="BF5" s="160" t="str">
        <f t="shared" ref="BF5:BF12" si="6">IFERROR(IF(AND(AM5-AK5&lt;0,AM5&gt;0),"Y","N"),"N")</f>
        <v>N</v>
      </c>
      <c r="BG5" s="160" t="str">
        <f t="shared" ref="BG5:BG12" si="7">IFERROR(IF(AO5&gt;100000,"Y","N"),"N")</f>
        <v>N</v>
      </c>
      <c r="BH5" s="160" t="str">
        <f t="shared" ref="BH5:BH12" si="8">IFERROR(IF(AS5&gt;0.5,"Y","N"),"N")</f>
        <v>N</v>
      </c>
      <c r="BI5" s="160" t="str">
        <f t="shared" ref="BI5:BI12" si="9">IFERROR(IF(AND(AR5-AP5&lt;0,AR5&gt;0),"Y","N"),"N")</f>
        <v>N</v>
      </c>
      <c r="BJ5" s="160" t="str">
        <f t="shared" ref="BJ5:BJ12" si="10">IFERROR(IF(AT5&gt;100000,"Y","N"),"N")</f>
        <v>N</v>
      </c>
      <c r="BK5" s="160" t="str">
        <f t="shared" ref="BK5:BK12" si="11">IFERROR(IF(AX5&gt;0.5,"Y","N"),"N")</f>
        <v>N</v>
      </c>
      <c r="BL5" s="160" t="str">
        <f t="shared" ref="BL5:BL12" si="12">IF(OR(AZ5="Y",BB5="Y",BD5="Y",BG5="Y",BJ5="Y"),"Y","N")</f>
        <v>N</v>
      </c>
      <c r="BM5" s="160" t="str">
        <f t="shared" ref="BM5:BM12" si="13">IF(OR(BA5="Y",BC5="Y",BE5="Y",BH5="Y",BK5="Y"),"Y","N")</f>
        <v>N</v>
      </c>
      <c r="BN5" s="169" t="str">
        <f t="shared" ref="BN5:BN12" si="14">IF(OR(BF5="Y",BI5="Y"),"Y","N")</f>
        <v>N</v>
      </c>
      <c r="BO5" s="170"/>
      <c r="BP5" s="171"/>
      <c r="BQ5" s="172"/>
      <c r="BR5" s="173"/>
      <c r="BS5" s="174"/>
      <c r="BU5" s="185"/>
    </row>
    <row r="6" spans="1:73" s="10" customFormat="1" ht="15" customHeight="1" x14ac:dyDescent="0.25">
      <c r="A6" s="31"/>
      <c r="B6" s="32"/>
      <c r="C6" s="33"/>
      <c r="D6" s="33"/>
      <c r="E6" s="33"/>
      <c r="F6" s="35" t="s">
        <v>307</v>
      </c>
      <c r="G6" s="33"/>
      <c r="H6" s="36" t="s">
        <v>308</v>
      </c>
      <c r="I6" s="70"/>
      <c r="J6" s="70"/>
      <c r="K6" s="70"/>
      <c r="L6" s="71" t="s">
        <v>309</v>
      </c>
      <c r="M6" s="68"/>
      <c r="N6" s="33"/>
      <c r="O6" s="69"/>
      <c r="P6" s="33"/>
      <c r="Q6" s="33"/>
      <c r="R6" s="70"/>
      <c r="S6" s="23"/>
      <c r="T6" s="95"/>
      <c r="U6" s="69"/>
      <c r="V6" s="96"/>
      <c r="W6" s="96"/>
      <c r="X6" s="96"/>
      <c r="Y6" s="125"/>
      <c r="Z6" s="126"/>
      <c r="AA6" s="126"/>
      <c r="AB6" s="127"/>
      <c r="AC6" s="126"/>
      <c r="AD6" s="128"/>
      <c r="AE6" s="126"/>
      <c r="AF6" s="126"/>
      <c r="AG6" s="127"/>
      <c r="AH6" s="126"/>
      <c r="AI6" s="145"/>
      <c r="AJ6" s="126"/>
      <c r="AK6" s="126"/>
      <c r="AL6" s="127"/>
      <c r="AM6" s="126"/>
      <c r="AN6" s="128"/>
      <c r="AO6" s="126"/>
      <c r="AP6" s="126"/>
      <c r="AQ6" s="127"/>
      <c r="AR6" s="126"/>
      <c r="AS6" s="128"/>
      <c r="AT6" s="126"/>
      <c r="AU6" s="126"/>
      <c r="AV6" s="127"/>
      <c r="AW6" s="126"/>
      <c r="AX6" s="159"/>
      <c r="AY6" s="127"/>
      <c r="AZ6" s="160" t="str">
        <f t="shared" si="0"/>
        <v>N</v>
      </c>
      <c r="BA6" s="160" t="str">
        <f t="shared" si="1"/>
        <v>N</v>
      </c>
      <c r="BB6" s="160" t="str">
        <f t="shared" si="2"/>
        <v>N</v>
      </c>
      <c r="BC6" s="160" t="str">
        <f t="shared" si="3"/>
        <v>N</v>
      </c>
      <c r="BD6" s="160" t="str">
        <f t="shared" si="4"/>
        <v>N</v>
      </c>
      <c r="BE6" s="160" t="str">
        <f t="shared" si="5"/>
        <v>N</v>
      </c>
      <c r="BF6" s="160" t="str">
        <f t="shared" si="6"/>
        <v>N</v>
      </c>
      <c r="BG6" s="160" t="str">
        <f t="shared" si="7"/>
        <v>N</v>
      </c>
      <c r="BH6" s="160" t="str">
        <f t="shared" si="8"/>
        <v>N</v>
      </c>
      <c r="BI6" s="160" t="str">
        <f t="shared" si="9"/>
        <v>N</v>
      </c>
      <c r="BJ6" s="160" t="str">
        <f t="shared" si="10"/>
        <v>N</v>
      </c>
      <c r="BK6" s="160" t="str">
        <f t="shared" si="11"/>
        <v>N</v>
      </c>
      <c r="BL6" s="160" t="str">
        <f t="shared" si="12"/>
        <v>N</v>
      </c>
      <c r="BM6" s="160" t="str">
        <f t="shared" si="13"/>
        <v>N</v>
      </c>
      <c r="BN6" s="169" t="str">
        <f t="shared" si="14"/>
        <v>N</v>
      </c>
      <c r="BO6" s="170"/>
      <c r="BP6" s="171"/>
      <c r="BQ6" s="172"/>
      <c r="BR6" s="173"/>
      <c r="BS6" s="174"/>
      <c r="BU6" s="185"/>
    </row>
    <row r="7" spans="1:73" s="10" customFormat="1" ht="15" customHeight="1" x14ac:dyDescent="0.25">
      <c r="A7" s="31"/>
      <c r="B7" s="32"/>
      <c r="C7" s="33"/>
      <c r="D7" s="33"/>
      <c r="E7" s="33"/>
      <c r="F7" s="35"/>
      <c r="G7" s="33"/>
      <c r="H7" s="36"/>
      <c r="I7" s="70"/>
      <c r="J7" s="70"/>
      <c r="K7" s="70"/>
      <c r="L7" s="71"/>
      <c r="M7" s="68"/>
      <c r="N7" s="33"/>
      <c r="O7" s="69"/>
      <c r="P7" s="33"/>
      <c r="Q7" s="33"/>
      <c r="R7" s="70"/>
      <c r="S7" s="23"/>
      <c r="T7" s="95"/>
      <c r="U7" s="69"/>
      <c r="V7" s="96"/>
      <c r="W7" s="96"/>
      <c r="X7" s="96"/>
      <c r="Y7" s="125"/>
      <c r="Z7" s="126"/>
      <c r="AA7" s="126"/>
      <c r="AB7" s="127"/>
      <c r="AC7" s="126"/>
      <c r="AD7" s="128"/>
      <c r="AE7" s="126"/>
      <c r="AF7" s="126"/>
      <c r="AG7" s="127"/>
      <c r="AH7" s="126"/>
      <c r="AI7" s="145"/>
      <c r="AJ7" s="126"/>
      <c r="AK7" s="126"/>
      <c r="AL7" s="127"/>
      <c r="AM7" s="126"/>
      <c r="AN7" s="128"/>
      <c r="AO7" s="126"/>
      <c r="AP7" s="126"/>
      <c r="AQ7" s="127"/>
      <c r="AR7" s="126"/>
      <c r="AS7" s="128"/>
      <c r="AT7" s="126"/>
      <c r="AU7" s="126"/>
      <c r="AV7" s="127"/>
      <c r="AW7" s="126"/>
      <c r="AX7" s="159"/>
      <c r="AY7" s="127"/>
      <c r="AZ7" s="160"/>
      <c r="BA7" s="160"/>
      <c r="BB7" s="160"/>
      <c r="BC7" s="160"/>
      <c r="BD7" s="160"/>
      <c r="BE7" s="160"/>
      <c r="BF7" s="160"/>
      <c r="BG7" s="160"/>
      <c r="BH7" s="160"/>
      <c r="BI7" s="160"/>
      <c r="BJ7" s="160"/>
      <c r="BK7" s="160"/>
      <c r="BL7" s="160"/>
      <c r="BM7" s="160"/>
      <c r="BN7" s="169"/>
      <c r="BO7" s="170"/>
      <c r="BP7" s="171"/>
      <c r="BQ7" s="172"/>
      <c r="BR7" s="173"/>
      <c r="BS7" s="174"/>
      <c r="BU7" s="185"/>
    </row>
    <row r="8" spans="1:73" s="10" customFormat="1" ht="15" customHeight="1" x14ac:dyDescent="0.25">
      <c r="A8" s="31">
        <v>293</v>
      </c>
      <c r="B8" s="32" t="s">
        <v>2600</v>
      </c>
      <c r="C8" s="33" t="s">
        <v>2592</v>
      </c>
      <c r="D8" s="33" t="s">
        <v>2593</v>
      </c>
      <c r="E8" s="33" t="s">
        <v>2594</v>
      </c>
      <c r="F8" s="34" t="s">
        <v>2595</v>
      </c>
      <c r="G8" s="33" t="s">
        <v>2596</v>
      </c>
      <c r="H8" s="33" t="s">
        <v>2609</v>
      </c>
      <c r="I8" s="70">
        <v>45058</v>
      </c>
      <c r="J8" s="70">
        <v>45113</v>
      </c>
      <c r="K8" s="70" t="s">
        <v>2612</v>
      </c>
      <c r="L8" s="71" t="s">
        <v>2597</v>
      </c>
      <c r="M8" s="68" t="s">
        <v>2598</v>
      </c>
      <c r="N8" s="33">
        <v>2</v>
      </c>
      <c r="O8" s="69" t="str">
        <f t="shared" ref="O8:O15" si="15">IF(N8&lt;1,"1年以内",IF(N8&lt;2,"1-2年",IF(N8&lt;3,"2-3年",IF(N8&lt;5,"3-5年","5年以上"))))</f>
        <v>2-3年</v>
      </c>
      <c r="P8" s="33" t="s">
        <v>2599</v>
      </c>
      <c r="Q8" s="33" t="s">
        <v>2601</v>
      </c>
      <c r="R8" s="70">
        <v>36889</v>
      </c>
      <c r="S8" s="23" t="s">
        <v>2602</v>
      </c>
      <c r="T8" s="95" t="s">
        <v>2603</v>
      </c>
      <c r="U8" s="69" t="str">
        <f t="shared" ref="U8:U15" si="16">IF(OR(BL8="Y",BM8="Y",BN8="Y"),"Y","N")</f>
        <v>N</v>
      </c>
      <c r="V8" s="96" t="s">
        <v>2604</v>
      </c>
      <c r="W8" s="96" t="s">
        <v>2604</v>
      </c>
      <c r="X8" s="96" t="s">
        <v>2605</v>
      </c>
      <c r="Y8" s="129">
        <v>100</v>
      </c>
      <c r="Z8" s="126"/>
      <c r="AA8" s="126"/>
      <c r="AB8" s="127"/>
      <c r="AC8" s="126"/>
      <c r="AD8" s="128"/>
      <c r="AE8" s="126"/>
      <c r="AF8" s="126"/>
      <c r="AG8" s="127"/>
      <c r="AH8" s="126"/>
      <c r="AI8" s="128"/>
      <c r="AJ8" s="126"/>
      <c r="AK8" s="126"/>
      <c r="AL8" s="127"/>
      <c r="AM8" s="126"/>
      <c r="AN8" s="128"/>
      <c r="AO8" s="126"/>
      <c r="AP8" s="126"/>
      <c r="AQ8" s="127"/>
      <c r="AR8" s="126"/>
      <c r="AS8" s="128"/>
      <c r="AT8" s="130">
        <v>43220</v>
      </c>
      <c r="AU8" s="130">
        <f>43220*9/12</f>
        <v>32415</v>
      </c>
      <c r="AV8" s="153">
        <v>2021</v>
      </c>
      <c r="AW8" s="130">
        <f>7024365948.09/10000</f>
        <v>702436.59480900003</v>
      </c>
      <c r="AX8" s="159">
        <f>AU8/AW8</f>
        <v>4.6146513777252714E-2</v>
      </c>
      <c r="AY8" s="76" t="s">
        <v>2610</v>
      </c>
      <c r="AZ8" s="160" t="str">
        <f t="shared" si="0"/>
        <v>N</v>
      </c>
      <c r="BA8" s="160" t="str">
        <f t="shared" si="1"/>
        <v>N</v>
      </c>
      <c r="BB8" s="160" t="str">
        <f t="shared" si="2"/>
        <v>N</v>
      </c>
      <c r="BC8" s="160" t="str">
        <f t="shared" si="3"/>
        <v>N</v>
      </c>
      <c r="BD8" s="160" t="str">
        <f t="shared" si="4"/>
        <v>N</v>
      </c>
      <c r="BE8" s="160" t="str">
        <f t="shared" si="5"/>
        <v>N</v>
      </c>
      <c r="BF8" s="160" t="str">
        <f t="shared" si="6"/>
        <v>N</v>
      </c>
      <c r="BG8" s="160" t="str">
        <f t="shared" si="7"/>
        <v>N</v>
      </c>
      <c r="BH8" s="160" t="str">
        <f t="shared" si="8"/>
        <v>N</v>
      </c>
      <c r="BI8" s="160" t="str">
        <f t="shared" si="9"/>
        <v>N</v>
      </c>
      <c r="BJ8" s="160" t="str">
        <f t="shared" si="10"/>
        <v>N</v>
      </c>
      <c r="BK8" s="160" t="str">
        <f t="shared" si="11"/>
        <v>N</v>
      </c>
      <c r="BL8" s="160" t="str">
        <f t="shared" si="12"/>
        <v>N</v>
      </c>
      <c r="BM8" s="160" t="str">
        <f t="shared" si="13"/>
        <v>N</v>
      </c>
      <c r="BN8" s="169" t="str">
        <f t="shared" si="14"/>
        <v>N</v>
      </c>
      <c r="BO8" s="170" t="s">
        <v>2606</v>
      </c>
      <c r="BP8" s="171" t="str">
        <f t="shared" ref="BP8:BP15" si="17">IF(LEFT(B8,2)="00","深交所主板",IF(LEFT(B8,2)="60","上交所主板",IF(LEFT(B8,2)="30","深交所创业板",IF(LEFT(B8,3)="688","上交所科创板",IF(RIGHT(B8,2)="BJ","北交所","")))))</f>
        <v>上交所主板</v>
      </c>
      <c r="BQ8" s="172" t="s">
        <v>2607</v>
      </c>
      <c r="BR8" s="175">
        <f t="shared" ref="BR8:BR15" si="18">IF(OR(BP8="上交所主板",BP8="深交所主板"),DATE(YEAR(R8)+2,12,31),IF(OR(BP8="上交所科创板",BP8="深交所创业板",,BP8="北交所"),DATE(YEAR(R8)+3,12,31),""))</f>
        <v>37621</v>
      </c>
      <c r="BS8" s="174" t="str">
        <f t="shared" ref="BS8:BS27" si="19">IF(BQ8="是","N",IF(OR(R8="-",LEFT(R8)="A"),"Y",IF(OR(LEFT(M8,4)-YEAR(BR8)&gt;0,RIGHT(M8,4)-(YEAR(R8)-3)&lt;0),"N","Y")))</f>
        <v>N</v>
      </c>
      <c r="BU8" s="185"/>
    </row>
    <row r="9" spans="1:73" s="10" customFormat="1" ht="15" customHeight="1" x14ac:dyDescent="0.25">
      <c r="A9" s="31">
        <v>292</v>
      </c>
      <c r="B9" s="32" t="s">
        <v>2613</v>
      </c>
      <c r="C9" s="33" t="s">
        <v>2614</v>
      </c>
      <c r="D9" s="33" t="s">
        <v>2615</v>
      </c>
      <c r="E9" s="33" t="s">
        <v>2616</v>
      </c>
      <c r="F9" s="34" t="s">
        <v>2617</v>
      </c>
      <c r="G9" s="33" t="s">
        <v>2596</v>
      </c>
      <c r="H9" s="33" t="s">
        <v>2550</v>
      </c>
      <c r="I9" s="70">
        <v>44869</v>
      </c>
      <c r="J9" s="70">
        <v>45107</v>
      </c>
      <c r="K9" s="70" t="s">
        <v>2612</v>
      </c>
      <c r="L9" s="71" t="s">
        <v>2618</v>
      </c>
      <c r="M9" s="68" t="s">
        <v>2619</v>
      </c>
      <c r="N9" s="33">
        <v>13</v>
      </c>
      <c r="O9" s="69" t="str">
        <f>IF(N9&lt;1,"1年以内",IF(N9&lt;2,"1-2年",IF(N9&lt;3,"2-3年",IF(N9&lt;5,"3-5年","5年以上"))))</f>
        <v>5年以上</v>
      </c>
      <c r="P9" s="68" t="s">
        <v>2620</v>
      </c>
      <c r="Q9" s="33" t="s">
        <v>2621</v>
      </c>
      <c r="R9" s="70">
        <v>36770</v>
      </c>
      <c r="S9" s="23" t="s">
        <v>2622</v>
      </c>
      <c r="T9" s="95" t="s">
        <v>2549</v>
      </c>
      <c r="U9" s="69" t="str">
        <f t="shared" si="16"/>
        <v>Y</v>
      </c>
      <c r="V9" s="96" t="s">
        <v>2566</v>
      </c>
      <c r="W9" s="96" t="s">
        <v>2568</v>
      </c>
      <c r="X9" s="96" t="s">
        <v>2623</v>
      </c>
      <c r="Y9" s="129">
        <v>1000</v>
      </c>
      <c r="Z9" s="126"/>
      <c r="AA9" s="126"/>
      <c r="AB9" s="127"/>
      <c r="AC9" s="126"/>
      <c r="AD9" s="128"/>
      <c r="AE9" s="130">
        <f>10333448392.98/10000</f>
        <v>1033344.839298</v>
      </c>
      <c r="AF9" s="130">
        <f>1495996753.28/10000</f>
        <v>149599.67532799998</v>
      </c>
      <c r="AG9" s="139">
        <v>2015</v>
      </c>
      <c r="AH9" s="146">
        <f>5840595229.28/10000</f>
        <v>584059.52292799996</v>
      </c>
      <c r="AI9" s="128">
        <f t="shared" ref="AI9:AI14" si="20">AF9/AH9</f>
        <v>0.25613772133708007</v>
      </c>
      <c r="AJ9" s="130">
        <f>934451757.26/10000</f>
        <v>93445.175726000001</v>
      </c>
      <c r="AK9" s="130">
        <f>141627520.94/10000</f>
        <v>14162.752093999999</v>
      </c>
      <c r="AL9" s="139">
        <v>2016</v>
      </c>
      <c r="AM9" s="130">
        <f>128154856.31/10000</f>
        <v>12815.485631</v>
      </c>
      <c r="AN9" s="128">
        <f t="shared" ref="AN9:AN14" si="21">AK9/AM9</f>
        <v>1.1051280069903111</v>
      </c>
      <c r="AO9" s="126"/>
      <c r="AP9" s="126"/>
      <c r="AQ9" s="127"/>
      <c r="AR9" s="126"/>
      <c r="AS9" s="128"/>
      <c r="AT9" s="126"/>
      <c r="AU9" s="126"/>
      <c r="AV9" s="127"/>
      <c r="AW9" s="126"/>
      <c r="AX9" s="159"/>
      <c r="AY9" s="76" t="s">
        <v>2624</v>
      </c>
      <c r="AZ9" s="160" t="str">
        <f>IFERROR(IF(Z9&gt;100000,"Y","N"),"N")</f>
        <v>N</v>
      </c>
      <c r="BA9" s="160" t="str">
        <f>IFERROR(IF(AD9&gt;0.5,"Y","N"),"N")</f>
        <v>N</v>
      </c>
      <c r="BB9" s="160" t="str">
        <f>IFERROR(IF(AE9&gt;100000,"Y","N"),"N")</f>
        <v>Y</v>
      </c>
      <c r="BC9" s="160" t="str">
        <f>IFERROR(IF(AI9&gt;0.5,"Y","N"),"N")</f>
        <v>N</v>
      </c>
      <c r="BD9" s="160" t="str">
        <f>IFERROR(IF(AJ9&gt;100000,"Y","N"),"N")</f>
        <v>N</v>
      </c>
      <c r="BE9" s="160" t="str">
        <f>IFERROR(IF(AN9&gt;0.5,"Y","N"),"N")</f>
        <v>Y</v>
      </c>
      <c r="BF9" s="160" t="str">
        <f>IFERROR(IF(AND(AM9-AK9&lt;0,AM9&gt;0),"Y","N"),"N")</f>
        <v>Y</v>
      </c>
      <c r="BG9" s="160" t="str">
        <f>IFERROR(IF(AO9&gt;100000,"Y","N"),"N")</f>
        <v>N</v>
      </c>
      <c r="BH9" s="160" t="str">
        <f>IFERROR(IF(AS9&gt;0.5,"Y","N"),"N")</f>
        <v>N</v>
      </c>
      <c r="BI9" s="160" t="str">
        <f>IFERROR(IF(AND(AR9-AP9&lt;0,AR9&gt;0),"Y","N"),"N")</f>
        <v>N</v>
      </c>
      <c r="BJ9" s="160" t="str">
        <f>IFERROR(IF(AT9&gt;100000,"Y","N"),"N")</f>
        <v>N</v>
      </c>
      <c r="BK9" s="160" t="str">
        <f>IFERROR(IF(AX9&gt;0.5,"Y","N"),"N")</f>
        <v>N</v>
      </c>
      <c r="BL9" s="160" t="str">
        <f>IF(OR(AZ9="Y",BB9="Y",BD9="Y",BG9="Y",BJ9="Y"),"Y","N")</f>
        <v>Y</v>
      </c>
      <c r="BM9" s="160" t="str">
        <f>IF(OR(BA9="Y",BC9="Y",BE9="Y",BH9="Y",BK9="Y"),"Y","N")</f>
        <v>Y</v>
      </c>
      <c r="BN9" s="169" t="str">
        <f>IF(OR(BF9="Y",BI9="Y"),"Y","N")</f>
        <v>Y</v>
      </c>
      <c r="BO9" s="170" t="s">
        <v>2625</v>
      </c>
      <c r="BP9" s="171" t="str">
        <f>IF(LEFT(B9,2)="00","深交所主板",IF(LEFT(B9,2)="60","上交所主板",IF(LEFT(B9,2)="30","深交所创业板",IF(LEFT(B9,3)="688","上交所科创板",IF(RIGHT(B9,2)="BJ","北交所","")))))</f>
        <v>上交所主板</v>
      </c>
      <c r="BQ9" s="172" t="s">
        <v>2549</v>
      </c>
      <c r="BR9" s="175">
        <f>IF(OR(BP9="上交所主板",BP9="深交所主板"),DATE(YEAR(R9)+2,12,31),IF(OR(BP9="上交所科创板",BP9="深交所创业板",,BP9="北交所"),DATE(YEAR(R9)+3,12,31),""))</f>
        <v>37621</v>
      </c>
      <c r="BS9" s="174" t="str">
        <f t="shared" si="19"/>
        <v>N</v>
      </c>
      <c r="BU9" s="185"/>
    </row>
    <row r="10" spans="1:73" s="10" customFormat="1" ht="15" customHeight="1" x14ac:dyDescent="0.25">
      <c r="A10" s="31">
        <v>291</v>
      </c>
      <c r="B10" s="32" t="s">
        <v>2578</v>
      </c>
      <c r="C10" s="33" t="s">
        <v>2579</v>
      </c>
      <c r="D10" s="33" t="s">
        <v>2580</v>
      </c>
      <c r="E10" s="33" t="s">
        <v>2581</v>
      </c>
      <c r="F10" s="34" t="s">
        <v>2628</v>
      </c>
      <c r="G10" s="33" t="s">
        <v>2559</v>
      </c>
      <c r="H10" s="33" t="s">
        <v>2591</v>
      </c>
      <c r="I10" s="70">
        <v>45052</v>
      </c>
      <c r="J10" s="70">
        <v>45107</v>
      </c>
      <c r="K10" s="70">
        <v>45114</v>
      </c>
      <c r="L10" s="71" t="s">
        <v>2582</v>
      </c>
      <c r="M10" s="68" t="s">
        <v>2583</v>
      </c>
      <c r="N10" s="33">
        <v>2.5</v>
      </c>
      <c r="O10" s="69" t="str">
        <f t="shared" si="15"/>
        <v>2-3年</v>
      </c>
      <c r="P10" s="33" t="s">
        <v>2584</v>
      </c>
      <c r="Q10" s="33" t="s">
        <v>2585</v>
      </c>
      <c r="R10" s="70">
        <v>40695</v>
      </c>
      <c r="S10" s="23" t="s">
        <v>2586</v>
      </c>
      <c r="T10" s="95" t="s">
        <v>2603</v>
      </c>
      <c r="U10" s="69" t="str">
        <f t="shared" si="16"/>
        <v>Y</v>
      </c>
      <c r="V10" s="96" t="s">
        <v>2588</v>
      </c>
      <c r="W10" s="96" t="s">
        <v>2589</v>
      </c>
      <c r="X10" s="96" t="s">
        <v>2590</v>
      </c>
      <c r="Y10" s="129">
        <v>120</v>
      </c>
      <c r="Z10" s="126"/>
      <c r="AA10" s="126"/>
      <c r="AB10" s="127"/>
      <c r="AC10" s="126"/>
      <c r="AD10" s="128"/>
      <c r="AE10" s="130">
        <f>(597647922.97+1457764040.4+ 785354194.46)/10000</f>
        <v>284076.61578300002</v>
      </c>
      <c r="AF10" s="130">
        <f>1457764040.4/10000</f>
        <v>145776.40404000002</v>
      </c>
      <c r="AG10" s="139">
        <v>2021</v>
      </c>
      <c r="AH10" s="258">
        <f>5379903593.41/10000</f>
        <v>537990.35934099997</v>
      </c>
      <c r="AI10" s="128">
        <f t="shared" si="20"/>
        <v>0.27096471434649083</v>
      </c>
      <c r="AJ10" s="130">
        <f>(1658676.1+13480525.46+8124864.47)/10000</f>
        <v>2326.4066029999999</v>
      </c>
      <c r="AK10" s="130">
        <f>13480525.46/10000</f>
        <v>1348.0525460000001</v>
      </c>
      <c r="AL10" s="139">
        <v>2021</v>
      </c>
      <c r="AM10" s="130">
        <f>209097033.47/10000</f>
        <v>20909.703346999999</v>
      </c>
      <c r="AN10" s="128">
        <f t="shared" si="21"/>
        <v>6.4470189922297999E-2</v>
      </c>
      <c r="AO10" s="126"/>
      <c r="AP10" s="126"/>
      <c r="AQ10" s="127"/>
      <c r="AR10" s="126"/>
      <c r="AS10" s="128"/>
      <c r="AT10" s="126"/>
      <c r="AU10" s="126"/>
      <c r="AV10" s="127"/>
      <c r="AW10" s="126"/>
      <c r="AX10" s="159"/>
      <c r="AY10" s="76" t="s">
        <v>2611</v>
      </c>
      <c r="AZ10" s="160" t="str">
        <f t="shared" si="0"/>
        <v>N</v>
      </c>
      <c r="BA10" s="160" t="str">
        <f t="shared" si="1"/>
        <v>N</v>
      </c>
      <c r="BB10" s="160" t="str">
        <f t="shared" si="2"/>
        <v>Y</v>
      </c>
      <c r="BC10" s="160" t="str">
        <f t="shared" si="3"/>
        <v>N</v>
      </c>
      <c r="BD10" s="160" t="str">
        <f t="shared" si="4"/>
        <v>N</v>
      </c>
      <c r="BE10" s="160" t="str">
        <f t="shared" si="5"/>
        <v>N</v>
      </c>
      <c r="BF10" s="160" t="str">
        <f t="shared" si="6"/>
        <v>N</v>
      </c>
      <c r="BG10" s="160" t="str">
        <f t="shared" si="7"/>
        <v>N</v>
      </c>
      <c r="BH10" s="160" t="str">
        <f t="shared" si="8"/>
        <v>N</v>
      </c>
      <c r="BI10" s="160" t="str">
        <f t="shared" si="9"/>
        <v>N</v>
      </c>
      <c r="BJ10" s="160" t="str">
        <f t="shared" si="10"/>
        <v>N</v>
      </c>
      <c r="BK10" s="160" t="str">
        <f t="shared" si="11"/>
        <v>N</v>
      </c>
      <c r="BL10" s="160" t="str">
        <f t="shared" si="12"/>
        <v>Y</v>
      </c>
      <c r="BM10" s="160" t="str">
        <f t="shared" si="13"/>
        <v>N</v>
      </c>
      <c r="BN10" s="169" t="str">
        <f t="shared" si="14"/>
        <v>N</v>
      </c>
      <c r="BO10" s="260" t="s">
        <v>2570</v>
      </c>
      <c r="BP10" s="171" t="str">
        <f t="shared" si="17"/>
        <v>深交所主板</v>
      </c>
      <c r="BQ10" s="172" t="s">
        <v>2587</v>
      </c>
      <c r="BR10" s="175">
        <f t="shared" si="18"/>
        <v>41639</v>
      </c>
      <c r="BS10" s="174" t="str">
        <f t="shared" si="19"/>
        <v>N</v>
      </c>
      <c r="BU10" s="185"/>
    </row>
    <row r="11" spans="1:73" s="10" customFormat="1" ht="15" customHeight="1" x14ac:dyDescent="0.25">
      <c r="A11" s="31">
        <v>290</v>
      </c>
      <c r="B11" s="32" t="s">
        <v>310</v>
      </c>
      <c r="C11" s="33" t="s">
        <v>311</v>
      </c>
      <c r="D11" s="262" t="s">
        <v>2557</v>
      </c>
      <c r="E11" s="262" t="s">
        <v>2558</v>
      </c>
      <c r="F11" s="269" t="s">
        <v>2571</v>
      </c>
      <c r="G11" s="262" t="s">
        <v>2559</v>
      </c>
      <c r="H11" s="262" t="s">
        <v>2560</v>
      </c>
      <c r="I11" s="70">
        <v>44875</v>
      </c>
      <c r="J11" s="70">
        <v>45092</v>
      </c>
      <c r="K11" s="70" t="s">
        <v>312</v>
      </c>
      <c r="L11" s="71" t="s">
        <v>2577</v>
      </c>
      <c r="M11" s="266" t="s">
        <v>2561</v>
      </c>
      <c r="N11" s="33">
        <v>2</v>
      </c>
      <c r="O11" s="69" t="str">
        <f t="shared" si="15"/>
        <v>2-3年</v>
      </c>
      <c r="P11" s="262" t="s">
        <v>2562</v>
      </c>
      <c r="Q11" s="262" t="s">
        <v>2563</v>
      </c>
      <c r="R11" s="70">
        <v>42845</v>
      </c>
      <c r="S11" s="267" t="s">
        <v>2564</v>
      </c>
      <c r="T11" s="268" t="s">
        <v>2565</v>
      </c>
      <c r="U11" s="69" t="str">
        <f t="shared" si="16"/>
        <v>N</v>
      </c>
      <c r="V11" s="263" t="s">
        <v>2566</v>
      </c>
      <c r="W11" s="263" t="s">
        <v>2568</v>
      </c>
      <c r="X11" s="263" t="s">
        <v>2569</v>
      </c>
      <c r="Y11" s="129">
        <v>200</v>
      </c>
      <c r="Z11" s="126"/>
      <c r="AA11" s="126"/>
      <c r="AB11" s="127"/>
      <c r="AC11" s="126"/>
      <c r="AD11" s="128"/>
      <c r="AE11" s="130">
        <f>(35133.19+28132.96)</f>
        <v>63266.15</v>
      </c>
      <c r="AF11" s="130">
        <v>35133.19</v>
      </c>
      <c r="AG11" s="139">
        <v>2019</v>
      </c>
      <c r="AH11" s="258">
        <f>2372534956.68/10000</f>
        <v>237253.49566799999</v>
      </c>
      <c r="AI11" s="128">
        <f t="shared" si="20"/>
        <v>0.14808291823511646</v>
      </c>
      <c r="AJ11" s="130">
        <f>(6378.67+5345.29)</f>
        <v>11723.96</v>
      </c>
      <c r="AK11" s="130">
        <v>6378.67</v>
      </c>
      <c r="AL11" s="139">
        <v>2019</v>
      </c>
      <c r="AM11" s="130">
        <f>194322005.04/10000</f>
        <v>19432.200504</v>
      </c>
      <c r="AN11" s="128">
        <f t="shared" si="21"/>
        <v>0.32825258254653095</v>
      </c>
      <c r="AO11" s="126"/>
      <c r="AP11" s="126"/>
      <c r="AQ11" s="127"/>
      <c r="AR11" s="126"/>
      <c r="AS11" s="128"/>
      <c r="AT11" s="126"/>
      <c r="AU11" s="126"/>
      <c r="AV11" s="127"/>
      <c r="AW11" s="126"/>
      <c r="AX11" s="159"/>
      <c r="AY11" s="76" t="s">
        <v>2572</v>
      </c>
      <c r="AZ11" s="160" t="str">
        <f t="shared" si="0"/>
        <v>N</v>
      </c>
      <c r="BA11" s="160" t="str">
        <f t="shared" si="1"/>
        <v>N</v>
      </c>
      <c r="BB11" s="160" t="str">
        <f t="shared" si="2"/>
        <v>N</v>
      </c>
      <c r="BC11" s="160" t="str">
        <f t="shared" si="3"/>
        <v>N</v>
      </c>
      <c r="BD11" s="160" t="str">
        <f t="shared" si="4"/>
        <v>N</v>
      </c>
      <c r="BE11" s="160" t="str">
        <f t="shared" si="5"/>
        <v>N</v>
      </c>
      <c r="BF11" s="160" t="str">
        <f t="shared" si="6"/>
        <v>N</v>
      </c>
      <c r="BG11" s="160" t="str">
        <f t="shared" si="7"/>
        <v>N</v>
      </c>
      <c r="BH11" s="160" t="str">
        <f t="shared" si="8"/>
        <v>N</v>
      </c>
      <c r="BI11" s="160" t="str">
        <f t="shared" si="9"/>
        <v>N</v>
      </c>
      <c r="BJ11" s="160" t="str">
        <f t="shared" si="10"/>
        <v>N</v>
      </c>
      <c r="BK11" s="160" t="str">
        <f t="shared" si="11"/>
        <v>N</v>
      </c>
      <c r="BL11" s="160" t="str">
        <f t="shared" si="12"/>
        <v>N</v>
      </c>
      <c r="BM11" s="160" t="str">
        <f t="shared" si="13"/>
        <v>N</v>
      </c>
      <c r="BN11" s="169" t="str">
        <f t="shared" si="14"/>
        <v>N</v>
      </c>
      <c r="BO11" s="260" t="s">
        <v>2570</v>
      </c>
      <c r="BP11" s="171" t="str">
        <f t="shared" si="17"/>
        <v>上交所主板</v>
      </c>
      <c r="BQ11" s="261" t="s">
        <v>2565</v>
      </c>
      <c r="BR11" s="175">
        <f t="shared" si="18"/>
        <v>43830</v>
      </c>
      <c r="BS11" s="174" t="str">
        <f t="shared" si="19"/>
        <v>Y</v>
      </c>
      <c r="BU11" s="185"/>
    </row>
    <row r="12" spans="1:73" s="10" customFormat="1" ht="15" customHeight="1" x14ac:dyDescent="0.25">
      <c r="A12" s="31">
        <v>289</v>
      </c>
      <c r="B12" s="270" t="s">
        <v>2573</v>
      </c>
      <c r="C12" s="262" t="s">
        <v>2574</v>
      </c>
      <c r="D12" s="33" t="s">
        <v>313</v>
      </c>
      <c r="E12" s="33" t="s">
        <v>314</v>
      </c>
      <c r="F12" s="269" t="s">
        <v>2575</v>
      </c>
      <c r="G12" s="33" t="s">
        <v>315</v>
      </c>
      <c r="H12" s="262" t="s">
        <v>2550</v>
      </c>
      <c r="I12" s="70">
        <v>44930</v>
      </c>
      <c r="J12" s="70">
        <v>45086</v>
      </c>
      <c r="K12" s="70">
        <v>45098</v>
      </c>
      <c r="L12" s="71" t="s">
        <v>2576</v>
      </c>
      <c r="M12" s="68">
        <v>2021</v>
      </c>
      <c r="N12" s="33">
        <v>1</v>
      </c>
      <c r="O12" s="69" t="str">
        <f t="shared" si="15"/>
        <v>1-2年</v>
      </c>
      <c r="P12" s="262" t="s">
        <v>2551</v>
      </c>
      <c r="Q12" s="262" t="s">
        <v>2552</v>
      </c>
      <c r="R12" s="70">
        <v>44329</v>
      </c>
      <c r="S12" s="23" t="s">
        <v>316</v>
      </c>
      <c r="T12" s="95" t="s">
        <v>317</v>
      </c>
      <c r="U12" s="69" t="str">
        <f t="shared" si="16"/>
        <v>Y</v>
      </c>
      <c r="V12" s="96" t="s">
        <v>318</v>
      </c>
      <c r="W12" s="263" t="s">
        <v>2553</v>
      </c>
      <c r="X12" s="96" t="s">
        <v>320</v>
      </c>
      <c r="Y12" s="129">
        <v>300</v>
      </c>
      <c r="Z12" s="126"/>
      <c r="AA12" s="126"/>
      <c r="AB12" s="127"/>
      <c r="AC12" s="126"/>
      <c r="AD12" s="128"/>
      <c r="AE12" s="130">
        <f>103838981.52/10000</f>
        <v>10383.898152</v>
      </c>
      <c r="AF12" s="130">
        <f>103838981.52/10000</f>
        <v>10383.898152</v>
      </c>
      <c r="AG12" s="139">
        <v>2021</v>
      </c>
      <c r="AH12" s="258">
        <f>316400916.59/10000</f>
        <v>31640.091658999998</v>
      </c>
      <c r="AI12" s="128">
        <f t="shared" si="20"/>
        <v>0.32818799211810462</v>
      </c>
      <c r="AJ12" s="130">
        <f>27072877.87/10000</f>
        <v>2707.2877870000002</v>
      </c>
      <c r="AK12" s="130">
        <f>27072877.87/10000</f>
        <v>2707.2877870000002</v>
      </c>
      <c r="AL12" s="139">
        <v>2021</v>
      </c>
      <c r="AM12" s="130">
        <f>12607628.86/10000</f>
        <v>1260.762886</v>
      </c>
      <c r="AN12" s="128">
        <f t="shared" si="21"/>
        <v>2.1473409608283793</v>
      </c>
      <c r="AO12" s="126"/>
      <c r="AP12" s="126"/>
      <c r="AQ12" s="127"/>
      <c r="AR12" s="126"/>
      <c r="AS12" s="128"/>
      <c r="AT12" s="126"/>
      <c r="AU12" s="126"/>
      <c r="AV12" s="127"/>
      <c r="AW12" s="126"/>
      <c r="AX12" s="159"/>
      <c r="AY12" s="265" t="s">
        <v>2556</v>
      </c>
      <c r="AZ12" s="160" t="str">
        <f t="shared" si="0"/>
        <v>N</v>
      </c>
      <c r="BA12" s="160" t="str">
        <f t="shared" si="1"/>
        <v>N</v>
      </c>
      <c r="BB12" s="160" t="str">
        <f t="shared" si="2"/>
        <v>N</v>
      </c>
      <c r="BC12" s="160" t="str">
        <f t="shared" si="3"/>
        <v>N</v>
      </c>
      <c r="BD12" s="160" t="str">
        <f t="shared" si="4"/>
        <v>N</v>
      </c>
      <c r="BE12" s="160" t="str">
        <f t="shared" si="5"/>
        <v>Y</v>
      </c>
      <c r="BF12" s="160" t="str">
        <f t="shared" si="6"/>
        <v>Y</v>
      </c>
      <c r="BG12" s="160" t="str">
        <f t="shared" si="7"/>
        <v>N</v>
      </c>
      <c r="BH12" s="160" t="str">
        <f t="shared" si="8"/>
        <v>N</v>
      </c>
      <c r="BI12" s="160" t="str">
        <f t="shared" si="9"/>
        <v>N</v>
      </c>
      <c r="BJ12" s="160" t="str">
        <f t="shared" si="10"/>
        <v>N</v>
      </c>
      <c r="BK12" s="160" t="str">
        <f t="shared" si="11"/>
        <v>N</v>
      </c>
      <c r="BL12" s="160" t="str">
        <f t="shared" si="12"/>
        <v>N</v>
      </c>
      <c r="BM12" s="160" t="str">
        <f t="shared" si="13"/>
        <v>Y</v>
      </c>
      <c r="BN12" s="169" t="str">
        <f t="shared" si="14"/>
        <v>Y</v>
      </c>
      <c r="BO12" s="260" t="s">
        <v>2548</v>
      </c>
      <c r="BP12" s="171" t="str">
        <f t="shared" si="17"/>
        <v>上交所科创板</v>
      </c>
      <c r="BQ12" s="261" t="s">
        <v>2549</v>
      </c>
      <c r="BR12" s="175">
        <f t="shared" si="18"/>
        <v>45657</v>
      </c>
      <c r="BS12" s="174" t="str">
        <f t="shared" si="19"/>
        <v>Y</v>
      </c>
      <c r="BU12" s="185"/>
    </row>
    <row r="13" spans="1:73" s="10" customFormat="1" ht="15" customHeight="1" x14ac:dyDescent="0.25">
      <c r="A13" s="31">
        <v>288</v>
      </c>
      <c r="B13" s="32" t="s">
        <v>321</v>
      </c>
      <c r="C13" s="33" t="s">
        <v>322</v>
      </c>
      <c r="D13" s="33" t="s">
        <v>323</v>
      </c>
      <c r="E13" s="33" t="s">
        <v>324</v>
      </c>
      <c r="F13" s="34" t="s">
        <v>325</v>
      </c>
      <c r="G13" s="33" t="s">
        <v>326</v>
      </c>
      <c r="H13" s="33" t="s">
        <v>327</v>
      </c>
      <c r="I13" s="70">
        <v>44785</v>
      </c>
      <c r="J13" s="70">
        <v>45079</v>
      </c>
      <c r="K13" s="65" t="s">
        <v>312</v>
      </c>
      <c r="L13" s="71" t="s">
        <v>328</v>
      </c>
      <c r="M13" s="68" t="s">
        <v>329</v>
      </c>
      <c r="N13" s="33">
        <v>5</v>
      </c>
      <c r="O13" s="69" t="str">
        <f t="shared" si="15"/>
        <v>5年以上</v>
      </c>
      <c r="P13" s="33" t="s">
        <v>330</v>
      </c>
      <c r="Q13" s="33" t="s">
        <v>331</v>
      </c>
      <c r="R13" s="70">
        <v>37719</v>
      </c>
      <c r="S13" s="23" t="s">
        <v>332</v>
      </c>
      <c r="T13" s="95" t="s">
        <v>317</v>
      </c>
      <c r="U13" s="69" t="str">
        <f t="shared" si="16"/>
        <v>Y</v>
      </c>
      <c r="V13" s="33" t="s">
        <v>333</v>
      </c>
      <c r="W13" s="33" t="s">
        <v>319</v>
      </c>
      <c r="X13" s="97" t="s">
        <v>334</v>
      </c>
      <c r="Y13" s="129">
        <v>600</v>
      </c>
      <c r="Z13" s="126"/>
      <c r="AA13" s="126"/>
      <c r="AB13" s="127"/>
      <c r="AC13" s="126"/>
      <c r="AD13" s="128"/>
      <c r="AE13" s="130">
        <f>43458.54+85360.2+77242.79+165951.3+8217.08</f>
        <v>380229.91</v>
      </c>
      <c r="AF13" s="130">
        <v>165951.29999999999</v>
      </c>
      <c r="AG13" s="139">
        <v>2019</v>
      </c>
      <c r="AH13" s="146">
        <f>2651512287.3/10000</f>
        <v>265151.22873000003</v>
      </c>
      <c r="AI13" s="128">
        <f t="shared" si="20"/>
        <v>0.62587415036641592</v>
      </c>
      <c r="AJ13" s="130">
        <f>788.03+1977.61+1871.3+1353.23+1223.17</f>
        <v>7213.34</v>
      </c>
      <c r="AK13" s="130">
        <v>1977.61</v>
      </c>
      <c r="AL13" s="139">
        <v>2017</v>
      </c>
      <c r="AM13" s="130">
        <f>26781226.65/10000</f>
        <v>2678.1226649999999</v>
      </c>
      <c r="AN13" s="128">
        <f t="shared" si="21"/>
        <v>0.73843144895680124</v>
      </c>
      <c r="AO13" s="126"/>
      <c r="AP13" s="126"/>
      <c r="AQ13" s="127"/>
      <c r="AR13" s="126"/>
      <c r="AS13" s="128"/>
      <c r="AT13" s="126"/>
      <c r="AU13" s="126"/>
      <c r="AV13" s="127"/>
      <c r="AW13" s="126"/>
      <c r="AX13" s="159"/>
      <c r="AY13" s="265" t="s">
        <v>2555</v>
      </c>
      <c r="AZ13" s="160" t="str">
        <f>IFERROR(IF(Z13&gt;100000,"Y","N"),"N")</f>
        <v>N</v>
      </c>
      <c r="BA13" s="160" t="str">
        <f>IFERROR(IF(AD13&gt;0.5,"Y","N"),"N")</f>
        <v>N</v>
      </c>
      <c r="BB13" s="160" t="str">
        <f>IFERROR(IF(AE13&gt;100000,"Y","N"),"N")</f>
        <v>Y</v>
      </c>
      <c r="BC13" s="160" t="str">
        <f>IFERROR(IF(AI13&gt;0.5,"Y","N"),"N")</f>
        <v>Y</v>
      </c>
      <c r="BD13" s="160" t="str">
        <f>IFERROR(IF(AJ13&gt;100000,"Y","N"),"N")</f>
        <v>N</v>
      </c>
      <c r="BE13" s="160" t="str">
        <f>IFERROR(IF(AN13&gt;0.5,"Y","N"),"N")</f>
        <v>Y</v>
      </c>
      <c r="BF13" s="160" t="str">
        <f>IFERROR(IF(AND(AM13-AK13&lt;0,AM13&gt;0),"Y","N"),"N")</f>
        <v>N</v>
      </c>
      <c r="BG13" s="160" t="str">
        <f>IFERROR(IF(AO13&gt;100000,"Y","N"),"N")</f>
        <v>N</v>
      </c>
      <c r="BH13" s="160" t="str">
        <f>IFERROR(IF(AS13&gt;0.5,"Y","N"),"N")</f>
        <v>N</v>
      </c>
      <c r="BI13" s="160" t="str">
        <f>IFERROR(IF(AND(AR13-AP13&lt;0,AR13&gt;0),"Y","N"),"N")</f>
        <v>N</v>
      </c>
      <c r="BJ13" s="160" t="str">
        <f>IFERROR(IF(AT13&gt;100000,"Y","N"),"N")</f>
        <v>N</v>
      </c>
      <c r="BK13" s="160" t="str">
        <f>IFERROR(IF(AX13&gt;0.5,"Y","N"),"N")</f>
        <v>N</v>
      </c>
      <c r="BL13" s="160" t="str">
        <f t="shared" ref="BL13:BM15" si="22">IF(OR(AZ13="Y",BB13="Y",BD13="Y",BG13="Y",BJ13="Y"),"Y","N")</f>
        <v>Y</v>
      </c>
      <c r="BM13" s="160" t="str">
        <f t="shared" si="22"/>
        <v>Y</v>
      </c>
      <c r="BN13" s="169" t="str">
        <f>IF(OR(BF13="Y",BI13="Y"),"Y","N")</f>
        <v>N</v>
      </c>
      <c r="BO13" s="170" t="s">
        <v>335</v>
      </c>
      <c r="BP13" s="171" t="str">
        <f t="shared" si="17"/>
        <v>上交所主板</v>
      </c>
      <c r="BQ13" s="172" t="s">
        <v>317</v>
      </c>
      <c r="BR13" s="175">
        <f t="shared" si="18"/>
        <v>38717</v>
      </c>
      <c r="BS13" s="174" t="str">
        <f t="shared" si="19"/>
        <v>N</v>
      </c>
      <c r="BU13" s="185"/>
    </row>
    <row r="14" spans="1:73" s="10" customFormat="1" ht="15" customHeight="1" x14ac:dyDescent="0.25">
      <c r="A14" s="31">
        <v>287</v>
      </c>
      <c r="B14" s="32" t="s">
        <v>336</v>
      </c>
      <c r="C14" s="33" t="s">
        <v>337</v>
      </c>
      <c r="D14" s="33" t="s">
        <v>313</v>
      </c>
      <c r="E14" s="33" t="s">
        <v>338</v>
      </c>
      <c r="F14" s="34" t="s">
        <v>339</v>
      </c>
      <c r="G14" s="33" t="s">
        <v>315</v>
      </c>
      <c r="H14" s="33" t="s">
        <v>327</v>
      </c>
      <c r="I14" s="70">
        <v>44578</v>
      </c>
      <c r="J14" s="70">
        <v>45056</v>
      </c>
      <c r="K14" s="65" t="s">
        <v>312</v>
      </c>
      <c r="L14" s="71" t="s">
        <v>340</v>
      </c>
      <c r="M14" s="68" t="s">
        <v>341</v>
      </c>
      <c r="N14" s="33">
        <v>2.5</v>
      </c>
      <c r="O14" s="69" t="str">
        <f t="shared" si="15"/>
        <v>2-3年</v>
      </c>
      <c r="P14" s="33" t="s">
        <v>342</v>
      </c>
      <c r="Q14" s="33" t="s">
        <v>343</v>
      </c>
      <c r="R14" s="70">
        <v>42965</v>
      </c>
      <c r="S14" s="23" t="s">
        <v>344</v>
      </c>
      <c r="T14" s="95" t="s">
        <v>345</v>
      </c>
      <c r="U14" s="69" t="str">
        <f t="shared" si="16"/>
        <v>N</v>
      </c>
      <c r="V14" s="33" t="s">
        <v>333</v>
      </c>
      <c r="W14" s="33" t="s">
        <v>346</v>
      </c>
      <c r="X14" s="97" t="s">
        <v>334</v>
      </c>
      <c r="Y14" s="129">
        <v>5700</v>
      </c>
      <c r="Z14" s="126"/>
      <c r="AA14" s="126"/>
      <c r="AB14" s="127"/>
      <c r="AC14" s="126"/>
      <c r="AD14" s="128"/>
      <c r="AE14" s="130">
        <f>6947.84+18190.52+10948.61</f>
        <v>36086.97</v>
      </c>
      <c r="AF14" s="130">
        <v>18190.52</v>
      </c>
      <c r="AG14" s="139">
        <v>2019</v>
      </c>
      <c r="AH14" s="146">
        <f>1523397818.58/10000</f>
        <v>152339.781858</v>
      </c>
      <c r="AI14" s="128">
        <f t="shared" si="20"/>
        <v>0.11940754921755023</v>
      </c>
      <c r="AJ14" s="130">
        <f>2314.59+6591.33+4037.32</f>
        <v>12943.24</v>
      </c>
      <c r="AK14" s="130">
        <v>6591.33</v>
      </c>
      <c r="AL14" s="139">
        <v>2019</v>
      </c>
      <c r="AM14" s="130">
        <f>176163141.25/10000</f>
        <v>17616.314125000001</v>
      </c>
      <c r="AN14" s="128">
        <f t="shared" si="21"/>
        <v>0.37416056237587098</v>
      </c>
      <c r="AO14" s="126"/>
      <c r="AP14" s="126"/>
      <c r="AQ14" s="127"/>
      <c r="AR14" s="126"/>
      <c r="AS14" s="128"/>
      <c r="AT14" s="126"/>
      <c r="AU14" s="126"/>
      <c r="AV14" s="127"/>
      <c r="AW14" s="126"/>
      <c r="AX14" s="159"/>
      <c r="AY14" s="76" t="s">
        <v>347</v>
      </c>
      <c r="AZ14" s="160" t="str">
        <f>IFERROR(IF(Z14&gt;100000,"Y","N"),"N")</f>
        <v>N</v>
      </c>
      <c r="BA14" s="160" t="str">
        <f>IFERROR(IF(AD14&gt;0.5,"Y","N"),"N")</f>
        <v>N</v>
      </c>
      <c r="BB14" s="160" t="str">
        <f>IFERROR(IF(AE16&gt;100000,"Y","N"),"N")</f>
        <v>N</v>
      </c>
      <c r="BC14" s="160" t="str">
        <f>IFERROR(IF(AI14&gt;0.5,"Y","N"),"N")</f>
        <v>N</v>
      </c>
      <c r="BD14" s="160" t="str">
        <f>IFERROR(IF(AJ14&gt;100000,"Y","N"),"N")</f>
        <v>N</v>
      </c>
      <c r="BE14" s="160" t="str">
        <f>IFERROR(IF(AN14&gt;0.5,"Y","N"),"N")</f>
        <v>N</v>
      </c>
      <c r="BF14" s="160" t="str">
        <f>IFERROR(IF(AND(AM14-AK14&lt;0,AM14&gt;0),"Y","N"),"N")</f>
        <v>N</v>
      </c>
      <c r="BG14" s="160" t="str">
        <f>IFERROR(IF(AO14&gt;100000,"Y","N"),"N")</f>
        <v>N</v>
      </c>
      <c r="BH14" s="160" t="str">
        <f>IFERROR(IF(AS14&gt;0.5,"Y","N"),"N")</f>
        <v>N</v>
      </c>
      <c r="BI14" s="160" t="str">
        <f>IFERROR(IF(AND(AR14-AP14&lt;0,AR14&gt;0),"Y","N"),"N")</f>
        <v>N</v>
      </c>
      <c r="BJ14" s="160" t="str">
        <f>IFERROR(IF(AT14&gt;100000,"Y","N"),"N")</f>
        <v>N</v>
      </c>
      <c r="BK14" s="160" t="str">
        <f>IFERROR(IF(AX14&gt;0.5,"Y","N"),"N")</f>
        <v>N</v>
      </c>
      <c r="BL14" s="160" t="str">
        <f t="shared" si="22"/>
        <v>N</v>
      </c>
      <c r="BM14" s="160" t="str">
        <f t="shared" si="22"/>
        <v>N</v>
      </c>
      <c r="BN14" s="169" t="str">
        <f>IF(OR(BF14="Y",BI14="Y"),"Y","N")</f>
        <v>N</v>
      </c>
      <c r="BO14" s="170" t="s">
        <v>348</v>
      </c>
      <c r="BP14" s="171" t="str">
        <f t="shared" si="17"/>
        <v>上交所主板</v>
      </c>
      <c r="BQ14" s="172" t="s">
        <v>317</v>
      </c>
      <c r="BR14" s="175">
        <f t="shared" si="18"/>
        <v>43830</v>
      </c>
      <c r="BS14" s="174" t="str">
        <f t="shared" si="19"/>
        <v>Y</v>
      </c>
      <c r="BU14" s="185"/>
    </row>
    <row r="15" spans="1:73" s="10" customFormat="1" ht="15" customHeight="1" x14ac:dyDescent="0.25">
      <c r="A15" s="31">
        <v>286</v>
      </c>
      <c r="B15" s="32" t="s">
        <v>349</v>
      </c>
      <c r="C15" s="33" t="s">
        <v>350</v>
      </c>
      <c r="D15" s="33" t="s">
        <v>351</v>
      </c>
      <c r="E15" s="33" t="s">
        <v>352</v>
      </c>
      <c r="F15" s="37" t="s">
        <v>353</v>
      </c>
      <c r="G15" s="33" t="s">
        <v>354</v>
      </c>
      <c r="H15" s="33" t="s">
        <v>355</v>
      </c>
      <c r="I15" s="70">
        <v>44924</v>
      </c>
      <c r="J15" s="70">
        <v>45056</v>
      </c>
      <c r="K15" s="65" t="s">
        <v>312</v>
      </c>
      <c r="L15" s="71" t="s">
        <v>356</v>
      </c>
      <c r="M15" s="68">
        <v>2017</v>
      </c>
      <c r="N15" s="33">
        <v>1</v>
      </c>
      <c r="O15" s="69" t="str">
        <f t="shared" si="15"/>
        <v>1-2年</v>
      </c>
      <c r="P15" s="33" t="s">
        <v>357</v>
      </c>
      <c r="Q15" s="33" t="s">
        <v>358</v>
      </c>
      <c r="R15" s="70">
        <v>41129</v>
      </c>
      <c r="S15" s="23" t="s">
        <v>359</v>
      </c>
      <c r="T15" s="95" t="s">
        <v>317</v>
      </c>
      <c r="U15" s="69" t="str">
        <f t="shared" si="16"/>
        <v>N</v>
      </c>
      <c r="V15" s="33" t="s">
        <v>360</v>
      </c>
      <c r="W15" s="33" t="s">
        <v>361</v>
      </c>
      <c r="X15" s="97" t="s">
        <v>334</v>
      </c>
      <c r="Y15" s="129">
        <v>50</v>
      </c>
      <c r="Z15" s="126"/>
      <c r="AA15" s="126"/>
      <c r="AB15" s="127"/>
      <c r="AC15" s="126"/>
      <c r="AD15" s="128"/>
      <c r="AE15" s="130"/>
      <c r="AF15" s="130"/>
      <c r="AG15" s="127"/>
      <c r="AH15" s="126"/>
      <c r="AI15" s="128"/>
      <c r="AJ15" s="126"/>
      <c r="AK15" s="126"/>
      <c r="AL15" s="127"/>
      <c r="AM15" s="126"/>
      <c r="AN15" s="128"/>
      <c r="AO15" s="126"/>
      <c r="AP15" s="126"/>
      <c r="AQ15" s="127"/>
      <c r="AR15" s="126"/>
      <c r="AS15" s="128"/>
      <c r="AT15" s="130">
        <v>16000</v>
      </c>
      <c r="AU15" s="130">
        <v>16000</v>
      </c>
      <c r="AV15" s="153">
        <v>2017</v>
      </c>
      <c r="AW15" s="130">
        <f>1496756696.41/10000</f>
        <v>149675.66964100001</v>
      </c>
      <c r="AX15" s="159">
        <f>AU15/AW15</f>
        <v>0.10689780134858463</v>
      </c>
      <c r="AY15" s="76" t="s">
        <v>362</v>
      </c>
      <c r="AZ15" s="160" t="str">
        <f>IFERROR(IF(Z15&gt;100000,"Y","N"),"N")</f>
        <v>N</v>
      </c>
      <c r="BA15" s="160" t="str">
        <f>IFERROR(IF(AD15&gt;0.5,"Y","N"),"N")</f>
        <v>N</v>
      </c>
      <c r="BB15" s="160" t="str">
        <f>IFERROR(IF(#REF!&gt;100000,"Y","N"),"N")</f>
        <v>N</v>
      </c>
      <c r="BC15" s="160" t="str">
        <f>IFERROR(IF(AI15&gt;0.5,"Y","N"),"N")</f>
        <v>N</v>
      </c>
      <c r="BD15" s="160" t="str">
        <f>IFERROR(IF(AJ15&gt;100000,"Y","N"),"N")</f>
        <v>N</v>
      </c>
      <c r="BE15" s="160" t="str">
        <f>IFERROR(IF(AN15&gt;0.5,"Y","N"),"N")</f>
        <v>N</v>
      </c>
      <c r="BF15" s="160" t="str">
        <f>IFERROR(IF(AND(AM15-AK15&lt;0,AM15&gt;0),"Y","N"),"N")</f>
        <v>N</v>
      </c>
      <c r="BG15" s="160" t="str">
        <f>IFERROR(IF(AO15&gt;100000,"Y","N"),"N")</f>
        <v>N</v>
      </c>
      <c r="BH15" s="160" t="str">
        <f>IFERROR(IF(AS15&gt;0.5,"Y","N"),"N")</f>
        <v>N</v>
      </c>
      <c r="BI15" s="160" t="str">
        <f>IFERROR(IF(AND(AR15-AP15&lt;0,AR15&gt;0),"Y","N"),"N")</f>
        <v>N</v>
      </c>
      <c r="BJ15" s="160" t="str">
        <f>IFERROR(IF(AT15&gt;100000,"Y","N"),"N")</f>
        <v>N</v>
      </c>
      <c r="BK15" s="160" t="str">
        <f>IFERROR(IF(AX15&gt;0.5,"Y","N"),"N")</f>
        <v>N</v>
      </c>
      <c r="BL15" s="160" t="str">
        <f t="shared" si="22"/>
        <v>N</v>
      </c>
      <c r="BM15" s="160" t="str">
        <f t="shared" si="22"/>
        <v>N</v>
      </c>
      <c r="BN15" s="169" t="str">
        <f>IF(OR(BF15="Y",BI15="Y"),"Y","N")</f>
        <v>N</v>
      </c>
      <c r="BO15" s="170" t="s">
        <v>363</v>
      </c>
      <c r="BP15" s="171" t="str">
        <f t="shared" si="17"/>
        <v>深交所主板</v>
      </c>
      <c r="BQ15" s="172" t="s">
        <v>317</v>
      </c>
      <c r="BR15" s="175">
        <f t="shared" si="18"/>
        <v>42004</v>
      </c>
      <c r="BS15" s="174" t="str">
        <f t="shared" si="19"/>
        <v>N</v>
      </c>
      <c r="BU15" s="185"/>
    </row>
    <row r="16" spans="1:73" s="10" customFormat="1" ht="15" customHeight="1" x14ac:dyDescent="0.25">
      <c r="A16" s="31">
        <v>285</v>
      </c>
      <c r="B16" s="32" t="s">
        <v>364</v>
      </c>
      <c r="C16" s="33" t="s">
        <v>365</v>
      </c>
      <c r="D16" s="33" t="s">
        <v>313</v>
      </c>
      <c r="E16" s="33" t="s">
        <v>366</v>
      </c>
      <c r="F16" s="34" t="s">
        <v>367</v>
      </c>
      <c r="G16" s="33" t="s">
        <v>315</v>
      </c>
      <c r="H16" s="38" t="s">
        <v>368</v>
      </c>
      <c r="I16" s="70">
        <v>44960</v>
      </c>
      <c r="J16" s="70">
        <v>45044</v>
      </c>
      <c r="K16" s="70">
        <v>45065</v>
      </c>
      <c r="L16" s="71" t="s">
        <v>369</v>
      </c>
      <c r="M16" s="33">
        <v>2021</v>
      </c>
      <c r="N16" s="33">
        <v>1</v>
      </c>
      <c r="O16" s="69" t="str">
        <f t="shared" ref="O16:O47" si="23">IF(N16&lt;1,"1年以内",IF(N16&lt;2,"1-2年",IF(N16&lt;3,"2-3年",IF(N16&lt;5,"3-5年","5年以上"))))</f>
        <v>1-2年</v>
      </c>
      <c r="P16" s="33" t="s">
        <v>370</v>
      </c>
      <c r="Q16" s="33" t="s">
        <v>371</v>
      </c>
      <c r="R16" s="70">
        <v>44455</v>
      </c>
      <c r="S16" s="23" t="s">
        <v>316</v>
      </c>
      <c r="T16" s="95" t="s">
        <v>317</v>
      </c>
      <c r="U16" s="69" t="str">
        <f t="shared" ref="U16:U79" si="24">IF(OR(BL16="Y",BM16="Y",BN16="Y"),"Y","N")</f>
        <v>Y</v>
      </c>
      <c r="V16" s="33" t="s">
        <v>318</v>
      </c>
      <c r="W16" s="96" t="s">
        <v>372</v>
      </c>
      <c r="X16" s="43" t="s">
        <v>320</v>
      </c>
      <c r="Y16" s="129">
        <v>300</v>
      </c>
      <c r="Z16" s="126"/>
      <c r="AA16" s="126"/>
      <c r="AB16" s="127"/>
      <c r="AC16" s="126"/>
      <c r="AD16" s="128"/>
      <c r="AE16" s="130"/>
      <c r="AF16" s="130"/>
      <c r="AG16" s="139"/>
      <c r="AH16" s="126"/>
      <c r="AI16" s="128"/>
      <c r="AJ16" s="130">
        <f>27056697.68/10000</f>
        <v>2705.6697679999997</v>
      </c>
      <c r="AK16" s="130">
        <f>27056697.68/10000</f>
        <v>2705.6697679999997</v>
      </c>
      <c r="AL16" s="139">
        <v>2021</v>
      </c>
      <c r="AM16" s="130">
        <f>19722165.97/10000</f>
        <v>1972.2165969999999</v>
      </c>
      <c r="AN16" s="128">
        <f>AK16/AM16</f>
        <v>1.3718928093981555</v>
      </c>
      <c r="AO16" s="126"/>
      <c r="AP16" s="126"/>
      <c r="AQ16" s="127"/>
      <c r="AR16" s="126"/>
      <c r="AS16" s="128"/>
      <c r="AT16" s="126"/>
      <c r="AU16" s="126"/>
      <c r="AV16" s="127"/>
      <c r="AW16" s="126"/>
      <c r="AX16" s="159"/>
      <c r="AY16" s="73" t="s">
        <v>373</v>
      </c>
      <c r="AZ16" s="160" t="str">
        <f t="shared" ref="AZ16:AZ47" si="25">IFERROR(IF(Z16&gt;100000,"Y","N"),"N")</f>
        <v>N</v>
      </c>
      <c r="BA16" s="160" t="str">
        <f t="shared" ref="BA16:BA47" si="26">IFERROR(IF(AD16&gt;0.5,"Y","N"),"N")</f>
        <v>N</v>
      </c>
      <c r="BB16" s="160" t="str">
        <f t="shared" ref="BB16:BB47" si="27">IFERROR(IF(AE16&gt;100000,"Y","N"),"N")</f>
        <v>N</v>
      </c>
      <c r="BC16" s="160" t="str">
        <f t="shared" ref="BC16:BC47" si="28">IFERROR(IF(AI16&gt;0.5,"Y","N"),"N")</f>
        <v>N</v>
      </c>
      <c r="BD16" s="160" t="str">
        <f t="shared" ref="BD16:BD47" si="29">IFERROR(IF(AJ16&gt;100000,"Y","N"),"N")</f>
        <v>N</v>
      </c>
      <c r="BE16" s="160" t="str">
        <f t="shared" ref="BE16:BE47" si="30">IFERROR(IF(AN16&gt;0.5,"Y","N"),"N")</f>
        <v>Y</v>
      </c>
      <c r="BF16" s="160" t="str">
        <f t="shared" ref="BF16:BF47" si="31">IFERROR(IF(AND(AM16-AK16&lt;0,AM16&gt;0),"Y","N"),"N")</f>
        <v>Y</v>
      </c>
      <c r="BG16" s="160" t="str">
        <f t="shared" ref="BG16:BG47" si="32">IFERROR(IF(AO16&gt;100000,"Y","N"),"N")</f>
        <v>N</v>
      </c>
      <c r="BH16" s="160" t="str">
        <f t="shared" ref="BH16:BH47" si="33">IFERROR(IF(AS16&gt;0.5,"Y","N"),"N")</f>
        <v>N</v>
      </c>
      <c r="BI16" s="160" t="str">
        <f t="shared" ref="BI16:BI47" si="34">IFERROR(IF(AND(AR16-AP16&lt;0,AR16&gt;0),"Y","N"),"N")</f>
        <v>N</v>
      </c>
      <c r="BJ16" s="160" t="str">
        <f t="shared" ref="BJ16:BJ47" si="35">IFERROR(IF(AT16&gt;100000,"Y","N"),"N")</f>
        <v>N</v>
      </c>
      <c r="BK16" s="160" t="str">
        <f t="shared" ref="BK16:BK47" si="36">IFERROR(IF(AX16&gt;0.5,"Y","N"),"N")</f>
        <v>N</v>
      </c>
      <c r="BL16" s="160" t="str">
        <f t="shared" ref="BL16:BL47" si="37">IF(OR(AZ16="Y",BB16="Y",BD16="Y",BG16="Y",BJ16="Y"),"Y","N")</f>
        <v>N</v>
      </c>
      <c r="BM16" s="160" t="str">
        <f t="shared" ref="BM16:BM47" si="38">IF(OR(BA16="Y",BC16="Y",BE16="Y",BH16="Y",BK16="Y"),"Y","N")</f>
        <v>Y</v>
      </c>
      <c r="BN16" s="169" t="str">
        <f t="shared" ref="BN16:BN47" si="39">IF(OR(BF16="Y",BI16="Y"),"Y","N")</f>
        <v>Y</v>
      </c>
      <c r="BO16" s="170" t="s">
        <v>374</v>
      </c>
      <c r="BP16" s="171" t="str">
        <f t="shared" ref="BP16:BP47" si="40">IF(LEFT(B16,2)="00","深交所主板",IF(LEFT(B16,2)="60","上交所主板",IF(LEFT(B16,2)="30","深交所创业板",IF(LEFT(B16,3)="688","上交所科创板",IF(RIGHT(B16,2)="BJ","北交所","")))))</f>
        <v>上交所科创板</v>
      </c>
      <c r="BQ16" s="172" t="s">
        <v>317</v>
      </c>
      <c r="BR16" s="175">
        <f t="shared" ref="BR16:BR47" si="41">IF(OR(BP16="上交所主板",BP16="深交所主板"),DATE(YEAR(R16)+2,12,31),IF(OR(BP16="上交所科创板",BP16="深交所创业板",,BP16="北交所"),DATE(YEAR(R16)+3,12,31),""))</f>
        <v>45657</v>
      </c>
      <c r="BS16" s="174" t="str">
        <f t="shared" si="19"/>
        <v>Y</v>
      </c>
      <c r="BU16" s="185"/>
    </row>
    <row r="17" spans="1:163" s="10" customFormat="1" ht="15" customHeight="1" x14ac:dyDescent="0.25">
      <c r="A17" s="31">
        <v>284</v>
      </c>
      <c r="B17" s="32" t="s">
        <v>375</v>
      </c>
      <c r="C17" s="33" t="s">
        <v>376</v>
      </c>
      <c r="D17" s="33" t="s">
        <v>377</v>
      </c>
      <c r="E17" s="33" t="s">
        <v>378</v>
      </c>
      <c r="F17" s="37" t="s">
        <v>379</v>
      </c>
      <c r="G17" s="33" t="s">
        <v>380</v>
      </c>
      <c r="H17" s="38" t="s">
        <v>368</v>
      </c>
      <c r="I17" s="70">
        <v>44925</v>
      </c>
      <c r="J17" s="70">
        <v>45043</v>
      </c>
      <c r="K17" s="272">
        <v>45111</v>
      </c>
      <c r="L17" s="71" t="s">
        <v>381</v>
      </c>
      <c r="M17" s="33">
        <v>2018</v>
      </c>
      <c r="N17" s="33">
        <v>1</v>
      </c>
      <c r="O17" s="69" t="str">
        <f t="shared" si="23"/>
        <v>1-2年</v>
      </c>
      <c r="P17" s="33" t="s">
        <v>382</v>
      </c>
      <c r="Q17" s="33" t="s">
        <v>383</v>
      </c>
      <c r="R17" s="70">
        <v>40116</v>
      </c>
      <c r="S17" s="23" t="s">
        <v>384</v>
      </c>
      <c r="T17" s="95" t="s">
        <v>317</v>
      </c>
      <c r="U17" s="69" t="str">
        <f t="shared" si="24"/>
        <v>N</v>
      </c>
      <c r="V17" s="33" t="s">
        <v>333</v>
      </c>
      <c r="W17" s="96" t="s">
        <v>319</v>
      </c>
      <c r="X17" s="43" t="s">
        <v>320</v>
      </c>
      <c r="Y17" s="129">
        <v>50</v>
      </c>
      <c r="Z17" s="126"/>
      <c r="AA17" s="126"/>
      <c r="AB17" s="127"/>
      <c r="AC17" s="126"/>
      <c r="AD17" s="128"/>
      <c r="AE17" s="130">
        <f>105120500.89/10000</f>
        <v>10512.050089</v>
      </c>
      <c r="AF17" s="130">
        <f>105120500.89/10000</f>
        <v>10512.050089</v>
      </c>
      <c r="AG17" s="139">
        <v>2018</v>
      </c>
      <c r="AH17" s="146">
        <f>1044880717.83/10000</f>
        <v>104488.07178300001</v>
      </c>
      <c r="AI17" s="128">
        <f>AF17/AH17</f>
        <v>0.10060526440598255</v>
      </c>
      <c r="AJ17" s="126"/>
      <c r="AK17" s="126"/>
      <c r="AL17" s="127"/>
      <c r="AM17" s="126"/>
      <c r="AN17" s="128"/>
      <c r="AO17" s="126"/>
      <c r="AP17" s="126"/>
      <c r="AQ17" s="127"/>
      <c r="AR17" s="126"/>
      <c r="AS17" s="128"/>
      <c r="AT17" s="126"/>
      <c r="AU17" s="126"/>
      <c r="AV17" s="127"/>
      <c r="AW17" s="126"/>
      <c r="AX17" s="159"/>
      <c r="AY17" s="73" t="s">
        <v>385</v>
      </c>
      <c r="AZ17" s="160" t="str">
        <f t="shared" si="25"/>
        <v>N</v>
      </c>
      <c r="BA17" s="160" t="str">
        <f t="shared" si="26"/>
        <v>N</v>
      </c>
      <c r="BB17" s="160" t="str">
        <f t="shared" si="27"/>
        <v>N</v>
      </c>
      <c r="BC17" s="160" t="str">
        <f t="shared" si="28"/>
        <v>N</v>
      </c>
      <c r="BD17" s="160" t="str">
        <f t="shared" si="29"/>
        <v>N</v>
      </c>
      <c r="BE17" s="160" t="str">
        <f t="shared" si="30"/>
        <v>N</v>
      </c>
      <c r="BF17" s="160" t="str">
        <f t="shared" si="31"/>
        <v>N</v>
      </c>
      <c r="BG17" s="160" t="str">
        <f t="shared" si="32"/>
        <v>N</v>
      </c>
      <c r="BH17" s="160" t="str">
        <f t="shared" si="33"/>
        <v>N</v>
      </c>
      <c r="BI17" s="160" t="str">
        <f t="shared" si="34"/>
        <v>N</v>
      </c>
      <c r="BJ17" s="160" t="str">
        <f t="shared" si="35"/>
        <v>N</v>
      </c>
      <c r="BK17" s="160" t="str">
        <f t="shared" si="36"/>
        <v>N</v>
      </c>
      <c r="BL17" s="160" t="str">
        <f t="shared" si="37"/>
        <v>N</v>
      </c>
      <c r="BM17" s="160" t="str">
        <f t="shared" si="38"/>
        <v>N</v>
      </c>
      <c r="BN17" s="169" t="str">
        <f t="shared" si="39"/>
        <v>N</v>
      </c>
      <c r="BO17" s="170" t="s">
        <v>386</v>
      </c>
      <c r="BP17" s="171" t="str">
        <f t="shared" si="40"/>
        <v>深交所创业板</v>
      </c>
      <c r="BQ17" s="172" t="s">
        <v>317</v>
      </c>
      <c r="BR17" s="175">
        <f t="shared" si="41"/>
        <v>41274</v>
      </c>
      <c r="BS17" s="174" t="str">
        <f t="shared" si="19"/>
        <v>N</v>
      </c>
      <c r="BU17" s="185"/>
    </row>
    <row r="18" spans="1:163" s="10" customFormat="1" ht="15" customHeight="1" x14ac:dyDescent="0.25">
      <c r="A18" s="31">
        <v>283</v>
      </c>
      <c r="B18" s="32" t="s">
        <v>387</v>
      </c>
      <c r="C18" s="33" t="s">
        <v>388</v>
      </c>
      <c r="D18" s="33" t="s">
        <v>389</v>
      </c>
      <c r="E18" s="33" t="s">
        <v>390</v>
      </c>
      <c r="F18" s="34" t="s">
        <v>391</v>
      </c>
      <c r="G18" s="33" t="s">
        <v>354</v>
      </c>
      <c r="H18" s="39" t="s">
        <v>392</v>
      </c>
      <c r="I18" s="70">
        <v>44651</v>
      </c>
      <c r="J18" s="70">
        <v>45035</v>
      </c>
      <c r="K18" s="70" t="s">
        <v>312</v>
      </c>
      <c r="L18" s="72" t="s">
        <v>393</v>
      </c>
      <c r="M18" s="73" t="s">
        <v>394</v>
      </c>
      <c r="N18" s="33">
        <v>5</v>
      </c>
      <c r="O18" s="69" t="str">
        <f t="shared" si="23"/>
        <v>5年以上</v>
      </c>
      <c r="P18" s="33" t="s">
        <v>395</v>
      </c>
      <c r="Q18" s="33" t="s">
        <v>396</v>
      </c>
      <c r="R18" s="70">
        <v>42360</v>
      </c>
      <c r="S18" s="44" t="s">
        <v>397</v>
      </c>
      <c r="T18" s="95" t="s">
        <v>345</v>
      </c>
      <c r="U18" s="69" t="str">
        <f t="shared" si="24"/>
        <v>Y</v>
      </c>
      <c r="V18" s="43" t="s">
        <v>398</v>
      </c>
      <c r="W18" s="96" t="s">
        <v>399</v>
      </c>
      <c r="X18" s="97" t="s">
        <v>334</v>
      </c>
      <c r="Y18" s="129">
        <v>5000</v>
      </c>
      <c r="Z18" s="126"/>
      <c r="AA18" s="126"/>
      <c r="AB18" s="127"/>
      <c r="AC18" s="126"/>
      <c r="AD18" s="128"/>
      <c r="AE18" s="130">
        <f>43740.72+28725.74+2234.28+4332.19+441.57</f>
        <v>79474.500000000015</v>
      </c>
      <c r="AF18" s="130">
        <v>43740.72</v>
      </c>
      <c r="AG18" s="139">
        <v>2015</v>
      </c>
      <c r="AH18" s="146">
        <f>3340194219.72/10000</f>
        <v>334019.42197199998</v>
      </c>
      <c r="AI18" s="128">
        <f>AF18/AH18</f>
        <v>0.13095262467601862</v>
      </c>
      <c r="AJ18" s="130">
        <f>37089.22+32518.24+39690.38+37928.1+31226.78</f>
        <v>178452.72</v>
      </c>
      <c r="AK18" s="130">
        <v>39690.379999999997</v>
      </c>
      <c r="AL18" s="139">
        <v>2017</v>
      </c>
      <c r="AM18" s="130">
        <f>197117070.89/10000</f>
        <v>19711.707089</v>
      </c>
      <c r="AN18" s="128">
        <f>AK18/AM18</f>
        <v>2.0135435160838493</v>
      </c>
      <c r="AO18" s="126"/>
      <c r="AP18" s="126"/>
      <c r="AQ18" s="127"/>
      <c r="AR18" s="126"/>
      <c r="AS18" s="128"/>
      <c r="AT18" s="126"/>
      <c r="AU18" s="126"/>
      <c r="AV18" s="127"/>
      <c r="AW18" s="126"/>
      <c r="AX18" s="159"/>
      <c r="AY18" s="73" t="s">
        <v>400</v>
      </c>
      <c r="AZ18" s="160" t="str">
        <f t="shared" si="25"/>
        <v>N</v>
      </c>
      <c r="BA18" s="160" t="str">
        <f t="shared" si="26"/>
        <v>N</v>
      </c>
      <c r="BB18" s="160" t="str">
        <f t="shared" si="27"/>
        <v>N</v>
      </c>
      <c r="BC18" s="160" t="str">
        <f t="shared" si="28"/>
        <v>N</v>
      </c>
      <c r="BD18" s="160" t="str">
        <f t="shared" si="29"/>
        <v>Y</v>
      </c>
      <c r="BE18" s="160" t="str">
        <f t="shared" si="30"/>
        <v>Y</v>
      </c>
      <c r="BF18" s="160" t="str">
        <f t="shared" si="31"/>
        <v>Y</v>
      </c>
      <c r="BG18" s="160" t="str">
        <f t="shared" si="32"/>
        <v>N</v>
      </c>
      <c r="BH18" s="160" t="str">
        <f t="shared" si="33"/>
        <v>N</v>
      </c>
      <c r="BI18" s="160" t="str">
        <f t="shared" si="34"/>
        <v>N</v>
      </c>
      <c r="BJ18" s="160" t="str">
        <f t="shared" si="35"/>
        <v>N</v>
      </c>
      <c r="BK18" s="160" t="str">
        <f t="shared" si="36"/>
        <v>N</v>
      </c>
      <c r="BL18" s="160" t="str">
        <f t="shared" si="37"/>
        <v>Y</v>
      </c>
      <c r="BM18" s="160" t="str">
        <f t="shared" si="38"/>
        <v>Y</v>
      </c>
      <c r="BN18" s="169" t="str">
        <f t="shared" si="39"/>
        <v>Y</v>
      </c>
      <c r="BO18" s="170" t="s">
        <v>401</v>
      </c>
      <c r="BP18" s="171" t="str">
        <f t="shared" si="40"/>
        <v>深交所主板</v>
      </c>
      <c r="BQ18" s="172" t="s">
        <v>317</v>
      </c>
      <c r="BR18" s="175">
        <f t="shared" si="41"/>
        <v>43100</v>
      </c>
      <c r="BS18" s="174" t="str">
        <f t="shared" si="19"/>
        <v>Y</v>
      </c>
      <c r="BU18" s="185"/>
    </row>
    <row r="19" spans="1:163" s="10" customFormat="1" ht="15" customHeight="1" x14ac:dyDescent="0.35">
      <c r="A19" s="31">
        <v>282</v>
      </c>
      <c r="B19" s="32" t="s">
        <v>402</v>
      </c>
      <c r="C19" s="33" t="s">
        <v>403</v>
      </c>
      <c r="D19" s="33" t="s">
        <v>351</v>
      </c>
      <c r="E19" s="33" t="s">
        <v>404</v>
      </c>
      <c r="F19" s="34" t="s">
        <v>405</v>
      </c>
      <c r="G19" s="40" t="s">
        <v>315</v>
      </c>
      <c r="H19" s="39" t="s">
        <v>327</v>
      </c>
      <c r="I19" s="70">
        <v>44560</v>
      </c>
      <c r="J19" s="70">
        <v>45034</v>
      </c>
      <c r="K19" s="70" t="s">
        <v>312</v>
      </c>
      <c r="L19" s="72" t="s">
        <v>406</v>
      </c>
      <c r="M19" s="73" t="s">
        <v>407</v>
      </c>
      <c r="N19" s="33">
        <v>5</v>
      </c>
      <c r="O19" s="69" t="str">
        <f t="shared" si="23"/>
        <v>5年以上</v>
      </c>
      <c r="P19" s="33" t="s">
        <v>408</v>
      </c>
      <c r="Q19" s="33" t="s">
        <v>409</v>
      </c>
      <c r="R19" s="70">
        <v>35905</v>
      </c>
      <c r="S19" s="44" t="s">
        <v>410</v>
      </c>
      <c r="T19" s="95" t="s">
        <v>317</v>
      </c>
      <c r="U19" s="69" t="str">
        <f t="shared" si="24"/>
        <v>Y</v>
      </c>
      <c r="V19" s="43" t="s">
        <v>398</v>
      </c>
      <c r="W19" s="96" t="s">
        <v>411</v>
      </c>
      <c r="X19" s="97" t="s">
        <v>334</v>
      </c>
      <c r="Y19" s="129">
        <v>200</v>
      </c>
      <c r="Z19" s="131">
        <f>(9063071094.45+9819793782.85+9800906924.87+9747620373.61+9747620373.61)/10000</f>
        <v>4817901.2549390011</v>
      </c>
      <c r="AA19" s="131">
        <f>9819793782.85/10000</f>
        <v>981979.37828499998</v>
      </c>
      <c r="AB19" s="43">
        <v>2018</v>
      </c>
      <c r="AC19" s="130">
        <f>6717805171.83/10000</f>
        <v>671780.51718299999</v>
      </c>
      <c r="AD19" s="128">
        <f>AA19/AC19</f>
        <v>1.4617562628978396</v>
      </c>
      <c r="AE19" s="130">
        <f>(7418380324.79+4582133040.08)/10000</f>
        <v>1200051.3364869999</v>
      </c>
      <c r="AF19" s="130">
        <f>7418380324.79/10000</f>
        <v>741838.03247900004</v>
      </c>
      <c r="AG19" s="139">
        <v>2017</v>
      </c>
      <c r="AH19" s="146">
        <f>19032259081.76/10000</f>
        <v>1903225.9081759998</v>
      </c>
      <c r="AI19" s="128">
        <f>AF19/AH19</f>
        <v>0.38977928436774884</v>
      </c>
      <c r="AJ19" s="130">
        <f>(515647735.05+293010514.11)/10000</f>
        <v>80865.824916000012</v>
      </c>
      <c r="AK19" s="130">
        <f>515647735.05/10000</f>
        <v>51564.773505000005</v>
      </c>
      <c r="AL19" s="139">
        <v>2017</v>
      </c>
      <c r="AM19" s="130">
        <f>714090164.08/10000</f>
        <v>71409.01640800001</v>
      </c>
      <c r="AN19" s="128">
        <f>AK19/AM19</f>
        <v>0.72210451983236057</v>
      </c>
      <c r="AO19" s="126"/>
      <c r="AP19" s="126"/>
      <c r="AQ19" s="127"/>
      <c r="AR19" s="126"/>
      <c r="AS19" s="128"/>
      <c r="AT19" s="126"/>
      <c r="AU19" s="126"/>
      <c r="AV19" s="127"/>
      <c r="AW19" s="126"/>
      <c r="AX19" s="159"/>
      <c r="AY19" s="68" t="s">
        <v>412</v>
      </c>
      <c r="AZ19" s="160" t="str">
        <f t="shared" si="25"/>
        <v>Y</v>
      </c>
      <c r="BA19" s="160" t="str">
        <f t="shared" si="26"/>
        <v>Y</v>
      </c>
      <c r="BB19" s="160" t="str">
        <f t="shared" si="27"/>
        <v>Y</v>
      </c>
      <c r="BC19" s="160" t="str">
        <f t="shared" si="28"/>
        <v>N</v>
      </c>
      <c r="BD19" s="160" t="str">
        <f t="shared" si="29"/>
        <v>N</v>
      </c>
      <c r="BE19" s="160" t="str">
        <f t="shared" si="30"/>
        <v>Y</v>
      </c>
      <c r="BF19" s="160" t="str">
        <f t="shared" si="31"/>
        <v>N</v>
      </c>
      <c r="BG19" s="160" t="str">
        <f t="shared" si="32"/>
        <v>N</v>
      </c>
      <c r="BH19" s="160" t="str">
        <f t="shared" si="33"/>
        <v>N</v>
      </c>
      <c r="BI19" s="160" t="str">
        <f t="shared" si="34"/>
        <v>N</v>
      </c>
      <c r="BJ19" s="160" t="str">
        <f t="shared" si="35"/>
        <v>N</v>
      </c>
      <c r="BK19" s="160" t="str">
        <f t="shared" si="36"/>
        <v>N</v>
      </c>
      <c r="BL19" s="160" t="str">
        <f t="shared" si="37"/>
        <v>Y</v>
      </c>
      <c r="BM19" s="160" t="str">
        <f t="shared" si="38"/>
        <v>Y</v>
      </c>
      <c r="BN19" s="169" t="str">
        <f t="shared" si="39"/>
        <v>N</v>
      </c>
      <c r="BO19" s="170" t="s">
        <v>413</v>
      </c>
      <c r="BP19" s="171" t="str">
        <f t="shared" si="40"/>
        <v>上交所主板</v>
      </c>
      <c r="BQ19" s="172" t="s">
        <v>317</v>
      </c>
      <c r="BR19" s="175">
        <f t="shared" si="41"/>
        <v>36891</v>
      </c>
      <c r="BS19" s="174" t="str">
        <f t="shared" si="19"/>
        <v>N</v>
      </c>
      <c r="BU19" s="185"/>
    </row>
    <row r="20" spans="1:163" s="10" customFormat="1" ht="15" customHeight="1" x14ac:dyDescent="0.35">
      <c r="A20" s="31">
        <v>281</v>
      </c>
      <c r="B20" s="32" t="s">
        <v>414</v>
      </c>
      <c r="C20" s="33" t="s">
        <v>415</v>
      </c>
      <c r="D20" s="33" t="s">
        <v>416</v>
      </c>
      <c r="E20" s="33" t="s">
        <v>417</v>
      </c>
      <c r="F20" s="34" t="s">
        <v>418</v>
      </c>
      <c r="G20" s="40" t="s">
        <v>315</v>
      </c>
      <c r="H20" s="38" t="s">
        <v>368</v>
      </c>
      <c r="I20" s="70">
        <v>44937</v>
      </c>
      <c r="J20" s="70">
        <v>45026</v>
      </c>
      <c r="K20" s="70">
        <v>45035</v>
      </c>
      <c r="L20" s="72" t="s">
        <v>419</v>
      </c>
      <c r="M20" s="73">
        <v>2021</v>
      </c>
      <c r="N20" s="33">
        <v>0.5</v>
      </c>
      <c r="O20" s="69" t="str">
        <f t="shared" si="23"/>
        <v>1年以内</v>
      </c>
      <c r="P20" s="33" t="s">
        <v>420</v>
      </c>
      <c r="Q20" s="33" t="s">
        <v>371</v>
      </c>
      <c r="R20" s="70">
        <v>42152</v>
      </c>
      <c r="S20" s="44" t="s">
        <v>421</v>
      </c>
      <c r="T20" s="95" t="s">
        <v>345</v>
      </c>
      <c r="U20" s="69" t="str">
        <f t="shared" si="24"/>
        <v>N</v>
      </c>
      <c r="V20" s="43" t="s">
        <v>361</v>
      </c>
      <c r="W20" s="96" t="s">
        <v>361</v>
      </c>
      <c r="X20" s="43" t="s">
        <v>320</v>
      </c>
      <c r="Y20" s="129">
        <v>100</v>
      </c>
      <c r="Z20" s="131"/>
      <c r="AA20" s="131"/>
      <c r="AB20" s="43"/>
      <c r="AC20" s="130"/>
      <c r="AD20" s="128"/>
      <c r="AE20" s="130"/>
      <c r="AF20" s="130"/>
      <c r="AG20" s="139"/>
      <c r="AH20" s="146"/>
      <c r="AI20" s="128"/>
      <c r="AJ20" s="130"/>
      <c r="AK20" s="130"/>
      <c r="AL20" s="139"/>
      <c r="AM20" s="130"/>
      <c r="AN20" s="128"/>
      <c r="AO20" s="126"/>
      <c r="AP20" s="126"/>
      <c r="AQ20" s="127"/>
      <c r="AR20" s="126"/>
      <c r="AS20" s="128"/>
      <c r="AT20" s="130">
        <v>15000</v>
      </c>
      <c r="AU20" s="130">
        <v>15000</v>
      </c>
      <c r="AV20" s="139">
        <v>2021</v>
      </c>
      <c r="AW20" s="130">
        <f>1458830562.07/10000</f>
        <v>145883.05620699999</v>
      </c>
      <c r="AX20" s="159">
        <f>AU20/AW20</f>
        <v>0.10282208496314904</v>
      </c>
      <c r="AY20" s="68" t="s">
        <v>422</v>
      </c>
      <c r="AZ20" s="160" t="str">
        <f t="shared" si="25"/>
        <v>N</v>
      </c>
      <c r="BA20" s="160" t="str">
        <f t="shared" si="26"/>
        <v>N</v>
      </c>
      <c r="BB20" s="160" t="str">
        <f t="shared" si="27"/>
        <v>N</v>
      </c>
      <c r="BC20" s="160" t="str">
        <f t="shared" si="28"/>
        <v>N</v>
      </c>
      <c r="BD20" s="160" t="str">
        <f t="shared" si="29"/>
        <v>N</v>
      </c>
      <c r="BE20" s="160" t="str">
        <f t="shared" si="30"/>
        <v>N</v>
      </c>
      <c r="BF20" s="160" t="str">
        <f t="shared" si="31"/>
        <v>N</v>
      </c>
      <c r="BG20" s="160" t="str">
        <f t="shared" si="32"/>
        <v>N</v>
      </c>
      <c r="BH20" s="160" t="str">
        <f t="shared" si="33"/>
        <v>N</v>
      </c>
      <c r="BI20" s="160" t="str">
        <f t="shared" si="34"/>
        <v>N</v>
      </c>
      <c r="BJ20" s="160" t="str">
        <f t="shared" si="35"/>
        <v>N</v>
      </c>
      <c r="BK20" s="160" t="str">
        <f t="shared" si="36"/>
        <v>N</v>
      </c>
      <c r="BL20" s="160" t="str">
        <f t="shared" si="37"/>
        <v>N</v>
      </c>
      <c r="BM20" s="160" t="str">
        <f t="shared" si="38"/>
        <v>N</v>
      </c>
      <c r="BN20" s="169" t="str">
        <f t="shared" si="39"/>
        <v>N</v>
      </c>
      <c r="BO20" s="170" t="s">
        <v>423</v>
      </c>
      <c r="BP20" s="171" t="str">
        <f t="shared" si="40"/>
        <v>上交所主板</v>
      </c>
      <c r="BQ20" s="172" t="s">
        <v>317</v>
      </c>
      <c r="BR20" s="175">
        <f t="shared" si="41"/>
        <v>43100</v>
      </c>
      <c r="BS20" s="174" t="str">
        <f t="shared" si="19"/>
        <v>N</v>
      </c>
      <c r="BU20" s="185"/>
    </row>
    <row r="21" spans="1:163" s="10" customFormat="1" ht="15" customHeight="1" x14ac:dyDescent="0.35">
      <c r="A21" s="31">
        <v>280</v>
      </c>
      <c r="B21" s="32" t="s">
        <v>424</v>
      </c>
      <c r="C21" s="33" t="s">
        <v>425</v>
      </c>
      <c r="D21" s="33" t="s">
        <v>426</v>
      </c>
      <c r="E21" s="33" t="s">
        <v>427</v>
      </c>
      <c r="F21" s="34" t="s">
        <v>428</v>
      </c>
      <c r="G21" s="40" t="s">
        <v>315</v>
      </c>
      <c r="H21" s="41" t="s">
        <v>429</v>
      </c>
      <c r="I21" s="70">
        <v>44551</v>
      </c>
      <c r="J21" s="70">
        <v>45023</v>
      </c>
      <c r="K21" s="70" t="s">
        <v>312</v>
      </c>
      <c r="L21" s="72" t="s">
        <v>430</v>
      </c>
      <c r="M21" s="73" t="s">
        <v>431</v>
      </c>
      <c r="N21" s="33">
        <v>5.5</v>
      </c>
      <c r="O21" s="69" t="str">
        <f t="shared" si="23"/>
        <v>5年以上</v>
      </c>
      <c r="P21" s="68" t="s">
        <v>432</v>
      </c>
      <c r="Q21" s="68" t="s">
        <v>433</v>
      </c>
      <c r="R21" s="70">
        <v>42360</v>
      </c>
      <c r="S21" s="44" t="s">
        <v>397</v>
      </c>
      <c r="T21" s="95" t="s">
        <v>345</v>
      </c>
      <c r="U21" s="69" t="str">
        <f t="shared" si="24"/>
        <v>Y</v>
      </c>
      <c r="V21" s="97" t="s">
        <v>434</v>
      </c>
      <c r="W21" s="98" t="s">
        <v>435</v>
      </c>
      <c r="X21" s="97" t="s">
        <v>334</v>
      </c>
      <c r="Y21" s="129">
        <v>1330</v>
      </c>
      <c r="Z21" s="131"/>
      <c r="AA21" s="131"/>
      <c r="AB21" s="43"/>
      <c r="AC21" s="130"/>
      <c r="AD21" s="128"/>
      <c r="AE21" s="130"/>
      <c r="AF21" s="130"/>
      <c r="AG21" s="139"/>
      <c r="AH21" s="146"/>
      <c r="AI21" s="128"/>
      <c r="AJ21" s="130"/>
      <c r="AK21" s="130"/>
      <c r="AL21" s="139"/>
      <c r="AM21" s="130"/>
      <c r="AN21" s="128"/>
      <c r="AO21" s="130">
        <f>6672.74+6401.11+7835.24+14827.8+5843.56+533.7</f>
        <v>42114.149999999994</v>
      </c>
      <c r="AP21" s="130">
        <v>14827.8</v>
      </c>
      <c r="AQ21" s="139">
        <v>2018</v>
      </c>
      <c r="AR21" s="130">
        <f>386782235.9/10000</f>
        <v>38678.223589999994</v>
      </c>
      <c r="AS21" s="128">
        <f>AP21/AR21</f>
        <v>0.38336300439179505</v>
      </c>
      <c r="AT21" s="130">
        <f>5360+5270+22844+33672+41090+(98178-94125)</f>
        <v>112289</v>
      </c>
      <c r="AU21" s="130">
        <v>41090</v>
      </c>
      <c r="AV21" s="139">
        <v>2019</v>
      </c>
      <c r="AW21" s="130">
        <f>4357727259.86/10000</f>
        <v>435772.72598599998</v>
      </c>
      <c r="AX21" s="159">
        <f>AU21/AW21</f>
        <v>9.4292271061773819E-2</v>
      </c>
      <c r="AY21" s="68" t="s">
        <v>436</v>
      </c>
      <c r="AZ21" s="161" t="str">
        <f t="shared" si="25"/>
        <v>N</v>
      </c>
      <c r="BA21" s="161" t="str">
        <f t="shared" si="26"/>
        <v>N</v>
      </c>
      <c r="BB21" s="161" t="str">
        <f t="shared" si="27"/>
        <v>N</v>
      </c>
      <c r="BC21" s="161" t="str">
        <f t="shared" si="28"/>
        <v>N</v>
      </c>
      <c r="BD21" s="161" t="str">
        <f t="shared" si="29"/>
        <v>N</v>
      </c>
      <c r="BE21" s="161" t="str">
        <f t="shared" si="30"/>
        <v>N</v>
      </c>
      <c r="BF21" s="161" t="str">
        <f t="shared" si="31"/>
        <v>N</v>
      </c>
      <c r="BG21" s="161" t="str">
        <f t="shared" si="32"/>
        <v>N</v>
      </c>
      <c r="BH21" s="161" t="str">
        <f t="shared" si="33"/>
        <v>N</v>
      </c>
      <c r="BI21" s="161" t="str">
        <f t="shared" si="34"/>
        <v>N</v>
      </c>
      <c r="BJ21" s="161" t="str">
        <f t="shared" si="35"/>
        <v>Y</v>
      </c>
      <c r="BK21" s="161" t="str">
        <f t="shared" si="36"/>
        <v>N</v>
      </c>
      <c r="BL21" s="161" t="str">
        <f t="shared" si="37"/>
        <v>Y</v>
      </c>
      <c r="BM21" s="161" t="str">
        <f t="shared" si="38"/>
        <v>N</v>
      </c>
      <c r="BN21" s="176" t="str">
        <f t="shared" si="39"/>
        <v>N</v>
      </c>
      <c r="BO21" s="170" t="s">
        <v>348</v>
      </c>
      <c r="BP21" s="174" t="str">
        <f t="shared" si="40"/>
        <v>深交所创业板</v>
      </c>
      <c r="BQ21" s="172" t="s">
        <v>317</v>
      </c>
      <c r="BR21" s="173">
        <f t="shared" si="41"/>
        <v>43465</v>
      </c>
      <c r="BS21" s="174" t="str">
        <f t="shared" si="19"/>
        <v>Y</v>
      </c>
      <c r="BU21" s="185"/>
    </row>
    <row r="22" spans="1:163" s="10" customFormat="1" ht="15" customHeight="1" x14ac:dyDescent="0.35">
      <c r="A22" s="31">
        <v>279</v>
      </c>
      <c r="B22" s="32" t="s">
        <v>437</v>
      </c>
      <c r="C22" s="33" t="s">
        <v>438</v>
      </c>
      <c r="D22" s="33" t="s">
        <v>439</v>
      </c>
      <c r="E22" s="33" t="s">
        <v>440</v>
      </c>
      <c r="F22" s="37" t="s">
        <v>2627</v>
      </c>
      <c r="G22" s="40" t="s">
        <v>315</v>
      </c>
      <c r="H22" s="41" t="s">
        <v>368</v>
      </c>
      <c r="I22" s="74">
        <v>44924</v>
      </c>
      <c r="J22" s="74">
        <v>45020</v>
      </c>
      <c r="K22" s="74">
        <v>45077</v>
      </c>
      <c r="L22" s="75" t="s">
        <v>441</v>
      </c>
      <c r="M22" s="76">
        <v>2019</v>
      </c>
      <c r="N22" s="33">
        <v>1</v>
      </c>
      <c r="O22" s="69" t="str">
        <f t="shared" si="23"/>
        <v>1-2年</v>
      </c>
      <c r="P22" s="77" t="s">
        <v>442</v>
      </c>
      <c r="Q22" s="68" t="s">
        <v>443</v>
      </c>
      <c r="R22" s="70">
        <v>41662</v>
      </c>
      <c r="S22" s="44" t="s">
        <v>332</v>
      </c>
      <c r="T22" s="95" t="s">
        <v>345</v>
      </c>
      <c r="U22" s="69" t="str">
        <f t="shared" si="24"/>
        <v>N</v>
      </c>
      <c r="V22" s="43" t="s">
        <v>318</v>
      </c>
      <c r="W22" s="96" t="s">
        <v>444</v>
      </c>
      <c r="X22" s="43" t="s">
        <v>320</v>
      </c>
      <c r="Y22" s="129">
        <v>200</v>
      </c>
      <c r="Z22" s="131">
        <f>(12389507.95+21448805.2)/10000</f>
        <v>3383.8313149999999</v>
      </c>
      <c r="AA22" s="131">
        <f>(12389507.95+21448805.2)/10000</f>
        <v>3383.8313149999999</v>
      </c>
      <c r="AB22" s="43">
        <v>2019</v>
      </c>
      <c r="AC22" s="130">
        <f>950609670.81/10000</f>
        <v>95060.967080999995</v>
      </c>
      <c r="AD22" s="128">
        <f>AA22/AC22</f>
        <v>3.5596432677953815E-2</v>
      </c>
      <c r="AE22" s="130"/>
      <c r="AF22" s="130"/>
      <c r="AG22" s="139"/>
      <c r="AH22" s="147"/>
      <c r="AI22" s="128"/>
      <c r="AJ22" s="130"/>
      <c r="AK22" s="130"/>
      <c r="AL22" s="139"/>
      <c r="AM22" s="130"/>
      <c r="AN22" s="128"/>
      <c r="AO22" s="130"/>
      <c r="AP22" s="130"/>
      <c r="AQ22" s="43"/>
      <c r="AR22" s="130"/>
      <c r="AS22" s="128"/>
      <c r="AT22" s="130"/>
      <c r="AU22" s="130"/>
      <c r="AV22" s="139"/>
      <c r="AW22" s="130"/>
      <c r="AX22" s="159"/>
      <c r="AY22" s="76" t="s">
        <v>445</v>
      </c>
      <c r="AZ22" s="161" t="str">
        <f t="shared" si="25"/>
        <v>N</v>
      </c>
      <c r="BA22" s="161" t="str">
        <f t="shared" si="26"/>
        <v>N</v>
      </c>
      <c r="BB22" s="161" t="str">
        <f t="shared" si="27"/>
        <v>N</v>
      </c>
      <c r="BC22" s="161" t="str">
        <f t="shared" si="28"/>
        <v>N</v>
      </c>
      <c r="BD22" s="161" t="str">
        <f t="shared" si="29"/>
        <v>N</v>
      </c>
      <c r="BE22" s="161" t="str">
        <f t="shared" si="30"/>
        <v>N</v>
      </c>
      <c r="BF22" s="161" t="str">
        <f t="shared" si="31"/>
        <v>N</v>
      </c>
      <c r="BG22" s="161" t="str">
        <f t="shared" si="32"/>
        <v>N</v>
      </c>
      <c r="BH22" s="161" t="str">
        <f t="shared" si="33"/>
        <v>N</v>
      </c>
      <c r="BI22" s="161" t="str">
        <f t="shared" si="34"/>
        <v>N</v>
      </c>
      <c r="BJ22" s="161" t="str">
        <f t="shared" si="35"/>
        <v>N</v>
      </c>
      <c r="BK22" s="161" t="str">
        <f t="shared" si="36"/>
        <v>N</v>
      </c>
      <c r="BL22" s="161" t="str">
        <f t="shared" si="37"/>
        <v>N</v>
      </c>
      <c r="BM22" s="161" t="str">
        <f t="shared" si="38"/>
        <v>N</v>
      </c>
      <c r="BN22" s="176" t="str">
        <f t="shared" si="39"/>
        <v>N</v>
      </c>
      <c r="BO22" s="177" t="s">
        <v>401</v>
      </c>
      <c r="BP22" s="171" t="str">
        <f t="shared" si="40"/>
        <v>深交所创业板</v>
      </c>
      <c r="BQ22" s="178" t="s">
        <v>317</v>
      </c>
      <c r="BR22" s="173">
        <f t="shared" si="41"/>
        <v>43100</v>
      </c>
      <c r="BS22" s="174" t="str">
        <f t="shared" si="19"/>
        <v>N</v>
      </c>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row>
    <row r="23" spans="1:163" s="10" customFormat="1" ht="15" customHeight="1" x14ac:dyDescent="0.35">
      <c r="A23" s="31">
        <v>278</v>
      </c>
      <c r="B23" s="32" t="s">
        <v>446</v>
      </c>
      <c r="C23" s="33" t="s">
        <v>447</v>
      </c>
      <c r="D23" s="33" t="s">
        <v>448</v>
      </c>
      <c r="E23" s="33" t="s">
        <v>449</v>
      </c>
      <c r="F23" s="37" t="s">
        <v>450</v>
      </c>
      <c r="G23" s="40" t="s">
        <v>380</v>
      </c>
      <c r="H23" s="38" t="s">
        <v>327</v>
      </c>
      <c r="I23" s="74">
        <v>44620</v>
      </c>
      <c r="J23" s="74">
        <v>45020</v>
      </c>
      <c r="K23" s="74" t="s">
        <v>312</v>
      </c>
      <c r="L23" s="75" t="s">
        <v>451</v>
      </c>
      <c r="M23" s="76" t="s">
        <v>452</v>
      </c>
      <c r="N23" s="33">
        <v>2</v>
      </c>
      <c r="O23" s="69" t="str">
        <f t="shared" si="23"/>
        <v>2-3年</v>
      </c>
      <c r="P23" s="77" t="s">
        <v>453</v>
      </c>
      <c r="Q23" s="68" t="s">
        <v>454</v>
      </c>
      <c r="R23" s="70">
        <v>35851</v>
      </c>
      <c r="S23" s="44" t="s">
        <v>316</v>
      </c>
      <c r="T23" s="95" t="s">
        <v>345</v>
      </c>
      <c r="U23" s="69" t="str">
        <f t="shared" si="24"/>
        <v>Y</v>
      </c>
      <c r="V23" s="43" t="s">
        <v>398</v>
      </c>
      <c r="W23" s="96" t="s">
        <v>346</v>
      </c>
      <c r="X23" s="43" t="s">
        <v>320</v>
      </c>
      <c r="Y23" s="129">
        <v>60</v>
      </c>
      <c r="Z23" s="131"/>
      <c r="AA23" s="130"/>
      <c r="AB23" s="43"/>
      <c r="AC23" s="130"/>
      <c r="AD23" s="128"/>
      <c r="AE23" s="130">
        <f>(239007498.2+44650700+391873477.48+16306450.45+32072072.07+428181818.18)/10000</f>
        <v>115209.20163800001</v>
      </c>
      <c r="AF23" s="130">
        <f>(239007498.2+391873477.48+32072072.07)/10000</f>
        <v>66295.304775000011</v>
      </c>
      <c r="AG23" s="139">
        <v>2017</v>
      </c>
      <c r="AH23" s="147">
        <f>9358384719.85/10000</f>
        <v>935838.47198500007</v>
      </c>
      <c r="AI23" s="128">
        <f>AF23/AH23</f>
        <v>7.084054220850905E-2</v>
      </c>
      <c r="AJ23" s="130">
        <f>(131154849.54+107964962.62)/10000</f>
        <v>23911.981216000004</v>
      </c>
      <c r="AK23" s="130">
        <f>131154849.54/10000</f>
        <v>13115.484954000001</v>
      </c>
      <c r="AL23" s="139">
        <v>2017</v>
      </c>
      <c r="AM23" s="130">
        <f>1507532172.03/10000</f>
        <v>150753.21720300001</v>
      </c>
      <c r="AN23" s="128">
        <f>AK23/AM23</f>
        <v>8.6999701879257818E-2</v>
      </c>
      <c r="AO23" s="130"/>
      <c r="AP23" s="130"/>
      <c r="AQ23" s="43"/>
      <c r="AR23" s="130"/>
      <c r="AS23" s="128"/>
      <c r="AT23" s="130"/>
      <c r="AU23" s="130"/>
      <c r="AV23" s="139"/>
      <c r="AW23" s="130"/>
      <c r="AX23" s="159"/>
      <c r="AY23" s="76" t="s">
        <v>455</v>
      </c>
      <c r="AZ23" s="161" t="str">
        <f t="shared" si="25"/>
        <v>N</v>
      </c>
      <c r="BA23" s="161" t="str">
        <f t="shared" si="26"/>
        <v>N</v>
      </c>
      <c r="BB23" s="161" t="str">
        <f t="shared" si="27"/>
        <v>Y</v>
      </c>
      <c r="BC23" s="161" t="str">
        <f t="shared" si="28"/>
        <v>N</v>
      </c>
      <c r="BD23" s="161" t="str">
        <f t="shared" si="29"/>
        <v>N</v>
      </c>
      <c r="BE23" s="161" t="str">
        <f t="shared" si="30"/>
        <v>N</v>
      </c>
      <c r="BF23" s="161" t="str">
        <f t="shared" si="31"/>
        <v>N</v>
      </c>
      <c r="BG23" s="161" t="str">
        <f t="shared" si="32"/>
        <v>N</v>
      </c>
      <c r="BH23" s="161" t="str">
        <f t="shared" si="33"/>
        <v>N</v>
      </c>
      <c r="BI23" s="161" t="str">
        <f t="shared" si="34"/>
        <v>N</v>
      </c>
      <c r="BJ23" s="161" t="str">
        <f t="shared" si="35"/>
        <v>N</v>
      </c>
      <c r="BK23" s="161" t="str">
        <f t="shared" si="36"/>
        <v>N</v>
      </c>
      <c r="BL23" s="161" t="str">
        <f t="shared" si="37"/>
        <v>Y</v>
      </c>
      <c r="BM23" s="161" t="str">
        <f t="shared" si="38"/>
        <v>N</v>
      </c>
      <c r="BN23" s="176" t="str">
        <f t="shared" si="39"/>
        <v>N</v>
      </c>
      <c r="BO23" s="179" t="s">
        <v>456</v>
      </c>
      <c r="BP23" s="174" t="str">
        <f t="shared" si="40"/>
        <v>深交所主板</v>
      </c>
      <c r="BQ23" s="180" t="s">
        <v>317</v>
      </c>
      <c r="BR23" s="173">
        <f t="shared" si="41"/>
        <v>36891</v>
      </c>
      <c r="BS23" s="174" t="str">
        <f t="shared" si="19"/>
        <v>N</v>
      </c>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row>
    <row r="24" spans="1:163" s="10" customFormat="1" ht="15" customHeight="1" x14ac:dyDescent="0.35">
      <c r="A24" s="31">
        <v>277</v>
      </c>
      <c r="B24" s="32" t="s">
        <v>457</v>
      </c>
      <c r="C24" s="33" t="s">
        <v>458</v>
      </c>
      <c r="D24" s="33" t="s">
        <v>351</v>
      </c>
      <c r="E24" s="33" t="s">
        <v>404</v>
      </c>
      <c r="F24" s="34" t="s">
        <v>459</v>
      </c>
      <c r="G24" s="42" t="s">
        <v>315</v>
      </c>
      <c r="H24" s="38" t="s">
        <v>327</v>
      </c>
      <c r="I24" s="74">
        <v>44018</v>
      </c>
      <c r="J24" s="74">
        <v>45009</v>
      </c>
      <c r="K24" s="74" t="s">
        <v>312</v>
      </c>
      <c r="L24" s="75" t="s">
        <v>460</v>
      </c>
      <c r="M24" s="76" t="s">
        <v>341</v>
      </c>
      <c r="N24" s="33">
        <v>2.5</v>
      </c>
      <c r="O24" s="69" t="str">
        <f t="shared" si="23"/>
        <v>2-3年</v>
      </c>
      <c r="P24" s="77" t="s">
        <v>461</v>
      </c>
      <c r="Q24" s="68" t="s">
        <v>462</v>
      </c>
      <c r="R24" s="70">
        <v>34270</v>
      </c>
      <c r="S24" s="44" t="s">
        <v>463</v>
      </c>
      <c r="T24" s="95" t="s">
        <v>317</v>
      </c>
      <c r="U24" s="69" t="str">
        <f t="shared" si="24"/>
        <v>Y</v>
      </c>
      <c r="V24" s="43" t="s">
        <v>361</v>
      </c>
      <c r="W24" s="96" t="s">
        <v>361</v>
      </c>
      <c r="X24" s="43" t="s">
        <v>334</v>
      </c>
      <c r="Y24" s="129">
        <v>250</v>
      </c>
      <c r="Z24" s="131"/>
      <c r="AA24" s="130"/>
      <c r="AB24" s="43"/>
      <c r="AC24" s="130"/>
      <c r="AD24" s="128"/>
      <c r="AE24" s="130"/>
      <c r="AF24" s="130"/>
      <c r="AG24" s="139"/>
      <c r="AH24" s="147"/>
      <c r="AI24" s="128"/>
      <c r="AJ24" s="130"/>
      <c r="AK24" s="130"/>
      <c r="AL24" s="139"/>
      <c r="AM24" s="130"/>
      <c r="AN24" s="128"/>
      <c r="AO24" s="130"/>
      <c r="AP24" s="130"/>
      <c r="AQ24" s="43"/>
      <c r="AR24" s="130"/>
      <c r="AS24" s="128"/>
      <c r="AT24" s="130">
        <f>((140100498-125100498)+(1489800498-140100498)+(2916730900-1489800498)+85000000)/10000</f>
        <v>287663.04019999999</v>
      </c>
      <c r="AU24" s="130">
        <f>((1489800498-140100498)+(2916730900-1489800498))/10000</f>
        <v>277663.04019999999</v>
      </c>
      <c r="AV24" s="139">
        <v>2019</v>
      </c>
      <c r="AW24" s="130">
        <f>4592580731.78/10000</f>
        <v>459258.07317799999</v>
      </c>
      <c r="AX24" s="159">
        <f>AU24/AW24</f>
        <v>0.60459043926786427</v>
      </c>
      <c r="AY24" s="76" t="s">
        <v>464</v>
      </c>
      <c r="AZ24" s="161" t="str">
        <f t="shared" si="25"/>
        <v>N</v>
      </c>
      <c r="BA24" s="161" t="str">
        <f t="shared" si="26"/>
        <v>N</v>
      </c>
      <c r="BB24" s="161" t="str">
        <f t="shared" si="27"/>
        <v>N</v>
      </c>
      <c r="BC24" s="161" t="str">
        <f t="shared" si="28"/>
        <v>N</v>
      </c>
      <c r="BD24" s="161" t="str">
        <f t="shared" si="29"/>
        <v>N</v>
      </c>
      <c r="BE24" s="161" t="str">
        <f t="shared" si="30"/>
        <v>N</v>
      </c>
      <c r="BF24" s="161" t="str">
        <f t="shared" si="31"/>
        <v>N</v>
      </c>
      <c r="BG24" s="161" t="str">
        <f t="shared" si="32"/>
        <v>N</v>
      </c>
      <c r="BH24" s="161" t="str">
        <f t="shared" si="33"/>
        <v>N</v>
      </c>
      <c r="BI24" s="161" t="str">
        <f t="shared" si="34"/>
        <v>N</v>
      </c>
      <c r="BJ24" s="161" t="str">
        <f t="shared" si="35"/>
        <v>Y</v>
      </c>
      <c r="BK24" s="161" t="str">
        <f t="shared" si="36"/>
        <v>Y</v>
      </c>
      <c r="BL24" s="161" t="str">
        <f t="shared" si="37"/>
        <v>Y</v>
      </c>
      <c r="BM24" s="161" t="str">
        <f t="shared" si="38"/>
        <v>Y</v>
      </c>
      <c r="BN24" s="176" t="str">
        <f t="shared" si="39"/>
        <v>N</v>
      </c>
      <c r="BO24" s="179" t="s">
        <v>465</v>
      </c>
      <c r="BP24" s="174" t="str">
        <f t="shared" si="40"/>
        <v>深交所主板</v>
      </c>
      <c r="BQ24" s="180" t="s">
        <v>317</v>
      </c>
      <c r="BR24" s="173">
        <f t="shared" si="41"/>
        <v>35064</v>
      </c>
      <c r="BS24" s="174" t="str">
        <f t="shared" si="19"/>
        <v>N</v>
      </c>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row>
    <row r="25" spans="1:163" s="10" customFormat="1" ht="15" customHeight="1" x14ac:dyDescent="0.35">
      <c r="A25" s="31">
        <v>276</v>
      </c>
      <c r="B25" s="32" t="s">
        <v>466</v>
      </c>
      <c r="C25" s="33" t="s">
        <v>467</v>
      </c>
      <c r="D25" s="33" t="s">
        <v>426</v>
      </c>
      <c r="E25" s="33" t="s">
        <v>468</v>
      </c>
      <c r="F25" s="34" t="s">
        <v>469</v>
      </c>
      <c r="G25" s="42" t="s">
        <v>315</v>
      </c>
      <c r="H25" s="41" t="s">
        <v>327</v>
      </c>
      <c r="I25" s="74">
        <v>44923</v>
      </c>
      <c r="J25" s="74">
        <v>45007</v>
      </c>
      <c r="K25" s="74">
        <v>45035</v>
      </c>
      <c r="L25" s="75" t="s">
        <v>470</v>
      </c>
      <c r="M25" s="76">
        <v>2021</v>
      </c>
      <c r="N25" s="33">
        <v>1</v>
      </c>
      <c r="O25" s="69" t="str">
        <f t="shared" si="23"/>
        <v>1-2年</v>
      </c>
      <c r="P25" s="77" t="s">
        <v>370</v>
      </c>
      <c r="Q25" s="68" t="s">
        <v>471</v>
      </c>
      <c r="R25" s="70">
        <v>37054</v>
      </c>
      <c r="S25" s="44" t="s">
        <v>463</v>
      </c>
      <c r="T25" s="95" t="s">
        <v>345</v>
      </c>
      <c r="U25" s="69" t="str">
        <f t="shared" si="24"/>
        <v>Y</v>
      </c>
      <c r="V25" s="43" t="s">
        <v>361</v>
      </c>
      <c r="W25" s="96" t="s">
        <v>361</v>
      </c>
      <c r="X25" s="43" t="s">
        <v>334</v>
      </c>
      <c r="Y25" s="129">
        <v>250</v>
      </c>
      <c r="Z25" s="131"/>
      <c r="AA25" s="130"/>
      <c r="AB25" s="43"/>
      <c r="AC25" s="130"/>
      <c r="AD25" s="132"/>
      <c r="AE25" s="130"/>
      <c r="AF25" s="130"/>
      <c r="AG25" s="139"/>
      <c r="AH25" s="147"/>
      <c r="AI25" s="128"/>
      <c r="AJ25" s="130"/>
      <c r="AK25" s="130"/>
      <c r="AL25" s="139"/>
      <c r="AM25" s="130"/>
      <c r="AN25" s="128"/>
      <c r="AO25" s="130"/>
      <c r="AP25" s="130"/>
      <c r="AQ25" s="43"/>
      <c r="AR25" s="130"/>
      <c r="AS25" s="128"/>
      <c r="AT25" s="130">
        <v>143018.93</v>
      </c>
      <c r="AU25" s="148">
        <v>143018.93</v>
      </c>
      <c r="AV25" s="139">
        <v>2021</v>
      </c>
      <c r="AW25" s="130">
        <f>84891709.85/10000</f>
        <v>8489.1709849999988</v>
      </c>
      <c r="AX25" s="159">
        <f>AU25/AW25</f>
        <v>16.847219858418249</v>
      </c>
      <c r="AY25" s="76" t="s">
        <v>472</v>
      </c>
      <c r="AZ25" s="161" t="str">
        <f t="shared" si="25"/>
        <v>N</v>
      </c>
      <c r="BA25" s="161" t="str">
        <f t="shared" si="26"/>
        <v>N</v>
      </c>
      <c r="BB25" s="161" t="str">
        <f t="shared" si="27"/>
        <v>N</v>
      </c>
      <c r="BC25" s="161" t="str">
        <f t="shared" si="28"/>
        <v>N</v>
      </c>
      <c r="BD25" s="161" t="str">
        <f t="shared" si="29"/>
        <v>N</v>
      </c>
      <c r="BE25" s="161" t="str">
        <f t="shared" si="30"/>
        <v>N</v>
      </c>
      <c r="BF25" s="161" t="str">
        <f t="shared" si="31"/>
        <v>N</v>
      </c>
      <c r="BG25" s="161" t="str">
        <f t="shared" si="32"/>
        <v>N</v>
      </c>
      <c r="BH25" s="161" t="str">
        <f t="shared" si="33"/>
        <v>N</v>
      </c>
      <c r="BI25" s="161" t="str">
        <f t="shared" si="34"/>
        <v>N</v>
      </c>
      <c r="BJ25" s="161" t="str">
        <f t="shared" si="35"/>
        <v>Y</v>
      </c>
      <c r="BK25" s="161" t="str">
        <f t="shared" si="36"/>
        <v>Y</v>
      </c>
      <c r="BL25" s="161" t="str">
        <f t="shared" si="37"/>
        <v>Y</v>
      </c>
      <c r="BM25" s="161" t="str">
        <f t="shared" si="38"/>
        <v>Y</v>
      </c>
      <c r="BN25" s="176" t="str">
        <f t="shared" si="39"/>
        <v>N</v>
      </c>
      <c r="BO25" s="179" t="s">
        <v>473</v>
      </c>
      <c r="BP25" s="174" t="str">
        <f t="shared" si="40"/>
        <v>上交所主板</v>
      </c>
      <c r="BQ25" s="180" t="s">
        <v>317</v>
      </c>
      <c r="BR25" s="173">
        <f t="shared" si="41"/>
        <v>37986</v>
      </c>
      <c r="BS25" s="174" t="str">
        <f t="shared" si="19"/>
        <v>N</v>
      </c>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row>
    <row r="26" spans="1:163" s="10" customFormat="1" ht="15" customHeight="1" x14ac:dyDescent="0.35">
      <c r="A26" s="31">
        <v>275</v>
      </c>
      <c r="B26" s="23" t="s">
        <v>474</v>
      </c>
      <c r="C26" s="33" t="s">
        <v>475</v>
      </c>
      <c r="D26" s="33" t="s">
        <v>351</v>
      </c>
      <c r="E26" s="33" t="s">
        <v>476</v>
      </c>
      <c r="F26" s="34" t="s">
        <v>477</v>
      </c>
      <c r="G26" s="42" t="s">
        <v>315</v>
      </c>
      <c r="H26" s="41" t="s">
        <v>368</v>
      </c>
      <c r="I26" s="74">
        <v>44925</v>
      </c>
      <c r="J26" s="74">
        <v>45000</v>
      </c>
      <c r="K26" s="74">
        <v>45019</v>
      </c>
      <c r="L26" s="75" t="s">
        <v>478</v>
      </c>
      <c r="M26" s="76">
        <v>2019</v>
      </c>
      <c r="N26" s="33">
        <v>1</v>
      </c>
      <c r="O26" s="69" t="str">
        <f t="shared" si="23"/>
        <v>1-2年</v>
      </c>
      <c r="P26" s="77" t="s">
        <v>442</v>
      </c>
      <c r="Q26" s="68" t="s">
        <v>479</v>
      </c>
      <c r="R26" s="70">
        <v>42608</v>
      </c>
      <c r="S26" s="44" t="s">
        <v>397</v>
      </c>
      <c r="T26" s="95" t="s">
        <v>345</v>
      </c>
      <c r="U26" s="69" t="str">
        <f t="shared" si="24"/>
        <v>N</v>
      </c>
      <c r="V26" s="43" t="s">
        <v>361</v>
      </c>
      <c r="W26" s="96" t="s">
        <v>361</v>
      </c>
      <c r="X26" s="43" t="s">
        <v>320</v>
      </c>
      <c r="Y26" s="129">
        <v>120</v>
      </c>
      <c r="Z26" s="131"/>
      <c r="AA26" s="130"/>
      <c r="AB26" s="43"/>
      <c r="AC26" s="130"/>
      <c r="AD26" s="132"/>
      <c r="AE26" s="130"/>
      <c r="AF26" s="130"/>
      <c r="AG26" s="139"/>
      <c r="AH26" s="147"/>
      <c r="AI26" s="128"/>
      <c r="AJ26" s="130"/>
      <c r="AK26" s="130"/>
      <c r="AL26" s="139"/>
      <c r="AM26" s="130"/>
      <c r="AN26" s="128"/>
      <c r="AO26" s="130"/>
      <c r="AP26" s="130"/>
      <c r="AQ26" s="43"/>
      <c r="AR26" s="130"/>
      <c r="AS26" s="128"/>
      <c r="AT26" s="130">
        <v>8200</v>
      </c>
      <c r="AU26" s="148">
        <v>8200</v>
      </c>
      <c r="AV26" s="139">
        <v>2019</v>
      </c>
      <c r="AW26" s="162">
        <f>1253315975.89/10000</f>
        <v>125331.59758900001</v>
      </c>
      <c r="AX26" s="159">
        <f>AU26/AW26</f>
        <v>6.5426438007199633E-2</v>
      </c>
      <c r="AY26" s="76" t="s">
        <v>480</v>
      </c>
      <c r="AZ26" s="161" t="str">
        <f t="shared" si="25"/>
        <v>N</v>
      </c>
      <c r="BA26" s="161" t="str">
        <f t="shared" si="26"/>
        <v>N</v>
      </c>
      <c r="BB26" s="161" t="str">
        <f t="shared" si="27"/>
        <v>N</v>
      </c>
      <c r="BC26" s="161" t="str">
        <f t="shared" si="28"/>
        <v>N</v>
      </c>
      <c r="BD26" s="161" t="str">
        <f t="shared" si="29"/>
        <v>N</v>
      </c>
      <c r="BE26" s="161" t="str">
        <f t="shared" si="30"/>
        <v>N</v>
      </c>
      <c r="BF26" s="161" t="str">
        <f t="shared" si="31"/>
        <v>N</v>
      </c>
      <c r="BG26" s="161" t="str">
        <f t="shared" si="32"/>
        <v>N</v>
      </c>
      <c r="BH26" s="161" t="str">
        <f t="shared" si="33"/>
        <v>N</v>
      </c>
      <c r="BI26" s="161" t="str">
        <f t="shared" si="34"/>
        <v>N</v>
      </c>
      <c r="BJ26" s="161" t="str">
        <f t="shared" si="35"/>
        <v>N</v>
      </c>
      <c r="BK26" s="161" t="str">
        <f t="shared" si="36"/>
        <v>N</v>
      </c>
      <c r="BL26" s="161" t="str">
        <f t="shared" si="37"/>
        <v>N</v>
      </c>
      <c r="BM26" s="161" t="str">
        <f t="shared" si="38"/>
        <v>N</v>
      </c>
      <c r="BN26" s="176" t="str">
        <f t="shared" si="39"/>
        <v>N</v>
      </c>
      <c r="BO26" s="179" t="s">
        <v>481</v>
      </c>
      <c r="BP26" s="174" t="str">
        <f t="shared" si="40"/>
        <v>上交所主板</v>
      </c>
      <c r="BQ26" s="180" t="s">
        <v>317</v>
      </c>
      <c r="BR26" s="173">
        <f t="shared" si="41"/>
        <v>43465</v>
      </c>
      <c r="BS26" s="174" t="str">
        <f t="shared" si="19"/>
        <v>N</v>
      </c>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row>
    <row r="27" spans="1:163" s="7" customFormat="1" ht="15" customHeight="1" x14ac:dyDescent="0.35">
      <c r="A27" s="31">
        <v>274</v>
      </c>
      <c r="B27" s="32" t="s">
        <v>482</v>
      </c>
      <c r="C27" s="33" t="s">
        <v>483</v>
      </c>
      <c r="D27" s="33" t="s">
        <v>351</v>
      </c>
      <c r="E27" s="33" t="s">
        <v>484</v>
      </c>
      <c r="F27" s="34" t="s">
        <v>485</v>
      </c>
      <c r="G27" s="42" t="s">
        <v>380</v>
      </c>
      <c r="H27" s="41" t="s">
        <v>327</v>
      </c>
      <c r="I27" s="78">
        <v>44823</v>
      </c>
      <c r="J27" s="78">
        <v>44994</v>
      </c>
      <c r="K27" s="78">
        <v>45044</v>
      </c>
      <c r="L27" s="79" t="s">
        <v>486</v>
      </c>
      <c r="M27" s="76" t="s">
        <v>487</v>
      </c>
      <c r="N27" s="33">
        <v>4</v>
      </c>
      <c r="O27" s="69" t="str">
        <f t="shared" si="23"/>
        <v>3-5年</v>
      </c>
      <c r="P27" s="69" t="s">
        <v>488</v>
      </c>
      <c r="Q27" s="68" t="s">
        <v>396</v>
      </c>
      <c r="R27" s="70">
        <v>40640</v>
      </c>
      <c r="S27" s="44" t="s">
        <v>332</v>
      </c>
      <c r="T27" s="95" t="s">
        <v>317</v>
      </c>
      <c r="U27" s="69" t="str">
        <f t="shared" si="24"/>
        <v>Y</v>
      </c>
      <c r="V27" s="43" t="s">
        <v>398</v>
      </c>
      <c r="W27" s="96" t="s">
        <v>319</v>
      </c>
      <c r="X27" s="43" t="s">
        <v>334</v>
      </c>
      <c r="Y27" s="129">
        <v>350</v>
      </c>
      <c r="Z27" s="131"/>
      <c r="AA27" s="130"/>
      <c r="AB27" s="43"/>
      <c r="AC27" s="130"/>
      <c r="AD27" s="128"/>
      <c r="AE27" s="130">
        <f>(149321326.27+177672547.44+170319993.28+195105088.69)/10000</f>
        <v>69241.895568000007</v>
      </c>
      <c r="AF27" s="130">
        <f>195105088.69/10000</f>
        <v>19510.508869000001</v>
      </c>
      <c r="AG27" s="139">
        <v>2019</v>
      </c>
      <c r="AH27" s="147">
        <f>1775489399.38/10000</f>
        <v>177548.93993800002</v>
      </c>
      <c r="AI27" s="128">
        <f>AF27/AH27</f>
        <v>0.10988806171308631</v>
      </c>
      <c r="AJ27" s="130">
        <f>(76560466.28+76046139.41+85973047.6+50336099.03)/10000</f>
        <v>28891.575231999999</v>
      </c>
      <c r="AK27" s="130">
        <f>85973047.6/10000</f>
        <v>8597.3047599999991</v>
      </c>
      <c r="AL27" s="139">
        <v>2018</v>
      </c>
      <c r="AM27" s="130">
        <f>122132436.91/10000</f>
        <v>12213.243691</v>
      </c>
      <c r="AN27" s="128">
        <f>AK27/AM27</f>
        <v>0.70393295814898016</v>
      </c>
      <c r="AO27" s="130"/>
      <c r="AP27" s="130"/>
      <c r="AQ27" s="43"/>
      <c r="AR27" s="130"/>
      <c r="AS27" s="128"/>
      <c r="AT27" s="130"/>
      <c r="AU27" s="148"/>
      <c r="AV27" s="139"/>
      <c r="AW27" s="130"/>
      <c r="AX27" s="159"/>
      <c r="AY27" s="76" t="s">
        <v>489</v>
      </c>
      <c r="AZ27" s="161" t="str">
        <f t="shared" si="25"/>
        <v>N</v>
      </c>
      <c r="BA27" s="161" t="str">
        <f t="shared" si="26"/>
        <v>N</v>
      </c>
      <c r="BB27" s="161" t="str">
        <f t="shared" si="27"/>
        <v>N</v>
      </c>
      <c r="BC27" s="161" t="str">
        <f t="shared" si="28"/>
        <v>N</v>
      </c>
      <c r="BD27" s="161" t="str">
        <f t="shared" si="29"/>
        <v>N</v>
      </c>
      <c r="BE27" s="161" t="str">
        <f t="shared" si="30"/>
        <v>Y</v>
      </c>
      <c r="BF27" s="161" t="str">
        <f t="shared" si="31"/>
        <v>N</v>
      </c>
      <c r="BG27" s="161" t="str">
        <f t="shared" si="32"/>
        <v>N</v>
      </c>
      <c r="BH27" s="161" t="str">
        <f t="shared" si="33"/>
        <v>N</v>
      </c>
      <c r="BI27" s="161" t="str">
        <f t="shared" si="34"/>
        <v>N</v>
      </c>
      <c r="BJ27" s="161" t="str">
        <f t="shared" si="35"/>
        <v>N</v>
      </c>
      <c r="BK27" s="161" t="str">
        <f t="shared" si="36"/>
        <v>N</v>
      </c>
      <c r="BL27" s="161" t="str">
        <f t="shared" si="37"/>
        <v>N</v>
      </c>
      <c r="BM27" s="161" t="str">
        <f t="shared" si="38"/>
        <v>Y</v>
      </c>
      <c r="BN27" s="176" t="str">
        <f t="shared" si="39"/>
        <v>N</v>
      </c>
      <c r="BO27" s="179" t="s">
        <v>490</v>
      </c>
      <c r="BP27" s="174" t="str">
        <f t="shared" si="40"/>
        <v>深交所创业板</v>
      </c>
      <c r="BQ27" s="180" t="s">
        <v>317</v>
      </c>
      <c r="BR27" s="173">
        <f t="shared" si="41"/>
        <v>42004</v>
      </c>
      <c r="BS27" s="174" t="str">
        <f t="shared" si="19"/>
        <v>N</v>
      </c>
    </row>
    <row r="28" spans="1:163" s="7" customFormat="1" ht="15" customHeight="1" x14ac:dyDescent="0.35">
      <c r="A28" s="31">
        <v>273</v>
      </c>
      <c r="B28" s="32" t="s">
        <v>491</v>
      </c>
      <c r="C28" s="33" t="s">
        <v>492</v>
      </c>
      <c r="D28" s="33" t="s">
        <v>426</v>
      </c>
      <c r="E28" s="23" t="s">
        <v>493</v>
      </c>
      <c r="F28" s="34" t="s">
        <v>494</v>
      </c>
      <c r="G28" s="42" t="s">
        <v>315</v>
      </c>
      <c r="H28" s="41" t="s">
        <v>327</v>
      </c>
      <c r="I28" s="78">
        <v>44902</v>
      </c>
      <c r="J28" s="78">
        <v>44988</v>
      </c>
      <c r="K28" s="78">
        <v>45013</v>
      </c>
      <c r="L28" s="79" t="s">
        <v>495</v>
      </c>
      <c r="M28" s="76" t="s">
        <v>496</v>
      </c>
      <c r="N28" s="33">
        <v>2</v>
      </c>
      <c r="O28" s="69" t="str">
        <f t="shared" si="23"/>
        <v>2-3年</v>
      </c>
      <c r="P28" s="69" t="s">
        <v>497</v>
      </c>
      <c r="Q28" s="68" t="s">
        <v>498</v>
      </c>
      <c r="R28" s="70">
        <v>40842</v>
      </c>
      <c r="S28" s="44" t="s">
        <v>421</v>
      </c>
      <c r="T28" s="95" t="s">
        <v>345</v>
      </c>
      <c r="U28" s="69" t="str">
        <f t="shared" si="24"/>
        <v>N</v>
      </c>
      <c r="V28" s="43" t="s">
        <v>434</v>
      </c>
      <c r="W28" s="96" t="s">
        <v>499</v>
      </c>
      <c r="X28" s="43" t="s">
        <v>320</v>
      </c>
      <c r="Y28" s="129">
        <v>300</v>
      </c>
      <c r="Z28" s="131"/>
      <c r="AA28" s="130"/>
      <c r="AB28" s="43"/>
      <c r="AC28" s="130"/>
      <c r="AD28" s="128"/>
      <c r="AE28" s="130">
        <f>(39823742.14+62430864.78)/10000</f>
        <v>10225.460692000001</v>
      </c>
      <c r="AF28" s="130">
        <f>62430864.78/10000</f>
        <v>6243.0864780000002</v>
      </c>
      <c r="AG28" s="139">
        <v>2021</v>
      </c>
      <c r="AH28" s="147">
        <f>734046958.85/10000</f>
        <v>73404.695885000008</v>
      </c>
      <c r="AI28" s="128">
        <f>AF28/AH28</f>
        <v>8.5050232859499558E-2</v>
      </c>
      <c r="AJ28" s="130">
        <f>(5716275.28+7054481.14)/10000</f>
        <v>1277.075642</v>
      </c>
      <c r="AK28" s="130">
        <f>7054481.14/10000</f>
        <v>705.44811399999992</v>
      </c>
      <c r="AL28" s="139">
        <v>2021</v>
      </c>
      <c r="AM28" s="130">
        <f>-412111427.84/10000</f>
        <v>-41211.142783999996</v>
      </c>
      <c r="AN28" s="128">
        <f>AK28/AM28</f>
        <v>-1.7117897402104714E-2</v>
      </c>
      <c r="AO28" s="130"/>
      <c r="AP28" s="130"/>
      <c r="AQ28" s="43"/>
      <c r="AR28" s="130"/>
      <c r="AS28" s="128"/>
      <c r="AT28" s="130">
        <f>(501915344.44+4501739)/10000</f>
        <v>50641.708343999999</v>
      </c>
      <c r="AU28" s="148">
        <f>501915344.44/10000</f>
        <v>50191.534443999997</v>
      </c>
      <c r="AV28" s="139">
        <v>2020</v>
      </c>
      <c r="AW28" s="130">
        <f>2792750876.56/10000</f>
        <v>279275.08765599999</v>
      </c>
      <c r="AX28" s="159">
        <f>AU28/AW28</f>
        <v>0.17972077232260669</v>
      </c>
      <c r="AY28" s="76" t="s">
        <v>500</v>
      </c>
      <c r="AZ28" s="161" t="str">
        <f t="shared" si="25"/>
        <v>N</v>
      </c>
      <c r="BA28" s="161" t="str">
        <f t="shared" si="26"/>
        <v>N</v>
      </c>
      <c r="BB28" s="161" t="str">
        <f t="shared" si="27"/>
        <v>N</v>
      </c>
      <c r="BC28" s="161" t="str">
        <f t="shared" si="28"/>
        <v>N</v>
      </c>
      <c r="BD28" s="161" t="str">
        <f t="shared" si="29"/>
        <v>N</v>
      </c>
      <c r="BE28" s="161" t="str">
        <f t="shared" si="30"/>
        <v>N</v>
      </c>
      <c r="BF28" s="161" t="str">
        <f t="shared" si="31"/>
        <v>N</v>
      </c>
      <c r="BG28" s="161" t="str">
        <f t="shared" si="32"/>
        <v>N</v>
      </c>
      <c r="BH28" s="161" t="str">
        <f t="shared" si="33"/>
        <v>N</v>
      </c>
      <c r="BI28" s="161" t="str">
        <f t="shared" si="34"/>
        <v>N</v>
      </c>
      <c r="BJ28" s="161" t="str">
        <f t="shared" si="35"/>
        <v>N</v>
      </c>
      <c r="BK28" s="161" t="str">
        <f t="shared" si="36"/>
        <v>N</v>
      </c>
      <c r="BL28" s="161" t="str">
        <f t="shared" si="37"/>
        <v>N</v>
      </c>
      <c r="BM28" s="161" t="str">
        <f t="shared" si="38"/>
        <v>N</v>
      </c>
      <c r="BN28" s="176" t="str">
        <f t="shared" si="39"/>
        <v>N</v>
      </c>
      <c r="BO28" s="179" t="s">
        <v>501</v>
      </c>
      <c r="BP28" s="174" t="str">
        <f t="shared" si="40"/>
        <v>深交所创业板</v>
      </c>
      <c r="BQ28" s="180" t="s">
        <v>317</v>
      </c>
      <c r="BR28" s="173">
        <f t="shared" si="41"/>
        <v>42004</v>
      </c>
      <c r="BS28" s="171" t="str">
        <f t="shared" ref="BS28:BS47" si="42">IF(BQ28="是","N",IF(OR(R28="-",LEFT(R28)="A"),"Y",IF(OR(LEFT(M28,4)-YEAR(BR28)&gt;0,RIGHT(M28,4)-(YEAR(R28)-3)&lt;0),"N","Y")))</f>
        <v>N</v>
      </c>
    </row>
    <row r="29" spans="1:163" s="7" customFormat="1" ht="15" customHeight="1" x14ac:dyDescent="0.35">
      <c r="A29" s="31">
        <v>272</v>
      </c>
      <c r="B29" s="32" t="s">
        <v>502</v>
      </c>
      <c r="C29" s="33" t="s">
        <v>503</v>
      </c>
      <c r="D29" s="33" t="s">
        <v>426</v>
      </c>
      <c r="E29" s="23" t="s">
        <v>504</v>
      </c>
      <c r="F29" s="37" t="s">
        <v>505</v>
      </c>
      <c r="G29" s="42" t="s">
        <v>315</v>
      </c>
      <c r="H29" s="41" t="s">
        <v>368</v>
      </c>
      <c r="I29" s="80">
        <v>44869</v>
      </c>
      <c r="J29" s="81">
        <v>44985</v>
      </c>
      <c r="K29" s="271">
        <v>45098</v>
      </c>
      <c r="L29" s="82" t="s">
        <v>506</v>
      </c>
      <c r="M29" s="76">
        <v>2017</v>
      </c>
      <c r="N29" s="33">
        <v>1</v>
      </c>
      <c r="O29" s="69" t="str">
        <f t="shared" si="23"/>
        <v>1-2年</v>
      </c>
      <c r="P29" s="69" t="s">
        <v>357</v>
      </c>
      <c r="Q29" s="68" t="s">
        <v>507</v>
      </c>
      <c r="R29" s="70">
        <v>41024</v>
      </c>
      <c r="S29" s="44" t="s">
        <v>508</v>
      </c>
      <c r="T29" s="95" t="s">
        <v>317</v>
      </c>
      <c r="U29" s="69" t="str">
        <f t="shared" si="24"/>
        <v>N</v>
      </c>
      <c r="V29" s="43" t="s">
        <v>398</v>
      </c>
      <c r="W29" s="96" t="s">
        <v>346</v>
      </c>
      <c r="X29" s="43" t="s">
        <v>320</v>
      </c>
      <c r="Y29" s="129">
        <v>30</v>
      </c>
      <c r="Z29" s="126"/>
      <c r="AA29" s="126"/>
      <c r="AB29" s="127"/>
      <c r="AC29" s="126"/>
      <c r="AD29" s="133"/>
      <c r="AE29" s="130">
        <v>9734.39</v>
      </c>
      <c r="AF29" s="130">
        <v>9734.39</v>
      </c>
      <c r="AG29" s="139">
        <v>2017</v>
      </c>
      <c r="AH29" s="147">
        <f>2582463261.82/10000</f>
        <v>258246.32618200002</v>
      </c>
      <c r="AI29" s="128">
        <f>AF29/AH29</f>
        <v>3.7694205156435227E-2</v>
      </c>
      <c r="AJ29" s="130">
        <v>4083.86</v>
      </c>
      <c r="AK29" s="130">
        <v>4083.86</v>
      </c>
      <c r="AL29" s="139">
        <v>2017</v>
      </c>
      <c r="AM29" s="130">
        <f>260546250.43/10000</f>
        <v>26054.625043</v>
      </c>
      <c r="AN29" s="128">
        <f>AK29/AM29</f>
        <v>0.15674222880813232</v>
      </c>
      <c r="AO29" s="126"/>
      <c r="AP29" s="126"/>
      <c r="AQ29" s="127"/>
      <c r="AR29" s="126"/>
      <c r="AS29" s="128"/>
      <c r="AT29" s="126"/>
      <c r="AU29" s="154"/>
      <c r="AV29" s="127"/>
      <c r="AW29" s="126"/>
      <c r="AX29" s="133"/>
      <c r="AY29" s="73" t="s">
        <v>509</v>
      </c>
      <c r="AZ29" s="161" t="str">
        <f t="shared" si="25"/>
        <v>N</v>
      </c>
      <c r="BA29" s="161" t="str">
        <f t="shared" si="26"/>
        <v>N</v>
      </c>
      <c r="BB29" s="161" t="str">
        <f t="shared" si="27"/>
        <v>N</v>
      </c>
      <c r="BC29" s="161" t="str">
        <f t="shared" si="28"/>
        <v>N</v>
      </c>
      <c r="BD29" s="161" t="str">
        <f t="shared" si="29"/>
        <v>N</v>
      </c>
      <c r="BE29" s="161" t="str">
        <f t="shared" si="30"/>
        <v>N</v>
      </c>
      <c r="BF29" s="161" t="str">
        <f t="shared" si="31"/>
        <v>N</v>
      </c>
      <c r="BG29" s="161" t="str">
        <f t="shared" si="32"/>
        <v>N</v>
      </c>
      <c r="BH29" s="161" t="str">
        <f t="shared" si="33"/>
        <v>N</v>
      </c>
      <c r="BI29" s="161" t="str">
        <f t="shared" si="34"/>
        <v>N</v>
      </c>
      <c r="BJ29" s="161" t="str">
        <f t="shared" si="35"/>
        <v>N</v>
      </c>
      <c r="BK29" s="161" t="str">
        <f t="shared" si="36"/>
        <v>N</v>
      </c>
      <c r="BL29" s="161" t="str">
        <f t="shared" si="37"/>
        <v>N</v>
      </c>
      <c r="BM29" s="161" t="str">
        <f t="shared" si="38"/>
        <v>N</v>
      </c>
      <c r="BN29" s="176" t="str">
        <f t="shared" si="39"/>
        <v>N</v>
      </c>
      <c r="BO29" s="179" t="s">
        <v>348</v>
      </c>
      <c r="BP29" s="174" t="str">
        <f t="shared" si="40"/>
        <v>深交所创业板</v>
      </c>
      <c r="BQ29" s="180" t="s">
        <v>317</v>
      </c>
      <c r="BR29" s="173">
        <f t="shared" si="41"/>
        <v>42369</v>
      </c>
      <c r="BS29" s="171" t="str">
        <f t="shared" si="42"/>
        <v>N</v>
      </c>
      <c r="BT29" s="10"/>
      <c r="BU29" s="185"/>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row>
    <row r="30" spans="1:163" s="7" customFormat="1" ht="15" customHeight="1" x14ac:dyDescent="0.35">
      <c r="A30" s="31">
        <v>271</v>
      </c>
      <c r="B30" s="32" t="s">
        <v>510</v>
      </c>
      <c r="C30" s="33" t="s">
        <v>511</v>
      </c>
      <c r="D30" s="43" t="s">
        <v>351</v>
      </c>
      <c r="E30" s="44" t="s">
        <v>512</v>
      </c>
      <c r="F30" s="34" t="s">
        <v>513</v>
      </c>
      <c r="G30" s="42" t="s">
        <v>315</v>
      </c>
      <c r="H30" s="41" t="s">
        <v>327</v>
      </c>
      <c r="I30" s="78">
        <v>44390</v>
      </c>
      <c r="J30" s="78">
        <v>44942</v>
      </c>
      <c r="K30" s="78" t="s">
        <v>312</v>
      </c>
      <c r="L30" s="79" t="s">
        <v>514</v>
      </c>
      <c r="M30" s="73" t="s">
        <v>515</v>
      </c>
      <c r="N30" s="33">
        <v>6</v>
      </c>
      <c r="O30" s="69" t="str">
        <f t="shared" si="23"/>
        <v>5年以上</v>
      </c>
      <c r="P30" s="69" t="s">
        <v>516</v>
      </c>
      <c r="Q30" s="68" t="s">
        <v>517</v>
      </c>
      <c r="R30" s="70">
        <v>39051</v>
      </c>
      <c r="S30" s="44" t="s">
        <v>508</v>
      </c>
      <c r="T30" s="95" t="s">
        <v>317</v>
      </c>
      <c r="U30" s="69" t="str">
        <f t="shared" si="24"/>
        <v>Y</v>
      </c>
      <c r="V30" s="43" t="s">
        <v>398</v>
      </c>
      <c r="W30" s="96" t="s">
        <v>518</v>
      </c>
      <c r="X30" s="43" t="s">
        <v>334</v>
      </c>
      <c r="Y30" s="129">
        <v>400</v>
      </c>
      <c r="Z30" s="131">
        <f>1961.479087+78.054212+543.688025</f>
        <v>2583.2213240000001</v>
      </c>
      <c r="AA30" s="130">
        <f>1961.479087+78.054212+543.688025</f>
        <v>2583.2213240000001</v>
      </c>
      <c r="AB30" s="43">
        <v>2019</v>
      </c>
      <c r="AC30" s="130">
        <v>137341.489351</v>
      </c>
      <c r="AD30" s="128">
        <f>AA30/AC30</f>
        <v>1.880874698684918E-2</v>
      </c>
      <c r="AE30" s="130">
        <f>22498.71799+90775.752129+118825.686332+87597.606837+42029.396568+12422.743364</f>
        <v>374149.90321999998</v>
      </c>
      <c r="AF30" s="130">
        <v>118825.686332</v>
      </c>
      <c r="AG30" s="139">
        <v>2016</v>
      </c>
      <c r="AH30" s="147">
        <v>190060.17492600001</v>
      </c>
      <c r="AI30" s="128">
        <f>AF30/AH30</f>
        <v>0.62520034182997475</v>
      </c>
      <c r="AJ30" s="130">
        <f>4698.88564+15326.756711+14926.947123+8082.751975+7195.307311+2132.76127+6495.105626</f>
        <v>58858.515655999996</v>
      </c>
      <c r="AK30" s="130">
        <v>15326.756711</v>
      </c>
      <c r="AL30" s="139">
        <v>2015</v>
      </c>
      <c r="AM30" s="130">
        <v>18625.297606</v>
      </c>
      <c r="AN30" s="128">
        <f>AK30/AM30</f>
        <v>0.82289996300851587</v>
      </c>
      <c r="AO30" s="130"/>
      <c r="AP30" s="130"/>
      <c r="AQ30" s="43"/>
      <c r="AR30" s="130"/>
      <c r="AS30" s="128"/>
      <c r="AT30" s="130"/>
      <c r="AU30" s="130"/>
      <c r="AV30" s="139"/>
      <c r="AW30" s="130"/>
      <c r="AX30" s="159"/>
      <c r="AY30" s="76" t="s">
        <v>519</v>
      </c>
      <c r="AZ30" s="161" t="str">
        <f t="shared" si="25"/>
        <v>N</v>
      </c>
      <c r="BA30" s="161" t="str">
        <f t="shared" si="26"/>
        <v>N</v>
      </c>
      <c r="BB30" s="161" t="str">
        <f t="shared" si="27"/>
        <v>Y</v>
      </c>
      <c r="BC30" s="161" t="str">
        <f t="shared" si="28"/>
        <v>Y</v>
      </c>
      <c r="BD30" s="161" t="str">
        <f t="shared" si="29"/>
        <v>N</v>
      </c>
      <c r="BE30" s="161" t="str">
        <f t="shared" si="30"/>
        <v>Y</v>
      </c>
      <c r="BF30" s="161" t="str">
        <f t="shared" si="31"/>
        <v>N</v>
      </c>
      <c r="BG30" s="161" t="str">
        <f t="shared" si="32"/>
        <v>N</v>
      </c>
      <c r="BH30" s="161" t="str">
        <f t="shared" si="33"/>
        <v>N</v>
      </c>
      <c r="BI30" s="161" t="str">
        <f t="shared" si="34"/>
        <v>N</v>
      </c>
      <c r="BJ30" s="161" t="str">
        <f t="shared" si="35"/>
        <v>N</v>
      </c>
      <c r="BK30" s="161" t="str">
        <f t="shared" si="36"/>
        <v>N</v>
      </c>
      <c r="BL30" s="161" t="str">
        <f t="shared" si="37"/>
        <v>Y</v>
      </c>
      <c r="BM30" s="161" t="str">
        <f t="shared" si="38"/>
        <v>Y</v>
      </c>
      <c r="BN30" s="176" t="str">
        <f t="shared" si="39"/>
        <v>N</v>
      </c>
      <c r="BO30" s="179" t="s">
        <v>520</v>
      </c>
      <c r="BP30" s="174" t="str">
        <f t="shared" si="40"/>
        <v>深交所主板</v>
      </c>
      <c r="BQ30" s="180" t="s">
        <v>317</v>
      </c>
      <c r="BR30" s="173">
        <f t="shared" si="41"/>
        <v>39813</v>
      </c>
      <c r="BS30" s="171" t="str">
        <f t="shared" si="42"/>
        <v>N</v>
      </c>
    </row>
    <row r="31" spans="1:163" s="7" customFormat="1" ht="15" customHeight="1" x14ac:dyDescent="0.35">
      <c r="A31" s="31">
        <v>270</v>
      </c>
      <c r="B31" s="45" t="s">
        <v>521</v>
      </c>
      <c r="C31" s="33" t="s">
        <v>522</v>
      </c>
      <c r="D31" s="43" t="s">
        <v>351</v>
      </c>
      <c r="E31" s="44" t="s">
        <v>512</v>
      </c>
      <c r="F31" s="34" t="s">
        <v>523</v>
      </c>
      <c r="G31" s="42" t="s">
        <v>315</v>
      </c>
      <c r="H31" s="41" t="s">
        <v>368</v>
      </c>
      <c r="I31" s="78">
        <v>44798</v>
      </c>
      <c r="J31" s="78">
        <v>44924</v>
      </c>
      <c r="K31" s="78">
        <v>44966</v>
      </c>
      <c r="L31" s="79" t="s">
        <v>524</v>
      </c>
      <c r="M31" s="76">
        <v>2021</v>
      </c>
      <c r="N31" s="33">
        <v>1</v>
      </c>
      <c r="O31" s="69" t="str">
        <f t="shared" si="23"/>
        <v>1-2年</v>
      </c>
      <c r="P31" s="69" t="s">
        <v>370</v>
      </c>
      <c r="Q31" s="33" t="s">
        <v>525</v>
      </c>
      <c r="R31" s="70">
        <v>40491</v>
      </c>
      <c r="S31" s="44" t="s">
        <v>410</v>
      </c>
      <c r="T31" s="95" t="s">
        <v>317</v>
      </c>
      <c r="U31" s="69" t="str">
        <f t="shared" si="24"/>
        <v>N</v>
      </c>
      <c r="V31" s="43" t="s">
        <v>318</v>
      </c>
      <c r="W31" s="96" t="s">
        <v>346</v>
      </c>
      <c r="X31" s="43" t="s">
        <v>334</v>
      </c>
      <c r="Y31" s="129">
        <v>300</v>
      </c>
      <c r="Z31" s="130"/>
      <c r="AA31" s="130"/>
      <c r="AB31" s="43"/>
      <c r="AC31" s="130"/>
      <c r="AD31" s="128"/>
      <c r="AE31" s="130">
        <v>6719.35</v>
      </c>
      <c r="AF31" s="130">
        <v>6719.35</v>
      </c>
      <c r="AG31" s="139">
        <v>2021</v>
      </c>
      <c r="AH31" s="147">
        <v>17001.23</v>
      </c>
      <c r="AI31" s="128">
        <f>AF31/AH31</f>
        <v>0.39522728649632999</v>
      </c>
      <c r="AJ31" s="130"/>
      <c r="AK31" s="130"/>
      <c r="AL31" s="139"/>
      <c r="AM31" s="130"/>
      <c r="AN31" s="128"/>
      <c r="AO31" s="130"/>
      <c r="AP31" s="130"/>
      <c r="AQ31" s="43"/>
      <c r="AR31" s="130"/>
      <c r="AS31" s="128"/>
      <c r="AT31" s="130"/>
      <c r="AU31" s="130"/>
      <c r="AV31" s="139"/>
      <c r="AW31" s="148"/>
      <c r="AX31" s="159"/>
      <c r="AY31" s="76" t="s">
        <v>526</v>
      </c>
      <c r="AZ31" s="161" t="str">
        <f t="shared" si="25"/>
        <v>N</v>
      </c>
      <c r="BA31" s="161" t="str">
        <f t="shared" si="26"/>
        <v>N</v>
      </c>
      <c r="BB31" s="161" t="str">
        <f t="shared" si="27"/>
        <v>N</v>
      </c>
      <c r="BC31" s="161" t="str">
        <f t="shared" si="28"/>
        <v>N</v>
      </c>
      <c r="BD31" s="161" t="str">
        <f t="shared" si="29"/>
        <v>N</v>
      </c>
      <c r="BE31" s="161" t="str">
        <f t="shared" si="30"/>
        <v>N</v>
      </c>
      <c r="BF31" s="161" t="str">
        <f t="shared" si="31"/>
        <v>N</v>
      </c>
      <c r="BG31" s="161" t="str">
        <f t="shared" si="32"/>
        <v>N</v>
      </c>
      <c r="BH31" s="161" t="str">
        <f t="shared" si="33"/>
        <v>N</v>
      </c>
      <c r="BI31" s="161" t="str">
        <f t="shared" si="34"/>
        <v>N</v>
      </c>
      <c r="BJ31" s="161" t="str">
        <f t="shared" si="35"/>
        <v>N</v>
      </c>
      <c r="BK31" s="161" t="str">
        <f t="shared" si="36"/>
        <v>N</v>
      </c>
      <c r="BL31" s="161" t="str">
        <f t="shared" si="37"/>
        <v>N</v>
      </c>
      <c r="BM31" s="161" t="str">
        <f t="shared" si="38"/>
        <v>N</v>
      </c>
      <c r="BN31" s="176" t="str">
        <f t="shared" si="39"/>
        <v>N</v>
      </c>
      <c r="BO31" s="179" t="s">
        <v>527</v>
      </c>
      <c r="BP31" s="174" t="str">
        <f t="shared" si="40"/>
        <v>深交所主板</v>
      </c>
      <c r="BQ31" s="181" t="s">
        <v>317</v>
      </c>
      <c r="BR31" s="173">
        <f t="shared" si="41"/>
        <v>41274</v>
      </c>
      <c r="BS31" s="171" t="str">
        <f t="shared" si="42"/>
        <v>N</v>
      </c>
    </row>
    <row r="32" spans="1:163" s="7" customFormat="1" ht="15" customHeight="1" x14ac:dyDescent="0.35">
      <c r="A32" s="31">
        <v>269</v>
      </c>
      <c r="B32" s="32" t="s">
        <v>528</v>
      </c>
      <c r="C32" s="33" t="s">
        <v>529</v>
      </c>
      <c r="D32" s="43" t="s">
        <v>351</v>
      </c>
      <c r="E32" s="44" t="s">
        <v>352</v>
      </c>
      <c r="F32" s="34" t="s">
        <v>530</v>
      </c>
      <c r="G32" s="42" t="s">
        <v>315</v>
      </c>
      <c r="H32" s="41" t="s">
        <v>368</v>
      </c>
      <c r="I32" s="78">
        <v>44895</v>
      </c>
      <c r="J32" s="78">
        <v>44922</v>
      </c>
      <c r="K32" s="78">
        <v>44925</v>
      </c>
      <c r="L32" s="79" t="s">
        <v>531</v>
      </c>
      <c r="M32" s="73" t="s">
        <v>532</v>
      </c>
      <c r="N32" s="33">
        <v>1.5</v>
      </c>
      <c r="O32" s="69" t="str">
        <f t="shared" si="23"/>
        <v>1-2年</v>
      </c>
      <c r="P32" s="69" t="s">
        <v>533</v>
      </c>
      <c r="Q32" s="33" t="s">
        <v>534</v>
      </c>
      <c r="R32" s="70">
        <v>42661</v>
      </c>
      <c r="S32" s="44" t="s">
        <v>508</v>
      </c>
      <c r="T32" s="95" t="s">
        <v>317</v>
      </c>
      <c r="U32" s="69" t="str">
        <f t="shared" si="24"/>
        <v>N</v>
      </c>
      <c r="V32" s="43" t="s">
        <v>361</v>
      </c>
      <c r="W32" s="96" t="s">
        <v>361</v>
      </c>
      <c r="X32" s="43" t="s">
        <v>320</v>
      </c>
      <c r="Y32" s="129">
        <v>150</v>
      </c>
      <c r="Z32" s="130"/>
      <c r="AA32" s="130"/>
      <c r="AB32" s="43"/>
      <c r="AC32" s="130"/>
      <c r="AD32" s="128"/>
      <c r="AE32" s="130"/>
      <c r="AF32" s="130"/>
      <c r="AG32" s="139"/>
      <c r="AH32" s="147"/>
      <c r="AI32" s="128"/>
      <c r="AJ32" s="130"/>
      <c r="AK32" s="130"/>
      <c r="AL32" s="139"/>
      <c r="AM32" s="130"/>
      <c r="AN32" s="128"/>
      <c r="AO32" s="130"/>
      <c r="AP32" s="130"/>
      <c r="AQ32" s="43"/>
      <c r="AR32" s="130"/>
      <c r="AS32" s="128"/>
      <c r="AT32" s="130">
        <v>15580</v>
      </c>
      <c r="AU32" s="130">
        <f>8650</f>
        <v>8650</v>
      </c>
      <c r="AV32" s="139">
        <v>2021</v>
      </c>
      <c r="AW32" s="130">
        <v>63564.02</v>
      </c>
      <c r="AX32" s="159">
        <f>AU32/AW32</f>
        <v>0.13608327478343882</v>
      </c>
      <c r="AY32" s="76" t="s">
        <v>535</v>
      </c>
      <c r="AZ32" s="161" t="str">
        <f t="shared" si="25"/>
        <v>N</v>
      </c>
      <c r="BA32" s="161" t="str">
        <f t="shared" si="26"/>
        <v>N</v>
      </c>
      <c r="BB32" s="161" t="str">
        <f t="shared" si="27"/>
        <v>N</v>
      </c>
      <c r="BC32" s="161" t="str">
        <f t="shared" si="28"/>
        <v>N</v>
      </c>
      <c r="BD32" s="161" t="str">
        <f t="shared" si="29"/>
        <v>N</v>
      </c>
      <c r="BE32" s="161" t="str">
        <f t="shared" si="30"/>
        <v>N</v>
      </c>
      <c r="BF32" s="161" t="str">
        <f t="shared" si="31"/>
        <v>N</v>
      </c>
      <c r="BG32" s="161" t="str">
        <f t="shared" si="32"/>
        <v>N</v>
      </c>
      <c r="BH32" s="161" t="str">
        <f t="shared" si="33"/>
        <v>N</v>
      </c>
      <c r="BI32" s="161" t="str">
        <f t="shared" si="34"/>
        <v>N</v>
      </c>
      <c r="BJ32" s="161" t="str">
        <f t="shared" si="35"/>
        <v>N</v>
      </c>
      <c r="BK32" s="161" t="str">
        <f t="shared" si="36"/>
        <v>N</v>
      </c>
      <c r="BL32" s="161" t="str">
        <f t="shared" si="37"/>
        <v>N</v>
      </c>
      <c r="BM32" s="161" t="str">
        <f t="shared" si="38"/>
        <v>N</v>
      </c>
      <c r="BN32" s="176" t="str">
        <f t="shared" si="39"/>
        <v>N</v>
      </c>
      <c r="BO32" s="179" t="s">
        <v>536</v>
      </c>
      <c r="BP32" s="174" t="str">
        <f t="shared" si="40"/>
        <v>深交所创业板</v>
      </c>
      <c r="BQ32" s="180" t="s">
        <v>317</v>
      </c>
      <c r="BR32" s="173">
        <f t="shared" si="41"/>
        <v>43830</v>
      </c>
      <c r="BS32" s="171" t="str">
        <f t="shared" si="42"/>
        <v>N</v>
      </c>
    </row>
    <row r="33" spans="1:163" s="7" customFormat="1" ht="15" customHeight="1" x14ac:dyDescent="0.35">
      <c r="A33" s="31">
        <v>268</v>
      </c>
      <c r="B33" s="32" t="s">
        <v>537</v>
      </c>
      <c r="C33" s="33" t="s">
        <v>538</v>
      </c>
      <c r="D33" s="43" t="s">
        <v>377</v>
      </c>
      <c r="E33" s="44" t="s">
        <v>539</v>
      </c>
      <c r="F33" s="46" t="s">
        <v>540</v>
      </c>
      <c r="G33" s="47" t="s">
        <v>315</v>
      </c>
      <c r="H33" s="41" t="s">
        <v>368</v>
      </c>
      <c r="I33" s="78">
        <v>44888</v>
      </c>
      <c r="J33" s="78">
        <v>44922</v>
      </c>
      <c r="K33" s="78">
        <v>44924</v>
      </c>
      <c r="L33" s="79" t="s">
        <v>541</v>
      </c>
      <c r="M33" s="76">
        <v>2020</v>
      </c>
      <c r="N33" s="33">
        <v>1</v>
      </c>
      <c r="O33" s="69" t="str">
        <f t="shared" si="23"/>
        <v>1-2年</v>
      </c>
      <c r="P33" s="69" t="s">
        <v>542</v>
      </c>
      <c r="Q33" s="33" t="s">
        <v>498</v>
      </c>
      <c r="R33" s="70">
        <v>40163</v>
      </c>
      <c r="S33" s="44" t="s">
        <v>543</v>
      </c>
      <c r="T33" s="95" t="s">
        <v>317</v>
      </c>
      <c r="U33" s="69" t="str">
        <f t="shared" si="24"/>
        <v>N</v>
      </c>
      <c r="V33" s="43" t="s">
        <v>318</v>
      </c>
      <c r="W33" s="96" t="s">
        <v>544</v>
      </c>
      <c r="X33" s="43" t="s">
        <v>320</v>
      </c>
      <c r="Y33" s="129">
        <v>150</v>
      </c>
      <c r="Z33" s="130"/>
      <c r="AA33" s="130"/>
      <c r="AB33" s="43"/>
      <c r="AC33" s="130"/>
      <c r="AD33" s="128"/>
      <c r="AE33" s="130"/>
      <c r="AF33" s="130"/>
      <c r="AG33" s="139"/>
      <c r="AH33" s="147"/>
      <c r="AI33" s="128"/>
      <c r="AJ33" s="130">
        <v>16775.3</v>
      </c>
      <c r="AK33" s="130">
        <v>16775.3</v>
      </c>
      <c r="AL33" s="139">
        <v>2020</v>
      </c>
      <c r="AM33" s="130">
        <f>-1020741197.64/10000</f>
        <v>-102074.119764</v>
      </c>
      <c r="AN33" s="128">
        <f>AK33/AM33</f>
        <v>-0.16434430234407363</v>
      </c>
      <c r="AO33" s="130"/>
      <c r="AP33" s="130"/>
      <c r="AQ33" s="43"/>
      <c r="AR33" s="130"/>
      <c r="AS33" s="128"/>
      <c r="AT33" s="130"/>
      <c r="AU33" s="130"/>
      <c r="AV33" s="139"/>
      <c r="AW33" s="130"/>
      <c r="AX33" s="163"/>
      <c r="AY33" s="76" t="s">
        <v>545</v>
      </c>
      <c r="AZ33" s="161" t="str">
        <f t="shared" si="25"/>
        <v>N</v>
      </c>
      <c r="BA33" s="161" t="str">
        <f t="shared" si="26"/>
        <v>N</v>
      </c>
      <c r="BB33" s="161" t="str">
        <f t="shared" si="27"/>
        <v>N</v>
      </c>
      <c r="BC33" s="161" t="str">
        <f t="shared" si="28"/>
        <v>N</v>
      </c>
      <c r="BD33" s="161" t="str">
        <f t="shared" si="29"/>
        <v>N</v>
      </c>
      <c r="BE33" s="161" t="str">
        <f t="shared" si="30"/>
        <v>N</v>
      </c>
      <c r="BF33" s="161" t="str">
        <f t="shared" si="31"/>
        <v>N</v>
      </c>
      <c r="BG33" s="161" t="str">
        <f t="shared" si="32"/>
        <v>N</v>
      </c>
      <c r="BH33" s="161" t="str">
        <f t="shared" si="33"/>
        <v>N</v>
      </c>
      <c r="BI33" s="161" t="str">
        <f t="shared" si="34"/>
        <v>N</v>
      </c>
      <c r="BJ33" s="161" t="str">
        <f t="shared" si="35"/>
        <v>N</v>
      </c>
      <c r="BK33" s="161" t="str">
        <f t="shared" si="36"/>
        <v>N</v>
      </c>
      <c r="BL33" s="161" t="str">
        <f t="shared" si="37"/>
        <v>N</v>
      </c>
      <c r="BM33" s="161" t="str">
        <f t="shared" si="38"/>
        <v>N</v>
      </c>
      <c r="BN33" s="176" t="str">
        <f t="shared" si="39"/>
        <v>N</v>
      </c>
      <c r="BO33" s="182" t="s">
        <v>546</v>
      </c>
      <c r="BP33" s="174" t="str">
        <f t="shared" si="40"/>
        <v>深交所主板</v>
      </c>
      <c r="BQ33" s="181" t="s">
        <v>317</v>
      </c>
      <c r="BR33" s="173">
        <f t="shared" si="41"/>
        <v>40908</v>
      </c>
      <c r="BS33" s="171" t="str">
        <f t="shared" si="42"/>
        <v>N</v>
      </c>
    </row>
    <row r="34" spans="1:163" s="10" customFormat="1" ht="15.6" x14ac:dyDescent="0.35">
      <c r="A34" s="31">
        <v>267</v>
      </c>
      <c r="B34" s="32" t="s">
        <v>547</v>
      </c>
      <c r="C34" s="33" t="s">
        <v>548</v>
      </c>
      <c r="D34" s="43" t="s">
        <v>351</v>
      </c>
      <c r="E34" s="43" t="s">
        <v>549</v>
      </c>
      <c r="F34" s="34" t="s">
        <v>550</v>
      </c>
      <c r="G34" s="42" t="s">
        <v>315</v>
      </c>
      <c r="H34" s="41" t="s">
        <v>368</v>
      </c>
      <c r="I34" s="74">
        <v>44886</v>
      </c>
      <c r="J34" s="74">
        <v>44921</v>
      </c>
      <c r="K34" s="78">
        <v>44925</v>
      </c>
      <c r="L34" s="75" t="s">
        <v>551</v>
      </c>
      <c r="M34" s="73" t="s">
        <v>552</v>
      </c>
      <c r="N34" s="33">
        <v>3</v>
      </c>
      <c r="O34" s="69" t="str">
        <f t="shared" si="23"/>
        <v>3-5年</v>
      </c>
      <c r="P34" s="69" t="s">
        <v>553</v>
      </c>
      <c r="Q34" s="33" t="s">
        <v>554</v>
      </c>
      <c r="R34" s="70">
        <v>35489</v>
      </c>
      <c r="S34" s="44" t="s">
        <v>555</v>
      </c>
      <c r="T34" s="95" t="s">
        <v>345</v>
      </c>
      <c r="U34" s="69" t="str">
        <f t="shared" si="24"/>
        <v>Y</v>
      </c>
      <c r="V34" s="43" t="s">
        <v>398</v>
      </c>
      <c r="W34" s="96" t="s">
        <v>399</v>
      </c>
      <c r="X34" s="43" t="s">
        <v>320</v>
      </c>
      <c r="Y34" s="129">
        <v>120</v>
      </c>
      <c r="Z34" s="130"/>
      <c r="AA34" s="130"/>
      <c r="AB34" s="43"/>
      <c r="AC34" s="130"/>
      <c r="AD34" s="132"/>
      <c r="AE34" s="130">
        <f>2220+679.3</f>
        <v>2899.3</v>
      </c>
      <c r="AF34" s="130">
        <f>2220+679.3</f>
        <v>2899.3</v>
      </c>
      <c r="AG34" s="139">
        <v>2020</v>
      </c>
      <c r="AH34" s="147">
        <v>612445.26</v>
      </c>
      <c r="AI34" s="128">
        <f>AF34/AH34</f>
        <v>4.7339741024365186E-3</v>
      </c>
      <c r="AJ34" s="130">
        <f>2220+679.3+100+197.71</f>
        <v>3197.01</v>
      </c>
      <c r="AK34" s="130">
        <f>2220+679.3+100+197.71</f>
        <v>3197.01</v>
      </c>
      <c r="AL34" s="139">
        <v>2020</v>
      </c>
      <c r="AM34" s="130">
        <v>3897.43</v>
      </c>
      <c r="AN34" s="128">
        <f>AK34/AM34</f>
        <v>0.8202867017496146</v>
      </c>
      <c r="AO34" s="130"/>
      <c r="AP34" s="130"/>
      <c r="AQ34" s="43"/>
      <c r="AR34" s="130"/>
      <c r="AS34" s="132"/>
      <c r="AT34" s="130"/>
      <c r="AU34" s="130"/>
      <c r="AV34" s="139"/>
      <c r="AW34" s="130"/>
      <c r="AX34" s="164"/>
      <c r="AY34" s="73" t="s">
        <v>556</v>
      </c>
      <c r="AZ34" s="161" t="str">
        <f t="shared" si="25"/>
        <v>N</v>
      </c>
      <c r="BA34" s="161" t="str">
        <f t="shared" si="26"/>
        <v>N</v>
      </c>
      <c r="BB34" s="161" t="str">
        <f t="shared" si="27"/>
        <v>N</v>
      </c>
      <c r="BC34" s="161" t="str">
        <f t="shared" si="28"/>
        <v>N</v>
      </c>
      <c r="BD34" s="161" t="str">
        <f t="shared" si="29"/>
        <v>N</v>
      </c>
      <c r="BE34" s="161" t="str">
        <f t="shared" si="30"/>
        <v>Y</v>
      </c>
      <c r="BF34" s="161" t="str">
        <f t="shared" si="31"/>
        <v>N</v>
      </c>
      <c r="BG34" s="161" t="str">
        <f t="shared" si="32"/>
        <v>N</v>
      </c>
      <c r="BH34" s="161" t="str">
        <f t="shared" si="33"/>
        <v>N</v>
      </c>
      <c r="BI34" s="161" t="str">
        <f t="shared" si="34"/>
        <v>N</v>
      </c>
      <c r="BJ34" s="161" t="str">
        <f t="shared" si="35"/>
        <v>N</v>
      </c>
      <c r="BK34" s="161" t="str">
        <f t="shared" si="36"/>
        <v>N</v>
      </c>
      <c r="BL34" s="161" t="str">
        <f t="shared" si="37"/>
        <v>N</v>
      </c>
      <c r="BM34" s="161" t="str">
        <f t="shared" si="38"/>
        <v>Y</v>
      </c>
      <c r="BN34" s="176" t="str">
        <f t="shared" si="39"/>
        <v>N</v>
      </c>
      <c r="BO34" s="182"/>
      <c r="BP34" s="174" t="str">
        <f t="shared" si="40"/>
        <v>深交所主板</v>
      </c>
      <c r="BQ34" s="181" t="s">
        <v>317</v>
      </c>
      <c r="BR34" s="173">
        <f t="shared" si="41"/>
        <v>36525</v>
      </c>
      <c r="BS34" s="171" t="str">
        <f t="shared" si="42"/>
        <v>N</v>
      </c>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row>
    <row r="35" spans="1:163" s="7" customFormat="1" ht="15" customHeight="1" x14ac:dyDescent="0.35">
      <c r="A35" s="31">
        <v>266</v>
      </c>
      <c r="B35" s="32" t="s">
        <v>557</v>
      </c>
      <c r="C35" s="33" t="s">
        <v>558</v>
      </c>
      <c r="D35" s="43" t="s">
        <v>351</v>
      </c>
      <c r="E35" s="44" t="s">
        <v>512</v>
      </c>
      <c r="F35" s="46" t="s">
        <v>559</v>
      </c>
      <c r="G35" s="47" t="s">
        <v>315</v>
      </c>
      <c r="H35" s="41" t="s">
        <v>327</v>
      </c>
      <c r="I35" s="78">
        <v>44893</v>
      </c>
      <c r="J35" s="78">
        <v>44918</v>
      </c>
      <c r="K35" s="78">
        <v>44925</v>
      </c>
      <c r="L35" s="79" t="s">
        <v>560</v>
      </c>
      <c r="M35" s="76">
        <v>2021</v>
      </c>
      <c r="N35" s="33">
        <v>1</v>
      </c>
      <c r="O35" s="69" t="str">
        <f t="shared" si="23"/>
        <v>1-2年</v>
      </c>
      <c r="P35" s="69" t="s">
        <v>370</v>
      </c>
      <c r="Q35" s="33" t="s">
        <v>507</v>
      </c>
      <c r="R35" s="70">
        <v>44209</v>
      </c>
      <c r="S35" s="44" t="s">
        <v>421</v>
      </c>
      <c r="T35" s="95" t="s">
        <v>317</v>
      </c>
      <c r="U35" s="69" t="str">
        <f t="shared" si="24"/>
        <v>N</v>
      </c>
      <c r="V35" s="43" t="s">
        <v>361</v>
      </c>
      <c r="W35" s="96" t="s">
        <v>361</v>
      </c>
      <c r="X35" s="43" t="s">
        <v>320</v>
      </c>
      <c r="Y35" s="129">
        <v>100</v>
      </c>
      <c r="Z35" s="130"/>
      <c r="AA35" s="130"/>
      <c r="AB35" s="43"/>
      <c r="AC35" s="130"/>
      <c r="AD35" s="128"/>
      <c r="AE35" s="130"/>
      <c r="AF35" s="130"/>
      <c r="AG35" s="139"/>
      <c r="AH35" s="147"/>
      <c r="AI35" s="128"/>
      <c r="AJ35" s="130"/>
      <c r="AK35" s="130"/>
      <c r="AL35" s="139"/>
      <c r="AM35" s="130"/>
      <c r="AN35" s="128"/>
      <c r="AO35" s="130"/>
      <c r="AP35" s="130"/>
      <c r="AQ35" s="43"/>
      <c r="AR35" s="130"/>
      <c r="AS35" s="128"/>
      <c r="AT35" s="130">
        <f>1700+0.96</f>
        <v>1700.96</v>
      </c>
      <c r="AU35" s="130">
        <f>1700+0.96</f>
        <v>1700.96</v>
      </c>
      <c r="AV35" s="139">
        <v>2021</v>
      </c>
      <c r="AW35" s="130">
        <v>77000.17</v>
      </c>
      <c r="AX35" s="163">
        <f>AU35/AW35</f>
        <v>2.2090340839507238E-2</v>
      </c>
      <c r="AY35" s="76" t="s">
        <v>561</v>
      </c>
      <c r="AZ35" s="161" t="str">
        <f t="shared" si="25"/>
        <v>N</v>
      </c>
      <c r="BA35" s="161" t="str">
        <f t="shared" si="26"/>
        <v>N</v>
      </c>
      <c r="BB35" s="161" t="str">
        <f t="shared" si="27"/>
        <v>N</v>
      </c>
      <c r="BC35" s="161" t="str">
        <f t="shared" si="28"/>
        <v>N</v>
      </c>
      <c r="BD35" s="161" t="str">
        <f t="shared" si="29"/>
        <v>N</v>
      </c>
      <c r="BE35" s="161" t="str">
        <f t="shared" si="30"/>
        <v>N</v>
      </c>
      <c r="BF35" s="161" t="str">
        <f t="shared" si="31"/>
        <v>N</v>
      </c>
      <c r="BG35" s="161" t="str">
        <f t="shared" si="32"/>
        <v>N</v>
      </c>
      <c r="BH35" s="161" t="str">
        <f t="shared" si="33"/>
        <v>N</v>
      </c>
      <c r="BI35" s="161" t="str">
        <f t="shared" si="34"/>
        <v>N</v>
      </c>
      <c r="BJ35" s="161" t="str">
        <f t="shared" si="35"/>
        <v>N</v>
      </c>
      <c r="BK35" s="161" t="str">
        <f t="shared" si="36"/>
        <v>N</v>
      </c>
      <c r="BL35" s="161" t="str">
        <f t="shared" si="37"/>
        <v>N</v>
      </c>
      <c r="BM35" s="161" t="str">
        <f t="shared" si="38"/>
        <v>N</v>
      </c>
      <c r="BN35" s="176" t="str">
        <f t="shared" si="39"/>
        <v>N</v>
      </c>
      <c r="BO35" s="182" t="s">
        <v>562</v>
      </c>
      <c r="BP35" s="174" t="str">
        <f t="shared" si="40"/>
        <v>上交所科创板</v>
      </c>
      <c r="BQ35" s="181" t="s">
        <v>317</v>
      </c>
      <c r="BR35" s="173">
        <f t="shared" si="41"/>
        <v>45657</v>
      </c>
      <c r="BS35" s="171" t="str">
        <f t="shared" si="42"/>
        <v>Y</v>
      </c>
    </row>
    <row r="36" spans="1:163" s="7" customFormat="1" ht="15" customHeight="1" x14ac:dyDescent="0.35">
      <c r="A36" s="31">
        <v>265</v>
      </c>
      <c r="B36" s="32" t="s">
        <v>563</v>
      </c>
      <c r="C36" s="33" t="s">
        <v>564</v>
      </c>
      <c r="D36" s="43" t="s">
        <v>565</v>
      </c>
      <c r="E36" s="44" t="s">
        <v>566</v>
      </c>
      <c r="F36" s="46" t="s">
        <v>567</v>
      </c>
      <c r="G36" s="47" t="s">
        <v>315</v>
      </c>
      <c r="H36" s="41" t="s">
        <v>327</v>
      </c>
      <c r="I36" s="78">
        <v>44887</v>
      </c>
      <c r="J36" s="78">
        <v>44907</v>
      </c>
      <c r="K36" s="78">
        <v>44918</v>
      </c>
      <c r="L36" s="79" t="s">
        <v>568</v>
      </c>
      <c r="M36" s="76" t="s">
        <v>532</v>
      </c>
      <c r="N36" s="33">
        <v>1.25</v>
      </c>
      <c r="O36" s="69" t="str">
        <f t="shared" si="23"/>
        <v>1-2年</v>
      </c>
      <c r="P36" s="69" t="s">
        <v>569</v>
      </c>
      <c r="Q36" s="33" t="s">
        <v>396</v>
      </c>
      <c r="R36" s="70">
        <v>40297</v>
      </c>
      <c r="S36" s="44" t="s">
        <v>570</v>
      </c>
      <c r="T36" s="95" t="s">
        <v>317</v>
      </c>
      <c r="U36" s="69" t="str">
        <f t="shared" si="24"/>
        <v>N</v>
      </c>
      <c r="V36" s="43" t="s">
        <v>361</v>
      </c>
      <c r="W36" s="96" t="s">
        <v>361</v>
      </c>
      <c r="X36" s="99" t="s">
        <v>320</v>
      </c>
      <c r="Y36" s="129">
        <v>50</v>
      </c>
      <c r="Z36" s="130"/>
      <c r="AA36" s="130"/>
      <c r="AB36" s="43"/>
      <c r="AC36" s="130"/>
      <c r="AD36" s="128"/>
      <c r="AE36" s="130"/>
      <c r="AF36" s="130"/>
      <c r="AG36" s="139"/>
      <c r="AH36" s="147"/>
      <c r="AI36" s="128"/>
      <c r="AJ36" s="130"/>
      <c r="AK36" s="130"/>
      <c r="AL36" s="139"/>
      <c r="AM36" s="130"/>
      <c r="AN36" s="128"/>
      <c r="AO36" s="130"/>
      <c r="AP36" s="130"/>
      <c r="AQ36" s="43"/>
      <c r="AR36" s="130"/>
      <c r="AS36" s="128"/>
      <c r="AT36" s="130">
        <f>11598+1800</f>
        <v>13398</v>
      </c>
      <c r="AU36" s="130">
        <v>11598</v>
      </c>
      <c r="AV36" s="139">
        <v>2021</v>
      </c>
      <c r="AW36" s="130">
        <f>1603536451.79/10000</f>
        <v>160353.64517899998</v>
      </c>
      <c r="AX36" s="163">
        <f>AU36/AW36</f>
        <v>7.2327635502475507E-2</v>
      </c>
      <c r="AY36" s="76" t="s">
        <v>571</v>
      </c>
      <c r="AZ36" s="161" t="str">
        <f t="shared" si="25"/>
        <v>N</v>
      </c>
      <c r="BA36" s="161" t="str">
        <f t="shared" si="26"/>
        <v>N</v>
      </c>
      <c r="BB36" s="161" t="str">
        <f t="shared" si="27"/>
        <v>N</v>
      </c>
      <c r="BC36" s="161" t="str">
        <f t="shared" si="28"/>
        <v>N</v>
      </c>
      <c r="BD36" s="161" t="str">
        <f t="shared" si="29"/>
        <v>N</v>
      </c>
      <c r="BE36" s="161" t="str">
        <f t="shared" si="30"/>
        <v>N</v>
      </c>
      <c r="BF36" s="161" t="str">
        <f t="shared" si="31"/>
        <v>N</v>
      </c>
      <c r="BG36" s="161" t="str">
        <f t="shared" si="32"/>
        <v>N</v>
      </c>
      <c r="BH36" s="161" t="str">
        <f t="shared" si="33"/>
        <v>N</v>
      </c>
      <c r="BI36" s="161" t="str">
        <f t="shared" si="34"/>
        <v>N</v>
      </c>
      <c r="BJ36" s="161" t="str">
        <f t="shared" si="35"/>
        <v>N</v>
      </c>
      <c r="BK36" s="161" t="str">
        <f t="shared" si="36"/>
        <v>N</v>
      </c>
      <c r="BL36" s="161" t="str">
        <f t="shared" si="37"/>
        <v>N</v>
      </c>
      <c r="BM36" s="161" t="str">
        <f t="shared" si="38"/>
        <v>N</v>
      </c>
      <c r="BN36" s="176" t="str">
        <f t="shared" si="39"/>
        <v>N</v>
      </c>
      <c r="BO36" s="182" t="s">
        <v>423</v>
      </c>
      <c r="BP36" s="174" t="str">
        <f t="shared" si="40"/>
        <v>深交所主板</v>
      </c>
      <c r="BQ36" s="181" t="s">
        <v>317</v>
      </c>
      <c r="BR36" s="173">
        <f t="shared" si="41"/>
        <v>41274</v>
      </c>
      <c r="BS36" s="171" t="str">
        <f t="shared" si="42"/>
        <v>N</v>
      </c>
    </row>
    <row r="37" spans="1:163" s="7" customFormat="1" ht="15" customHeight="1" x14ac:dyDescent="0.35">
      <c r="A37" s="31">
        <v>264</v>
      </c>
      <c r="B37" s="32" t="s">
        <v>572</v>
      </c>
      <c r="C37" s="33" t="s">
        <v>573</v>
      </c>
      <c r="D37" s="45" t="s">
        <v>574</v>
      </c>
      <c r="E37" s="32" t="s">
        <v>575</v>
      </c>
      <c r="F37" s="46" t="s">
        <v>576</v>
      </c>
      <c r="G37" s="47" t="s">
        <v>354</v>
      </c>
      <c r="H37" s="41" t="s">
        <v>327</v>
      </c>
      <c r="I37" s="78">
        <v>44382</v>
      </c>
      <c r="J37" s="78">
        <v>44904</v>
      </c>
      <c r="K37" s="78">
        <v>44920</v>
      </c>
      <c r="L37" s="79" t="s">
        <v>577</v>
      </c>
      <c r="M37" s="76">
        <v>2020</v>
      </c>
      <c r="N37" s="33">
        <v>1</v>
      </c>
      <c r="O37" s="69" t="str">
        <f t="shared" si="23"/>
        <v>1-2年</v>
      </c>
      <c r="P37" s="69" t="s">
        <v>542</v>
      </c>
      <c r="Q37" s="33" t="s">
        <v>578</v>
      </c>
      <c r="R37" s="70">
        <v>39787</v>
      </c>
      <c r="S37" s="44" t="s">
        <v>359</v>
      </c>
      <c r="T37" s="95" t="s">
        <v>345</v>
      </c>
      <c r="U37" s="69" t="str">
        <f t="shared" si="24"/>
        <v>N</v>
      </c>
      <c r="V37" s="43" t="s">
        <v>318</v>
      </c>
      <c r="W37" s="96" t="s">
        <v>579</v>
      </c>
      <c r="X37" s="99" t="s">
        <v>320</v>
      </c>
      <c r="Y37" s="129">
        <v>500</v>
      </c>
      <c r="Z37" s="130">
        <f>5.18*10000</f>
        <v>51800</v>
      </c>
      <c r="AA37" s="130">
        <v>51800</v>
      </c>
      <c r="AB37" s="43">
        <v>2020</v>
      </c>
      <c r="AC37" s="130">
        <f>106849342/10</f>
        <v>10684934.199999999</v>
      </c>
      <c r="AD37" s="128">
        <f>AA37/AC37</f>
        <v>4.8479474960173366E-3</v>
      </c>
      <c r="AE37" s="130"/>
      <c r="AF37" s="130"/>
      <c r="AG37" s="139"/>
      <c r="AH37" s="147"/>
      <c r="AI37" s="128"/>
      <c r="AJ37" s="130">
        <f>5.18*10000</f>
        <v>51800</v>
      </c>
      <c r="AK37" s="130">
        <v>51800</v>
      </c>
      <c r="AL37" s="139">
        <v>2020</v>
      </c>
      <c r="AM37" s="130">
        <f>6346439/10</f>
        <v>634643.9</v>
      </c>
      <c r="AN37" s="128">
        <f>AK37/AM37</f>
        <v>8.16205749397418E-2</v>
      </c>
      <c r="AO37" s="130"/>
      <c r="AP37" s="130"/>
      <c r="AQ37" s="43"/>
      <c r="AR37" s="130"/>
      <c r="AS37" s="128"/>
      <c r="AT37" s="130"/>
      <c r="AU37" s="130"/>
      <c r="AV37" s="139"/>
      <c r="AW37" s="130"/>
      <c r="AX37" s="163"/>
      <c r="AY37" s="76" t="s">
        <v>580</v>
      </c>
      <c r="AZ37" s="161" t="str">
        <f t="shared" si="25"/>
        <v>N</v>
      </c>
      <c r="BA37" s="161" t="str">
        <f t="shared" si="26"/>
        <v>N</v>
      </c>
      <c r="BB37" s="161" t="str">
        <f t="shared" si="27"/>
        <v>N</v>
      </c>
      <c r="BC37" s="161" t="str">
        <f t="shared" si="28"/>
        <v>N</v>
      </c>
      <c r="BD37" s="161" t="str">
        <f t="shared" si="29"/>
        <v>N</v>
      </c>
      <c r="BE37" s="161" t="str">
        <f t="shared" si="30"/>
        <v>N</v>
      </c>
      <c r="BF37" s="161" t="str">
        <f t="shared" si="31"/>
        <v>N</v>
      </c>
      <c r="BG37" s="161" t="str">
        <f t="shared" si="32"/>
        <v>N</v>
      </c>
      <c r="BH37" s="161" t="str">
        <f t="shared" si="33"/>
        <v>N</v>
      </c>
      <c r="BI37" s="161" t="str">
        <f t="shared" si="34"/>
        <v>N</v>
      </c>
      <c r="BJ37" s="161" t="str">
        <f t="shared" si="35"/>
        <v>N</v>
      </c>
      <c r="BK37" s="161" t="str">
        <f t="shared" si="36"/>
        <v>N</v>
      </c>
      <c r="BL37" s="161" t="str">
        <f t="shared" si="37"/>
        <v>N</v>
      </c>
      <c r="BM37" s="161" t="str">
        <f t="shared" si="38"/>
        <v>N</v>
      </c>
      <c r="BN37" s="176" t="str">
        <f t="shared" si="39"/>
        <v>N</v>
      </c>
      <c r="BO37" s="182" t="s">
        <v>374</v>
      </c>
      <c r="BP37" s="174" t="str">
        <f t="shared" si="40"/>
        <v>上交所主板</v>
      </c>
      <c r="BQ37" s="181" t="s">
        <v>317</v>
      </c>
      <c r="BR37" s="173">
        <f t="shared" si="41"/>
        <v>40543</v>
      </c>
      <c r="BS37" s="171" t="str">
        <f t="shared" si="42"/>
        <v>N</v>
      </c>
    </row>
    <row r="38" spans="1:163" s="7" customFormat="1" ht="15" customHeight="1" x14ac:dyDescent="0.35">
      <c r="A38" s="31">
        <v>263</v>
      </c>
      <c r="B38" s="32" t="s">
        <v>581</v>
      </c>
      <c r="C38" s="45" t="s">
        <v>582</v>
      </c>
      <c r="D38" s="45" t="s">
        <v>448</v>
      </c>
      <c r="E38" s="32" t="s">
        <v>583</v>
      </c>
      <c r="F38" s="48" t="s">
        <v>584</v>
      </c>
      <c r="G38" s="47" t="s">
        <v>585</v>
      </c>
      <c r="H38" s="41" t="s">
        <v>368</v>
      </c>
      <c r="I38" s="78">
        <v>44704</v>
      </c>
      <c r="J38" s="78">
        <v>44897</v>
      </c>
      <c r="K38" s="78" t="s">
        <v>312</v>
      </c>
      <c r="L38" s="83" t="s">
        <v>586</v>
      </c>
      <c r="M38" s="73" t="s">
        <v>329</v>
      </c>
      <c r="N38" s="33">
        <v>5</v>
      </c>
      <c r="O38" s="69" t="str">
        <f t="shared" si="23"/>
        <v>5年以上</v>
      </c>
      <c r="P38" s="69" t="s">
        <v>587</v>
      </c>
      <c r="Q38" s="33" t="s">
        <v>534</v>
      </c>
      <c r="R38" s="70">
        <v>36713</v>
      </c>
      <c r="S38" s="44" t="s">
        <v>508</v>
      </c>
      <c r="T38" s="95" t="s">
        <v>317</v>
      </c>
      <c r="U38" s="69" t="str">
        <f t="shared" si="24"/>
        <v>Y</v>
      </c>
      <c r="V38" s="100" t="s">
        <v>333</v>
      </c>
      <c r="W38" s="96" t="s">
        <v>346</v>
      </c>
      <c r="X38" s="43" t="s">
        <v>334</v>
      </c>
      <c r="Y38" s="129">
        <v>1000</v>
      </c>
      <c r="Z38" s="130"/>
      <c r="AA38" s="130"/>
      <c r="AB38" s="43"/>
      <c r="AC38" s="130"/>
      <c r="AD38" s="128"/>
      <c r="AE38" s="130">
        <f>(41.26+110.98+146.38+136.17+77.46)*10000</f>
        <v>5122500</v>
      </c>
      <c r="AF38" s="130">
        <f>146.38*10000</f>
        <v>1463800</v>
      </c>
      <c r="AG38" s="139">
        <v>2018</v>
      </c>
      <c r="AH38" s="147">
        <f>16957836735.74/10000</f>
        <v>1695783.6735739999</v>
      </c>
      <c r="AI38" s="128">
        <f>AF38/AH38</f>
        <v>0.86319972459395378</v>
      </c>
      <c r="AJ38" s="130">
        <f>(1.77+9.21+16.31+17.56+14.51)*10000</f>
        <v>593599.99999999988</v>
      </c>
      <c r="AK38" s="130">
        <f>17.56*10000</f>
        <v>175600</v>
      </c>
      <c r="AL38" s="139">
        <v>2019</v>
      </c>
      <c r="AM38" s="130">
        <f>955954946.02/10000</f>
        <v>95595.494601999992</v>
      </c>
      <c r="AN38" s="128">
        <f>AK38/AM38</f>
        <v>1.836906652673213</v>
      </c>
      <c r="AO38" s="130"/>
      <c r="AP38" s="130"/>
      <c r="AQ38" s="43"/>
      <c r="AR38" s="130"/>
      <c r="AS38" s="128"/>
      <c r="AT38" s="130"/>
      <c r="AU38" s="130"/>
      <c r="AV38" s="139"/>
      <c r="AW38" s="130"/>
      <c r="AX38" s="163"/>
      <c r="AY38" s="76" t="s">
        <v>588</v>
      </c>
      <c r="AZ38" s="161" t="str">
        <f t="shared" si="25"/>
        <v>N</v>
      </c>
      <c r="BA38" s="161" t="str">
        <f t="shared" si="26"/>
        <v>N</v>
      </c>
      <c r="BB38" s="161" t="str">
        <f t="shared" si="27"/>
        <v>Y</v>
      </c>
      <c r="BC38" s="161" t="str">
        <f t="shared" si="28"/>
        <v>Y</v>
      </c>
      <c r="BD38" s="161" t="str">
        <f t="shared" si="29"/>
        <v>Y</v>
      </c>
      <c r="BE38" s="161" t="str">
        <f t="shared" si="30"/>
        <v>Y</v>
      </c>
      <c r="BF38" s="161" t="str">
        <f t="shared" si="31"/>
        <v>Y</v>
      </c>
      <c r="BG38" s="161" t="str">
        <f t="shared" si="32"/>
        <v>N</v>
      </c>
      <c r="BH38" s="161" t="str">
        <f t="shared" si="33"/>
        <v>N</v>
      </c>
      <c r="BI38" s="161" t="str">
        <f t="shared" si="34"/>
        <v>N</v>
      </c>
      <c r="BJ38" s="161" t="str">
        <f t="shared" si="35"/>
        <v>N</v>
      </c>
      <c r="BK38" s="161" t="str">
        <f t="shared" si="36"/>
        <v>N</v>
      </c>
      <c r="BL38" s="161" t="str">
        <f t="shared" si="37"/>
        <v>Y</v>
      </c>
      <c r="BM38" s="161" t="str">
        <f t="shared" si="38"/>
        <v>Y</v>
      </c>
      <c r="BN38" s="176" t="str">
        <f t="shared" si="39"/>
        <v>Y</v>
      </c>
      <c r="BO38" s="182" t="s">
        <v>589</v>
      </c>
      <c r="BP38" s="174" t="str">
        <f t="shared" si="40"/>
        <v>上交所主板</v>
      </c>
      <c r="BQ38" s="181" t="s">
        <v>317</v>
      </c>
      <c r="BR38" s="173">
        <f t="shared" si="41"/>
        <v>37621</v>
      </c>
      <c r="BS38" s="171" t="str">
        <f t="shared" si="42"/>
        <v>N</v>
      </c>
      <c r="BU38" s="15"/>
    </row>
    <row r="39" spans="1:163" s="7" customFormat="1" ht="15" customHeight="1" x14ac:dyDescent="0.25">
      <c r="A39" s="31">
        <v>262</v>
      </c>
      <c r="B39" s="32" t="s">
        <v>590</v>
      </c>
      <c r="C39" s="45" t="s">
        <v>591</v>
      </c>
      <c r="D39" s="45" t="s">
        <v>574</v>
      </c>
      <c r="E39" s="32" t="s">
        <v>575</v>
      </c>
      <c r="F39" s="48" t="s">
        <v>592</v>
      </c>
      <c r="G39" s="44" t="s">
        <v>315</v>
      </c>
      <c r="H39" s="41" t="s">
        <v>327</v>
      </c>
      <c r="I39" s="78">
        <v>44568</v>
      </c>
      <c r="J39" s="78">
        <v>44897</v>
      </c>
      <c r="K39" s="78">
        <v>45026</v>
      </c>
      <c r="L39" s="79" t="s">
        <v>593</v>
      </c>
      <c r="M39" s="73" t="s">
        <v>594</v>
      </c>
      <c r="N39" s="33">
        <v>2</v>
      </c>
      <c r="O39" s="69" t="str">
        <f t="shared" si="23"/>
        <v>2-3年</v>
      </c>
      <c r="P39" s="69" t="s">
        <v>595</v>
      </c>
      <c r="Q39" s="33" t="s">
        <v>554</v>
      </c>
      <c r="R39" s="70">
        <v>39479</v>
      </c>
      <c r="S39" s="44" t="s">
        <v>463</v>
      </c>
      <c r="T39" s="95" t="s">
        <v>317</v>
      </c>
      <c r="U39" s="69" t="str">
        <f t="shared" si="24"/>
        <v>Y</v>
      </c>
      <c r="V39" s="100" t="s">
        <v>398</v>
      </c>
      <c r="W39" s="96" t="s">
        <v>596</v>
      </c>
      <c r="X39" s="99" t="s">
        <v>320</v>
      </c>
      <c r="Y39" s="129">
        <v>300</v>
      </c>
      <c r="Z39" s="130">
        <v>7580</v>
      </c>
      <c r="AA39" s="130">
        <v>7580</v>
      </c>
      <c r="AB39" s="43">
        <v>2020</v>
      </c>
      <c r="AC39" s="130">
        <f>759118557.09/10000</f>
        <v>75911.85570900001</v>
      </c>
      <c r="AD39" s="128">
        <f>AA39/AC39</f>
        <v>9.9852650540610155E-2</v>
      </c>
      <c r="AE39" s="130">
        <f>24654.98+48900.38</f>
        <v>73555.360000000001</v>
      </c>
      <c r="AF39" s="130">
        <v>48900.38</v>
      </c>
      <c r="AG39" s="43">
        <v>2020</v>
      </c>
      <c r="AH39" s="147">
        <f>921088525.9/10000</f>
        <v>92108.852589999995</v>
      </c>
      <c r="AI39" s="128">
        <f>AF39/AH39</f>
        <v>0.53089772182558892</v>
      </c>
      <c r="AJ39" s="130">
        <f>2971.88+10344.75+7580</f>
        <v>20896.63</v>
      </c>
      <c r="AK39" s="130">
        <f>10344.75+7580</f>
        <v>17924.75</v>
      </c>
      <c r="AL39" s="139">
        <v>2020</v>
      </c>
      <c r="AM39" s="130">
        <f>70808618.17/10000</f>
        <v>7080.861817</v>
      </c>
      <c r="AN39" s="128">
        <f>AK39/AM39</f>
        <v>2.5314362097796606</v>
      </c>
      <c r="AO39" s="130"/>
      <c r="AP39" s="130"/>
      <c r="AQ39" s="43"/>
      <c r="AR39" s="130"/>
      <c r="AS39" s="128"/>
      <c r="AT39" s="130"/>
      <c r="AU39" s="130"/>
      <c r="AV39" s="139"/>
      <c r="AW39" s="130"/>
      <c r="AX39" s="163"/>
      <c r="AY39" s="76" t="s">
        <v>597</v>
      </c>
      <c r="AZ39" s="161" t="str">
        <f t="shared" si="25"/>
        <v>N</v>
      </c>
      <c r="BA39" s="161" t="str">
        <f t="shared" si="26"/>
        <v>N</v>
      </c>
      <c r="BB39" s="161" t="str">
        <f t="shared" si="27"/>
        <v>N</v>
      </c>
      <c r="BC39" s="161" t="str">
        <f t="shared" si="28"/>
        <v>Y</v>
      </c>
      <c r="BD39" s="161" t="str">
        <f t="shared" si="29"/>
        <v>N</v>
      </c>
      <c r="BE39" s="161" t="str">
        <f t="shared" si="30"/>
        <v>Y</v>
      </c>
      <c r="BF39" s="161" t="str">
        <f t="shared" si="31"/>
        <v>Y</v>
      </c>
      <c r="BG39" s="161" t="str">
        <f t="shared" si="32"/>
        <v>N</v>
      </c>
      <c r="BH39" s="161" t="str">
        <f t="shared" si="33"/>
        <v>N</v>
      </c>
      <c r="BI39" s="161" t="str">
        <f t="shared" si="34"/>
        <v>N</v>
      </c>
      <c r="BJ39" s="161" t="str">
        <f t="shared" si="35"/>
        <v>N</v>
      </c>
      <c r="BK39" s="161" t="str">
        <f t="shared" si="36"/>
        <v>N</v>
      </c>
      <c r="BL39" s="161" t="str">
        <f t="shared" si="37"/>
        <v>N</v>
      </c>
      <c r="BM39" s="161" t="str">
        <f t="shared" si="38"/>
        <v>Y</v>
      </c>
      <c r="BN39" s="176" t="str">
        <f t="shared" si="39"/>
        <v>Y</v>
      </c>
      <c r="BO39" s="182" t="s">
        <v>598</v>
      </c>
      <c r="BP39" s="174" t="str">
        <f t="shared" si="40"/>
        <v>深交所主板</v>
      </c>
      <c r="BQ39" s="181" t="s">
        <v>317</v>
      </c>
      <c r="BR39" s="173">
        <f t="shared" si="41"/>
        <v>40543</v>
      </c>
      <c r="BS39" s="171" t="str">
        <f t="shared" si="42"/>
        <v>N</v>
      </c>
    </row>
    <row r="40" spans="1:163" s="7" customFormat="1" ht="15" customHeight="1" x14ac:dyDescent="0.25">
      <c r="A40" s="31">
        <v>261</v>
      </c>
      <c r="B40" s="32" t="s">
        <v>599</v>
      </c>
      <c r="C40" s="45" t="s">
        <v>600</v>
      </c>
      <c r="D40" s="45" t="s">
        <v>574</v>
      </c>
      <c r="E40" s="32" t="s">
        <v>575</v>
      </c>
      <c r="F40" s="48" t="s">
        <v>601</v>
      </c>
      <c r="G40" s="44" t="s">
        <v>315</v>
      </c>
      <c r="H40" s="41" t="s">
        <v>602</v>
      </c>
      <c r="I40" s="78">
        <v>44693</v>
      </c>
      <c r="J40" s="78">
        <v>44888</v>
      </c>
      <c r="K40" s="78">
        <v>44923</v>
      </c>
      <c r="L40" s="79" t="s">
        <v>603</v>
      </c>
      <c r="M40" s="73" t="s">
        <v>496</v>
      </c>
      <c r="N40" s="33">
        <v>1.75</v>
      </c>
      <c r="O40" s="69" t="str">
        <f t="shared" si="23"/>
        <v>1-2年</v>
      </c>
      <c r="P40" s="69" t="s">
        <v>604</v>
      </c>
      <c r="Q40" s="33" t="s">
        <v>605</v>
      </c>
      <c r="R40" s="70">
        <v>41264</v>
      </c>
      <c r="S40" s="44" t="s">
        <v>606</v>
      </c>
      <c r="T40" s="95" t="s">
        <v>317</v>
      </c>
      <c r="U40" s="69" t="str">
        <f t="shared" si="24"/>
        <v>Y</v>
      </c>
      <c r="V40" s="100" t="s">
        <v>607</v>
      </c>
      <c r="W40" s="96" t="s">
        <v>608</v>
      </c>
      <c r="X40" s="99" t="s">
        <v>320</v>
      </c>
      <c r="Y40" s="129">
        <v>300</v>
      </c>
      <c r="Z40" s="130">
        <f>(6+17.45)*10000</f>
        <v>234500</v>
      </c>
      <c r="AA40" s="130">
        <f>17.45*10000</f>
        <v>174500</v>
      </c>
      <c r="AB40" s="43">
        <v>2021</v>
      </c>
      <c r="AC40" s="130">
        <f>1764060242.12/10000</f>
        <v>176406.02421199999</v>
      </c>
      <c r="AD40" s="128">
        <f>AA40/AC40</f>
        <v>0.98919524307339202</v>
      </c>
      <c r="AE40" s="130"/>
      <c r="AF40" s="130"/>
      <c r="AG40" s="139"/>
      <c r="AH40" s="147"/>
      <c r="AI40" s="128"/>
      <c r="AJ40" s="130"/>
      <c r="AK40" s="130"/>
      <c r="AL40" s="139"/>
      <c r="AM40" s="130"/>
      <c r="AN40" s="128"/>
      <c r="AO40" s="130"/>
      <c r="AP40" s="130"/>
      <c r="AQ40" s="43"/>
      <c r="AR40" s="130"/>
      <c r="AS40" s="128"/>
      <c r="AT40" s="130">
        <f>(13+31.49)*10000</f>
        <v>444899.99999999994</v>
      </c>
      <c r="AU40" s="130">
        <f>31.49*10000</f>
        <v>314900</v>
      </c>
      <c r="AV40" s="139">
        <v>2021</v>
      </c>
      <c r="AW40" s="130">
        <f>1764060242.12/10000</f>
        <v>176406.02421199999</v>
      </c>
      <c r="AX40" s="163">
        <f>AU40/AW40</f>
        <v>1.7850864300504936</v>
      </c>
      <c r="AY40" s="76" t="s">
        <v>609</v>
      </c>
      <c r="AZ40" s="161" t="str">
        <f t="shared" si="25"/>
        <v>Y</v>
      </c>
      <c r="BA40" s="161" t="str">
        <f t="shared" si="26"/>
        <v>Y</v>
      </c>
      <c r="BB40" s="161" t="str">
        <f t="shared" si="27"/>
        <v>N</v>
      </c>
      <c r="BC40" s="161" t="str">
        <f t="shared" si="28"/>
        <v>N</v>
      </c>
      <c r="BD40" s="161" t="str">
        <f t="shared" si="29"/>
        <v>N</v>
      </c>
      <c r="BE40" s="161" t="str">
        <f t="shared" si="30"/>
        <v>N</v>
      </c>
      <c r="BF40" s="161" t="str">
        <f t="shared" si="31"/>
        <v>N</v>
      </c>
      <c r="BG40" s="161" t="str">
        <f t="shared" si="32"/>
        <v>N</v>
      </c>
      <c r="BH40" s="161" t="str">
        <f t="shared" si="33"/>
        <v>N</v>
      </c>
      <c r="BI40" s="161" t="str">
        <f t="shared" si="34"/>
        <v>N</v>
      </c>
      <c r="BJ40" s="161" t="str">
        <f t="shared" si="35"/>
        <v>Y</v>
      </c>
      <c r="BK40" s="161" t="str">
        <f t="shared" si="36"/>
        <v>Y</v>
      </c>
      <c r="BL40" s="161" t="str">
        <f t="shared" si="37"/>
        <v>Y</v>
      </c>
      <c r="BM40" s="161" t="str">
        <f t="shared" si="38"/>
        <v>Y</v>
      </c>
      <c r="BN40" s="176" t="str">
        <f t="shared" si="39"/>
        <v>N</v>
      </c>
      <c r="BO40" s="182" t="s">
        <v>520</v>
      </c>
      <c r="BP40" s="174" t="str">
        <f t="shared" si="40"/>
        <v>上交所主板</v>
      </c>
      <c r="BQ40" s="181" t="s">
        <v>345</v>
      </c>
      <c r="BR40" s="173">
        <f t="shared" si="41"/>
        <v>42004</v>
      </c>
      <c r="BS40" s="171" t="str">
        <f t="shared" si="42"/>
        <v>N</v>
      </c>
    </row>
    <row r="41" spans="1:163" s="7" customFormat="1" ht="15" customHeight="1" x14ac:dyDescent="0.35">
      <c r="A41" s="31">
        <v>260</v>
      </c>
      <c r="B41" s="32" t="s">
        <v>610</v>
      </c>
      <c r="C41" s="33" t="s">
        <v>611</v>
      </c>
      <c r="D41" s="43" t="s">
        <v>612</v>
      </c>
      <c r="E41" s="44" t="s">
        <v>613</v>
      </c>
      <c r="F41" s="46" t="s">
        <v>614</v>
      </c>
      <c r="G41" s="47" t="s">
        <v>354</v>
      </c>
      <c r="H41" s="41" t="s">
        <v>368</v>
      </c>
      <c r="I41" s="78">
        <v>44691</v>
      </c>
      <c r="J41" s="78">
        <v>44886</v>
      </c>
      <c r="K41" s="78">
        <v>45064</v>
      </c>
      <c r="L41" s="79" t="s">
        <v>615</v>
      </c>
      <c r="M41" s="73" t="s">
        <v>616</v>
      </c>
      <c r="N41" s="33">
        <v>4</v>
      </c>
      <c r="O41" s="69" t="str">
        <f t="shared" si="23"/>
        <v>3-5年</v>
      </c>
      <c r="P41" s="69" t="s">
        <v>617</v>
      </c>
      <c r="Q41" s="68" t="s">
        <v>618</v>
      </c>
      <c r="R41" s="70">
        <v>40270</v>
      </c>
      <c r="S41" s="44" t="s">
        <v>619</v>
      </c>
      <c r="T41" s="95" t="s">
        <v>317</v>
      </c>
      <c r="U41" s="69" t="str">
        <f t="shared" si="24"/>
        <v>Y</v>
      </c>
      <c r="V41" s="100" t="s">
        <v>398</v>
      </c>
      <c r="W41" s="96" t="s">
        <v>399</v>
      </c>
      <c r="X41" s="43" t="s">
        <v>334</v>
      </c>
      <c r="Y41" s="129">
        <v>600</v>
      </c>
      <c r="Z41" s="130"/>
      <c r="AA41" s="130"/>
      <c r="AB41" s="43"/>
      <c r="AC41" s="130"/>
      <c r="AD41" s="128"/>
      <c r="AE41" s="130">
        <f>1580981933.98/10000</f>
        <v>158098.193398</v>
      </c>
      <c r="AF41" s="130">
        <f>703452422.43/10000</f>
        <v>70345.242243000001</v>
      </c>
      <c r="AG41" s="139">
        <v>2018</v>
      </c>
      <c r="AH41" s="147">
        <f>2299991415.03/10000</f>
        <v>229999.14150300002</v>
      </c>
      <c r="AI41" s="128">
        <f>AF41/AH41</f>
        <v>0.30585002093184965</v>
      </c>
      <c r="AJ41" s="130">
        <f>520970043.36/10000</f>
        <v>52097.004335999998</v>
      </c>
      <c r="AK41" s="130">
        <f>319004119.79/10000</f>
        <v>31900.411979</v>
      </c>
      <c r="AL41" s="139">
        <v>2018</v>
      </c>
      <c r="AM41" s="130">
        <f>178486977/10000</f>
        <v>17848.697700000001</v>
      </c>
      <c r="AN41" s="128">
        <f>AK41/AM41</f>
        <v>1.7872683214865586</v>
      </c>
      <c r="AO41" s="130"/>
      <c r="AP41" s="130"/>
      <c r="AQ41" s="43"/>
      <c r="AR41" s="130"/>
      <c r="AS41" s="128"/>
      <c r="AT41" s="130"/>
      <c r="AU41" s="130"/>
      <c r="AV41" s="139"/>
      <c r="AW41" s="130"/>
      <c r="AX41" s="163"/>
      <c r="AY41" s="76" t="s">
        <v>620</v>
      </c>
      <c r="AZ41" s="161" t="str">
        <f t="shared" si="25"/>
        <v>N</v>
      </c>
      <c r="BA41" s="161" t="str">
        <f t="shared" si="26"/>
        <v>N</v>
      </c>
      <c r="BB41" s="161" t="str">
        <f t="shared" si="27"/>
        <v>Y</v>
      </c>
      <c r="BC41" s="161" t="str">
        <f t="shared" si="28"/>
        <v>N</v>
      </c>
      <c r="BD41" s="161" t="str">
        <f t="shared" si="29"/>
        <v>N</v>
      </c>
      <c r="BE41" s="161" t="str">
        <f t="shared" si="30"/>
        <v>Y</v>
      </c>
      <c r="BF41" s="161" t="str">
        <f t="shared" si="31"/>
        <v>Y</v>
      </c>
      <c r="BG41" s="161" t="str">
        <f t="shared" si="32"/>
        <v>N</v>
      </c>
      <c r="BH41" s="161" t="str">
        <f t="shared" si="33"/>
        <v>N</v>
      </c>
      <c r="BI41" s="161" t="str">
        <f t="shared" si="34"/>
        <v>N</v>
      </c>
      <c r="BJ41" s="161" t="str">
        <f t="shared" si="35"/>
        <v>N</v>
      </c>
      <c r="BK41" s="161" t="str">
        <f t="shared" si="36"/>
        <v>N</v>
      </c>
      <c r="BL41" s="161" t="str">
        <f t="shared" si="37"/>
        <v>Y</v>
      </c>
      <c r="BM41" s="161" t="str">
        <f t="shared" si="38"/>
        <v>Y</v>
      </c>
      <c r="BN41" s="176" t="str">
        <f t="shared" si="39"/>
        <v>Y</v>
      </c>
      <c r="BO41" s="182" t="s">
        <v>363</v>
      </c>
      <c r="BP41" s="174" t="str">
        <f t="shared" si="40"/>
        <v>深交所主板</v>
      </c>
      <c r="BQ41" s="181" t="s">
        <v>317</v>
      </c>
      <c r="BR41" s="173">
        <f t="shared" si="41"/>
        <v>41274</v>
      </c>
      <c r="BS41" s="171" t="str">
        <f t="shared" si="42"/>
        <v>N</v>
      </c>
    </row>
    <row r="42" spans="1:163" s="7" customFormat="1" ht="15" customHeight="1" x14ac:dyDescent="0.25">
      <c r="A42" s="31">
        <v>259</v>
      </c>
      <c r="B42" s="32" t="s">
        <v>621</v>
      </c>
      <c r="C42" s="33" t="s">
        <v>622</v>
      </c>
      <c r="D42" s="43" t="s">
        <v>623</v>
      </c>
      <c r="E42" s="44" t="s">
        <v>624</v>
      </c>
      <c r="F42" s="49" t="s">
        <v>625</v>
      </c>
      <c r="G42" s="44" t="s">
        <v>354</v>
      </c>
      <c r="H42" s="41" t="s">
        <v>327</v>
      </c>
      <c r="I42" s="78">
        <v>44760</v>
      </c>
      <c r="J42" s="78">
        <v>44883</v>
      </c>
      <c r="K42" s="78">
        <v>44930</v>
      </c>
      <c r="L42" s="79" t="s">
        <v>626</v>
      </c>
      <c r="M42" s="73" t="s">
        <v>594</v>
      </c>
      <c r="N42" s="33">
        <v>1.5</v>
      </c>
      <c r="O42" s="69" t="str">
        <f t="shared" si="23"/>
        <v>1-2年</v>
      </c>
      <c r="P42" s="69" t="s">
        <v>627</v>
      </c>
      <c r="Q42" s="33" t="s">
        <v>454</v>
      </c>
      <c r="R42" s="70">
        <v>36950</v>
      </c>
      <c r="S42" s="44" t="s">
        <v>628</v>
      </c>
      <c r="T42" s="95" t="s">
        <v>345</v>
      </c>
      <c r="U42" s="69" t="str">
        <f t="shared" si="24"/>
        <v>Y</v>
      </c>
      <c r="V42" s="100" t="s">
        <v>398</v>
      </c>
      <c r="W42" s="96" t="s">
        <v>346</v>
      </c>
      <c r="X42" s="99" t="s">
        <v>320</v>
      </c>
      <c r="Y42" s="129">
        <v>120</v>
      </c>
      <c r="Z42" s="130"/>
      <c r="AA42" s="130"/>
      <c r="AB42" s="43"/>
      <c r="AC42" s="130"/>
      <c r="AD42" s="128"/>
      <c r="AE42" s="130">
        <f>(3542363462.84+3286194800.58*0.5)/10000</f>
        <v>518546.08631300001</v>
      </c>
      <c r="AF42" s="130">
        <f>3542363462.84/10000</f>
        <v>354236.34628400003</v>
      </c>
      <c r="AG42" s="43">
        <v>2019</v>
      </c>
      <c r="AH42" s="147">
        <f>26461703884.56/10000</f>
        <v>2646170.388456</v>
      </c>
      <c r="AI42" s="128">
        <f>AF42/AH42</f>
        <v>0.13386754981061197</v>
      </c>
      <c r="AJ42" s="130"/>
      <c r="AK42" s="130"/>
      <c r="AL42" s="139"/>
      <c r="AM42" s="130"/>
      <c r="AN42" s="128"/>
      <c r="AO42" s="130"/>
      <c r="AP42" s="130"/>
      <c r="AQ42" s="43"/>
      <c r="AR42" s="130"/>
      <c r="AS42" s="128"/>
      <c r="AT42" s="130"/>
      <c r="AU42" s="130"/>
      <c r="AV42" s="139"/>
      <c r="AW42" s="130"/>
      <c r="AX42" s="163"/>
      <c r="AY42" s="76" t="s">
        <v>629</v>
      </c>
      <c r="AZ42" s="161" t="str">
        <f t="shared" si="25"/>
        <v>N</v>
      </c>
      <c r="BA42" s="161" t="str">
        <f t="shared" si="26"/>
        <v>N</v>
      </c>
      <c r="BB42" s="161" t="str">
        <f t="shared" si="27"/>
        <v>Y</v>
      </c>
      <c r="BC42" s="161" t="str">
        <f t="shared" si="28"/>
        <v>N</v>
      </c>
      <c r="BD42" s="161" t="str">
        <f t="shared" si="29"/>
        <v>N</v>
      </c>
      <c r="BE42" s="161" t="str">
        <f t="shared" si="30"/>
        <v>N</v>
      </c>
      <c r="BF42" s="161" t="str">
        <f t="shared" si="31"/>
        <v>N</v>
      </c>
      <c r="BG42" s="161" t="str">
        <f t="shared" si="32"/>
        <v>N</v>
      </c>
      <c r="BH42" s="161" t="str">
        <f t="shared" si="33"/>
        <v>N</v>
      </c>
      <c r="BI42" s="161" t="str">
        <f t="shared" si="34"/>
        <v>N</v>
      </c>
      <c r="BJ42" s="161" t="str">
        <f t="shared" si="35"/>
        <v>N</v>
      </c>
      <c r="BK42" s="161" t="str">
        <f t="shared" si="36"/>
        <v>N</v>
      </c>
      <c r="BL42" s="161" t="str">
        <f t="shared" si="37"/>
        <v>Y</v>
      </c>
      <c r="BM42" s="161" t="str">
        <f t="shared" si="38"/>
        <v>N</v>
      </c>
      <c r="BN42" s="176" t="str">
        <f t="shared" si="39"/>
        <v>N</v>
      </c>
      <c r="BO42" s="182" t="s">
        <v>630</v>
      </c>
      <c r="BP42" s="174" t="str">
        <f t="shared" si="40"/>
        <v>上交所主板</v>
      </c>
      <c r="BQ42" s="181" t="s">
        <v>317</v>
      </c>
      <c r="BR42" s="173">
        <f t="shared" si="41"/>
        <v>37986</v>
      </c>
      <c r="BS42" s="171" t="str">
        <f t="shared" si="42"/>
        <v>N</v>
      </c>
    </row>
    <row r="43" spans="1:163" s="7" customFormat="1" ht="15" customHeight="1" x14ac:dyDescent="0.25">
      <c r="A43" s="31">
        <v>258</v>
      </c>
      <c r="B43" s="32" t="s">
        <v>631</v>
      </c>
      <c r="C43" s="33" t="s">
        <v>632</v>
      </c>
      <c r="D43" s="43" t="s">
        <v>633</v>
      </c>
      <c r="E43" s="44" t="s">
        <v>634</v>
      </c>
      <c r="F43" s="49" t="s">
        <v>635</v>
      </c>
      <c r="G43" s="44" t="s">
        <v>315</v>
      </c>
      <c r="H43" s="41" t="s">
        <v>327</v>
      </c>
      <c r="I43" s="78">
        <v>44692</v>
      </c>
      <c r="J43" s="78">
        <v>44883</v>
      </c>
      <c r="K43" s="78">
        <v>45037</v>
      </c>
      <c r="L43" s="79" t="s">
        <v>636</v>
      </c>
      <c r="M43" s="73" t="s">
        <v>637</v>
      </c>
      <c r="N43" s="33">
        <v>6</v>
      </c>
      <c r="O43" s="69" t="str">
        <f t="shared" si="23"/>
        <v>5年以上</v>
      </c>
      <c r="P43" s="69" t="s">
        <v>638</v>
      </c>
      <c r="Q43" s="33" t="s">
        <v>371</v>
      </c>
      <c r="R43" s="70">
        <v>44005</v>
      </c>
      <c r="S43" s="44" t="s">
        <v>639</v>
      </c>
      <c r="T43" s="95" t="s">
        <v>317</v>
      </c>
      <c r="U43" s="69" t="str">
        <f t="shared" si="24"/>
        <v>Y</v>
      </c>
      <c r="V43" s="100" t="s">
        <v>434</v>
      </c>
      <c r="W43" s="96" t="s">
        <v>640</v>
      </c>
      <c r="X43" s="43" t="s">
        <v>334</v>
      </c>
      <c r="Y43" s="129">
        <v>8600.0439999999999</v>
      </c>
      <c r="Z43" s="130">
        <f>36320600/10000</f>
        <v>3632.06</v>
      </c>
      <c r="AA43" s="130">
        <f>Z43</f>
        <v>3632.06</v>
      </c>
      <c r="AB43" s="43">
        <v>2021</v>
      </c>
      <c r="AC43" s="130">
        <f>852947564.02/10000</f>
        <v>85294.756401999999</v>
      </c>
      <c r="AD43" s="128">
        <f>AA43/AC43</f>
        <v>4.2582453520142005E-2</v>
      </c>
      <c r="AE43" s="130">
        <f>(342296307.13+152168610.58+71043475.95)/10000</f>
        <v>56550.839366000007</v>
      </c>
      <c r="AF43" s="130">
        <f>152168610.58/10000</f>
        <v>15216.861058</v>
      </c>
      <c r="AG43" s="43">
        <v>2020</v>
      </c>
      <c r="AH43" s="147">
        <f>255704076.61/10000</f>
        <v>25570.407661000001</v>
      </c>
      <c r="AI43" s="128">
        <f>AF43/AH43</f>
        <v>0.59509653736216195</v>
      </c>
      <c r="AJ43" s="130">
        <f>(186735305.01+82469210.34+(25738186.23+6726200+7645799.92))/10000</f>
        <v>30931.470150000001</v>
      </c>
      <c r="AK43" s="130">
        <f>82469210.34/10000</f>
        <v>8246.9210340000009</v>
      </c>
      <c r="AL43" s="139">
        <v>2020</v>
      </c>
      <c r="AM43" s="130">
        <f>92695952.72/10000</f>
        <v>9269.5952720000005</v>
      </c>
      <c r="AN43" s="128">
        <f>AK43/AM43</f>
        <v>0.88967433766076953</v>
      </c>
      <c r="AO43" s="130"/>
      <c r="AP43" s="130"/>
      <c r="AQ43" s="43"/>
      <c r="AR43" s="130"/>
      <c r="AS43" s="128"/>
      <c r="AT43" s="130">
        <f>5000+8000+7000+12000</f>
        <v>32000</v>
      </c>
      <c r="AU43" s="130">
        <f>1.2*10000</f>
        <v>12000</v>
      </c>
      <c r="AV43" s="139">
        <v>2020</v>
      </c>
      <c r="AW43" s="130">
        <f>831224925.39/10000</f>
        <v>83122.492538999999</v>
      </c>
      <c r="AX43" s="163">
        <f>AU43/AW43</f>
        <v>0.14436525702558492</v>
      </c>
      <c r="AY43" s="76" t="s">
        <v>641</v>
      </c>
      <c r="AZ43" s="161" t="str">
        <f t="shared" si="25"/>
        <v>N</v>
      </c>
      <c r="BA43" s="161" t="str">
        <f t="shared" si="26"/>
        <v>N</v>
      </c>
      <c r="BB43" s="161" t="str">
        <f t="shared" si="27"/>
        <v>N</v>
      </c>
      <c r="BC43" s="161" t="str">
        <f t="shared" si="28"/>
        <v>Y</v>
      </c>
      <c r="BD43" s="161" t="str">
        <f t="shared" si="29"/>
        <v>N</v>
      </c>
      <c r="BE43" s="161" t="str">
        <f t="shared" si="30"/>
        <v>Y</v>
      </c>
      <c r="BF43" s="161" t="str">
        <f t="shared" si="31"/>
        <v>N</v>
      </c>
      <c r="BG43" s="161" t="str">
        <f t="shared" si="32"/>
        <v>N</v>
      </c>
      <c r="BH43" s="161" t="str">
        <f t="shared" si="33"/>
        <v>N</v>
      </c>
      <c r="BI43" s="161" t="str">
        <f t="shared" si="34"/>
        <v>N</v>
      </c>
      <c r="BJ43" s="161" t="str">
        <f t="shared" si="35"/>
        <v>N</v>
      </c>
      <c r="BK43" s="161" t="str">
        <f t="shared" si="36"/>
        <v>N</v>
      </c>
      <c r="BL43" s="161" t="str">
        <f t="shared" si="37"/>
        <v>N</v>
      </c>
      <c r="BM43" s="161" t="str">
        <f t="shared" si="38"/>
        <v>Y</v>
      </c>
      <c r="BN43" s="176" t="str">
        <f t="shared" si="39"/>
        <v>N</v>
      </c>
      <c r="BO43" s="182" t="s">
        <v>642</v>
      </c>
      <c r="BP43" s="174" t="str">
        <f t="shared" si="40"/>
        <v>上交所科创板</v>
      </c>
      <c r="BQ43" s="181" t="s">
        <v>317</v>
      </c>
      <c r="BR43" s="173">
        <f t="shared" si="41"/>
        <v>45291</v>
      </c>
      <c r="BS43" s="171" t="str">
        <f t="shared" si="42"/>
        <v>Y</v>
      </c>
      <c r="BU43" s="186" t="s">
        <v>643</v>
      </c>
    </row>
    <row r="44" spans="1:163" s="7" customFormat="1" ht="15" customHeight="1" x14ac:dyDescent="0.25">
      <c r="A44" s="31">
        <v>257</v>
      </c>
      <c r="B44" s="32" t="s">
        <v>644</v>
      </c>
      <c r="C44" s="33" t="s">
        <v>645</v>
      </c>
      <c r="D44" s="43" t="s">
        <v>426</v>
      </c>
      <c r="E44" s="44" t="s">
        <v>646</v>
      </c>
      <c r="F44" s="49" t="s">
        <v>647</v>
      </c>
      <c r="G44" s="44" t="s">
        <v>315</v>
      </c>
      <c r="H44" s="41" t="s">
        <v>327</v>
      </c>
      <c r="I44" s="78">
        <v>44603</v>
      </c>
      <c r="J44" s="78">
        <v>44883</v>
      </c>
      <c r="K44" s="78">
        <v>45037</v>
      </c>
      <c r="L44" s="79" t="s">
        <v>648</v>
      </c>
      <c r="M44" s="73" t="s">
        <v>616</v>
      </c>
      <c r="N44" s="33">
        <v>4</v>
      </c>
      <c r="O44" s="69" t="str">
        <f t="shared" si="23"/>
        <v>3-5年</v>
      </c>
      <c r="P44" s="69" t="s">
        <v>649</v>
      </c>
      <c r="Q44" s="68" t="s">
        <v>650</v>
      </c>
      <c r="R44" s="70">
        <v>43887</v>
      </c>
      <c r="S44" s="44" t="s">
        <v>639</v>
      </c>
      <c r="T44" s="95" t="s">
        <v>317</v>
      </c>
      <c r="U44" s="69" t="str">
        <f t="shared" si="24"/>
        <v>Y</v>
      </c>
      <c r="V44" s="100" t="s">
        <v>398</v>
      </c>
      <c r="W44" s="96" t="s">
        <v>319</v>
      </c>
      <c r="X44" s="43" t="s">
        <v>334</v>
      </c>
      <c r="Y44" s="129">
        <v>3668.52</v>
      </c>
      <c r="Z44" s="130"/>
      <c r="AA44" s="130"/>
      <c r="AB44" s="43"/>
      <c r="AC44" s="130"/>
      <c r="AD44" s="128"/>
      <c r="AE44" s="130">
        <f>(43497313.43+111457882.74+270871411.88+340615914.92)/10000</f>
        <v>76644.252296999999</v>
      </c>
      <c r="AF44" s="130">
        <f>340615914.92/10000</f>
        <v>34061.591492</v>
      </c>
      <c r="AG44" s="43">
        <v>2020</v>
      </c>
      <c r="AH44" s="147">
        <f>562628550.49/10000</f>
        <v>56262.855048999998</v>
      </c>
      <c r="AI44" s="128">
        <f>AF44/AH44</f>
        <v>0.60540104945501516</v>
      </c>
      <c r="AJ44" s="130">
        <f>(21627070.35+39036333.51+145290742.15+170028703.1)/10000</f>
        <v>37598.284911000002</v>
      </c>
      <c r="AK44" s="130">
        <f>170028703.1/10000</f>
        <v>17002.870309999998</v>
      </c>
      <c r="AL44" s="139">
        <v>2020</v>
      </c>
      <c r="AM44" s="130">
        <f>112527125.16/10000</f>
        <v>11252.712516</v>
      </c>
      <c r="AN44" s="128">
        <f>AK44/AM44</f>
        <v>1.5110019282749798</v>
      </c>
      <c r="AO44" s="130"/>
      <c r="AP44" s="130"/>
      <c r="AQ44" s="43"/>
      <c r="AR44" s="130"/>
      <c r="AS44" s="128"/>
      <c r="AT44" s="130"/>
      <c r="AU44" s="130"/>
      <c r="AV44" s="139"/>
      <c r="AW44" s="130"/>
      <c r="AX44" s="163"/>
      <c r="AY44" s="76" t="s">
        <v>651</v>
      </c>
      <c r="AZ44" s="161" t="str">
        <f t="shared" si="25"/>
        <v>N</v>
      </c>
      <c r="BA44" s="161" t="str">
        <f t="shared" si="26"/>
        <v>N</v>
      </c>
      <c r="BB44" s="161" t="str">
        <f t="shared" si="27"/>
        <v>N</v>
      </c>
      <c r="BC44" s="161" t="str">
        <f t="shared" si="28"/>
        <v>Y</v>
      </c>
      <c r="BD44" s="161" t="str">
        <f t="shared" si="29"/>
        <v>N</v>
      </c>
      <c r="BE44" s="161" t="str">
        <f t="shared" si="30"/>
        <v>Y</v>
      </c>
      <c r="BF44" s="161" t="str">
        <f t="shared" si="31"/>
        <v>Y</v>
      </c>
      <c r="BG44" s="161" t="str">
        <f t="shared" si="32"/>
        <v>N</v>
      </c>
      <c r="BH44" s="161" t="str">
        <f t="shared" si="33"/>
        <v>N</v>
      </c>
      <c r="BI44" s="161" t="str">
        <f t="shared" si="34"/>
        <v>N</v>
      </c>
      <c r="BJ44" s="161" t="str">
        <f t="shared" si="35"/>
        <v>N</v>
      </c>
      <c r="BK44" s="161" t="str">
        <f t="shared" si="36"/>
        <v>N</v>
      </c>
      <c r="BL44" s="161" t="str">
        <f t="shared" si="37"/>
        <v>N</v>
      </c>
      <c r="BM44" s="161" t="str">
        <f t="shared" si="38"/>
        <v>Y</v>
      </c>
      <c r="BN44" s="176" t="str">
        <f t="shared" si="39"/>
        <v>Y</v>
      </c>
      <c r="BO44" s="182" t="s">
        <v>652</v>
      </c>
      <c r="BP44" s="174" t="str">
        <f t="shared" si="40"/>
        <v>上交所科创板</v>
      </c>
      <c r="BQ44" s="181" t="s">
        <v>317</v>
      </c>
      <c r="BR44" s="173">
        <f t="shared" si="41"/>
        <v>45291</v>
      </c>
      <c r="BS44" s="171" t="str">
        <f t="shared" si="42"/>
        <v>Y</v>
      </c>
      <c r="BU44" s="186" t="s">
        <v>653</v>
      </c>
    </row>
    <row r="45" spans="1:163" s="7" customFormat="1" ht="15" customHeight="1" x14ac:dyDescent="0.25">
      <c r="A45" s="31">
        <v>256</v>
      </c>
      <c r="B45" s="32" t="s">
        <v>654</v>
      </c>
      <c r="C45" s="33" t="s">
        <v>655</v>
      </c>
      <c r="D45" s="43" t="s">
        <v>389</v>
      </c>
      <c r="E45" s="44" t="s">
        <v>656</v>
      </c>
      <c r="F45" s="49" t="s">
        <v>657</v>
      </c>
      <c r="G45" s="44" t="s">
        <v>315</v>
      </c>
      <c r="H45" s="41" t="s">
        <v>368</v>
      </c>
      <c r="I45" s="78">
        <v>44468</v>
      </c>
      <c r="J45" s="78">
        <v>44883</v>
      </c>
      <c r="K45" s="78" t="s">
        <v>312</v>
      </c>
      <c r="L45" s="79" t="s">
        <v>658</v>
      </c>
      <c r="M45" s="73" t="s">
        <v>594</v>
      </c>
      <c r="N45" s="33">
        <v>2</v>
      </c>
      <c r="O45" s="69" t="str">
        <f t="shared" si="23"/>
        <v>2-3年</v>
      </c>
      <c r="P45" s="69" t="s">
        <v>659</v>
      </c>
      <c r="Q45" s="33" t="s">
        <v>454</v>
      </c>
      <c r="R45" s="70">
        <v>40774</v>
      </c>
      <c r="S45" s="44" t="s">
        <v>660</v>
      </c>
      <c r="T45" s="95" t="s">
        <v>317</v>
      </c>
      <c r="U45" s="69" t="str">
        <f t="shared" si="24"/>
        <v>Y</v>
      </c>
      <c r="V45" s="100" t="s">
        <v>398</v>
      </c>
      <c r="W45" s="96" t="s">
        <v>661</v>
      </c>
      <c r="X45" s="43" t="s">
        <v>334</v>
      </c>
      <c r="Y45" s="129">
        <v>600</v>
      </c>
      <c r="Z45" s="130">
        <f>14671.96+72920.28</f>
        <v>87592.239999999991</v>
      </c>
      <c r="AA45" s="130">
        <v>72920.28</v>
      </c>
      <c r="AB45" s="43">
        <v>2020</v>
      </c>
      <c r="AC45" s="130">
        <v>342536.5</v>
      </c>
      <c r="AD45" s="128">
        <f>AA45/AC45</f>
        <v>0.21288324018024357</v>
      </c>
      <c r="AE45" s="130">
        <f>143901.02+325799.22</f>
        <v>469700.24</v>
      </c>
      <c r="AF45" s="130">
        <v>325799.21999999997</v>
      </c>
      <c r="AG45" s="43">
        <v>2020</v>
      </c>
      <c r="AH45" s="147">
        <f>8298157995.16/10000</f>
        <v>829815.79951599997</v>
      </c>
      <c r="AI45" s="128">
        <f>AF45/AH45</f>
        <v>0.39261631339150965</v>
      </c>
      <c r="AJ45" s="130">
        <f>117390.86+166306.39</f>
        <v>283697.25</v>
      </c>
      <c r="AK45" s="130">
        <v>166306.39000000001</v>
      </c>
      <c r="AL45" s="139">
        <v>2020</v>
      </c>
      <c r="AM45" s="130">
        <f>43770512.68/10000</f>
        <v>4377.0512680000002</v>
      </c>
      <c r="AN45" s="128">
        <f>AK45/AM45</f>
        <v>37.995074724356648</v>
      </c>
      <c r="AO45" s="130"/>
      <c r="AP45" s="130"/>
      <c r="AQ45" s="43"/>
      <c r="AR45" s="130"/>
      <c r="AS45" s="128"/>
      <c r="AT45" s="130"/>
      <c r="AU45" s="130"/>
      <c r="AV45" s="139"/>
      <c r="AW45" s="130"/>
      <c r="AX45" s="163"/>
      <c r="AY45" s="76" t="s">
        <v>662</v>
      </c>
      <c r="AZ45" s="161" t="str">
        <f t="shared" si="25"/>
        <v>N</v>
      </c>
      <c r="BA45" s="161" t="str">
        <f t="shared" si="26"/>
        <v>N</v>
      </c>
      <c r="BB45" s="161" t="str">
        <f t="shared" si="27"/>
        <v>Y</v>
      </c>
      <c r="BC45" s="161" t="str">
        <f t="shared" si="28"/>
        <v>N</v>
      </c>
      <c r="BD45" s="161" t="str">
        <f t="shared" si="29"/>
        <v>Y</v>
      </c>
      <c r="BE45" s="161" t="str">
        <f t="shared" si="30"/>
        <v>Y</v>
      </c>
      <c r="BF45" s="161" t="str">
        <f t="shared" si="31"/>
        <v>Y</v>
      </c>
      <c r="BG45" s="161" t="str">
        <f t="shared" si="32"/>
        <v>N</v>
      </c>
      <c r="BH45" s="161" t="str">
        <f t="shared" si="33"/>
        <v>N</v>
      </c>
      <c r="BI45" s="161" t="str">
        <f t="shared" si="34"/>
        <v>N</v>
      </c>
      <c r="BJ45" s="161" t="str">
        <f t="shared" si="35"/>
        <v>N</v>
      </c>
      <c r="BK45" s="161" t="str">
        <f t="shared" si="36"/>
        <v>N</v>
      </c>
      <c r="BL45" s="161" t="str">
        <f t="shared" si="37"/>
        <v>Y</v>
      </c>
      <c r="BM45" s="161" t="str">
        <f t="shared" si="38"/>
        <v>Y</v>
      </c>
      <c r="BN45" s="176" t="str">
        <f t="shared" si="39"/>
        <v>Y</v>
      </c>
      <c r="BO45" s="182" t="s">
        <v>663</v>
      </c>
      <c r="BP45" s="174" t="str">
        <f t="shared" si="40"/>
        <v>深交所创业板</v>
      </c>
      <c r="BQ45" s="181" t="s">
        <v>317</v>
      </c>
      <c r="BR45" s="173">
        <f t="shared" si="41"/>
        <v>42004</v>
      </c>
      <c r="BS45" s="171" t="str">
        <f t="shared" si="42"/>
        <v>N</v>
      </c>
    </row>
    <row r="46" spans="1:163" s="7" customFormat="1" ht="15" customHeight="1" x14ac:dyDescent="0.25">
      <c r="A46" s="31">
        <v>255</v>
      </c>
      <c r="B46" s="32" t="s">
        <v>664</v>
      </c>
      <c r="C46" s="33" t="s">
        <v>665</v>
      </c>
      <c r="D46" s="43" t="s">
        <v>612</v>
      </c>
      <c r="E46" s="44" t="s">
        <v>613</v>
      </c>
      <c r="F46" s="49" t="s">
        <v>666</v>
      </c>
      <c r="G46" s="44" t="s">
        <v>354</v>
      </c>
      <c r="H46" s="41" t="s">
        <v>327</v>
      </c>
      <c r="I46" s="78">
        <v>44718</v>
      </c>
      <c r="J46" s="78">
        <v>44879</v>
      </c>
      <c r="K46" s="78">
        <v>44924</v>
      </c>
      <c r="L46" s="79" t="s">
        <v>667</v>
      </c>
      <c r="M46" s="76" t="s">
        <v>594</v>
      </c>
      <c r="N46" s="33">
        <v>1.75</v>
      </c>
      <c r="O46" s="69" t="str">
        <f t="shared" si="23"/>
        <v>1-2年</v>
      </c>
      <c r="P46" s="69" t="s">
        <v>668</v>
      </c>
      <c r="Q46" s="33" t="s">
        <v>605</v>
      </c>
      <c r="R46" s="70">
        <v>38064</v>
      </c>
      <c r="S46" s="44" t="s">
        <v>669</v>
      </c>
      <c r="T46" s="95" t="s">
        <v>317</v>
      </c>
      <c r="U46" s="69" t="str">
        <f t="shared" si="24"/>
        <v>Y</v>
      </c>
      <c r="V46" s="43" t="s">
        <v>607</v>
      </c>
      <c r="W46" s="96" t="s">
        <v>670</v>
      </c>
      <c r="X46" s="99" t="s">
        <v>320</v>
      </c>
      <c r="Y46" s="129">
        <v>150</v>
      </c>
      <c r="Z46" s="130"/>
      <c r="AA46" s="130"/>
      <c r="AB46" s="43"/>
      <c r="AC46" s="130"/>
      <c r="AD46" s="128"/>
      <c r="AE46" s="130"/>
      <c r="AF46" s="130"/>
      <c r="AG46" s="43"/>
      <c r="AH46" s="148"/>
      <c r="AI46" s="128"/>
      <c r="AJ46" s="130">
        <f>883.11+1047.65</f>
        <v>1930.7600000000002</v>
      </c>
      <c r="AK46" s="130">
        <v>1047.6500000000001</v>
      </c>
      <c r="AL46" s="139">
        <v>2020</v>
      </c>
      <c r="AM46" s="130">
        <f>6814089.64/10000</f>
        <v>681.40896399999997</v>
      </c>
      <c r="AN46" s="128">
        <f>AK46/AM46</f>
        <v>1.5374761051719892</v>
      </c>
      <c r="AO46" s="130"/>
      <c r="AP46" s="130"/>
      <c r="AQ46" s="43"/>
      <c r="AR46" s="130"/>
      <c r="AS46" s="128"/>
      <c r="AT46" s="130">
        <f>8000+12000</f>
        <v>20000</v>
      </c>
      <c r="AU46" s="130">
        <v>20000</v>
      </c>
      <c r="AV46" s="139">
        <v>2020</v>
      </c>
      <c r="AW46" s="130">
        <f>1293266492.57/10000</f>
        <v>129326.649257</v>
      </c>
      <c r="AX46" s="163">
        <f>AU46/AW46</f>
        <v>0.15464716757839816</v>
      </c>
      <c r="AY46" s="76" t="s">
        <v>671</v>
      </c>
      <c r="AZ46" s="161" t="str">
        <f t="shared" si="25"/>
        <v>N</v>
      </c>
      <c r="BA46" s="161" t="str">
        <f t="shared" si="26"/>
        <v>N</v>
      </c>
      <c r="BB46" s="161" t="str">
        <f t="shared" si="27"/>
        <v>N</v>
      </c>
      <c r="BC46" s="161" t="str">
        <f t="shared" si="28"/>
        <v>N</v>
      </c>
      <c r="BD46" s="161" t="str">
        <f t="shared" si="29"/>
        <v>N</v>
      </c>
      <c r="BE46" s="161" t="str">
        <f t="shared" si="30"/>
        <v>Y</v>
      </c>
      <c r="BF46" s="161" t="str">
        <f t="shared" si="31"/>
        <v>Y</v>
      </c>
      <c r="BG46" s="161" t="str">
        <f t="shared" si="32"/>
        <v>N</v>
      </c>
      <c r="BH46" s="161" t="str">
        <f t="shared" si="33"/>
        <v>N</v>
      </c>
      <c r="BI46" s="161" t="str">
        <f t="shared" si="34"/>
        <v>N</v>
      </c>
      <c r="BJ46" s="161" t="str">
        <f t="shared" si="35"/>
        <v>N</v>
      </c>
      <c r="BK46" s="161" t="str">
        <f t="shared" si="36"/>
        <v>N</v>
      </c>
      <c r="BL46" s="161" t="str">
        <f t="shared" si="37"/>
        <v>N</v>
      </c>
      <c r="BM46" s="161" t="str">
        <f t="shared" si="38"/>
        <v>Y</v>
      </c>
      <c r="BN46" s="176" t="str">
        <f t="shared" si="39"/>
        <v>Y</v>
      </c>
      <c r="BO46" s="182" t="s">
        <v>672</v>
      </c>
      <c r="BP46" s="174" t="str">
        <f t="shared" si="40"/>
        <v>上交所主板</v>
      </c>
      <c r="BQ46" s="181" t="s">
        <v>317</v>
      </c>
      <c r="BR46" s="173">
        <f t="shared" si="41"/>
        <v>39082</v>
      </c>
      <c r="BS46" s="171" t="str">
        <f t="shared" si="42"/>
        <v>N</v>
      </c>
      <c r="BU46" s="15"/>
    </row>
    <row r="47" spans="1:163" s="7" customFormat="1" ht="15" customHeight="1" x14ac:dyDescent="0.35">
      <c r="A47" s="31">
        <v>254</v>
      </c>
      <c r="B47" s="32" t="s">
        <v>673</v>
      </c>
      <c r="C47" s="33" t="s">
        <v>674</v>
      </c>
      <c r="D47" s="43" t="s">
        <v>675</v>
      </c>
      <c r="E47" s="44" t="s">
        <v>676</v>
      </c>
      <c r="F47" s="46" t="s">
        <v>677</v>
      </c>
      <c r="G47" s="47" t="s">
        <v>315</v>
      </c>
      <c r="H47" s="41" t="s">
        <v>327</v>
      </c>
      <c r="I47" s="78">
        <v>44456</v>
      </c>
      <c r="J47" s="78">
        <v>44876</v>
      </c>
      <c r="K47" s="78" t="s">
        <v>312</v>
      </c>
      <c r="L47" s="84" t="s">
        <v>678</v>
      </c>
      <c r="M47" s="76" t="s">
        <v>679</v>
      </c>
      <c r="N47" s="33">
        <v>3</v>
      </c>
      <c r="O47" s="69" t="str">
        <f t="shared" si="23"/>
        <v>3-5年</v>
      </c>
      <c r="P47" s="69" t="s">
        <v>680</v>
      </c>
      <c r="Q47" s="33" t="s">
        <v>454</v>
      </c>
      <c r="R47" s="70">
        <v>40893</v>
      </c>
      <c r="S47" s="44" t="s">
        <v>344</v>
      </c>
      <c r="T47" s="95" t="s">
        <v>317</v>
      </c>
      <c r="U47" s="69" t="str">
        <f t="shared" si="24"/>
        <v>Y</v>
      </c>
      <c r="V47" s="43" t="s">
        <v>434</v>
      </c>
      <c r="W47" s="96" t="s">
        <v>681</v>
      </c>
      <c r="X47" s="99" t="s">
        <v>334</v>
      </c>
      <c r="Y47" s="129">
        <v>120</v>
      </c>
      <c r="Z47" s="130">
        <f>1768527137.7/10000</f>
        <v>176852.71377</v>
      </c>
      <c r="AA47" s="130">
        <v>176825.71</v>
      </c>
      <c r="AB47" s="43">
        <v>2018</v>
      </c>
      <c r="AC47" s="130">
        <f>6635758344.08/10000</f>
        <v>663575.834408</v>
      </c>
      <c r="AD47" s="128">
        <f>AA47/AC47</f>
        <v>0.26647400467461657</v>
      </c>
      <c r="AE47" s="130">
        <f>(1070604792.35+59999982)/10000</f>
        <v>113060.47743499999</v>
      </c>
      <c r="AF47" s="130">
        <f>1070604792.35/10000</f>
        <v>107060.47923500001</v>
      </c>
      <c r="AG47" s="43">
        <v>2017</v>
      </c>
      <c r="AH47" s="148">
        <f>11697510001.7/10000</f>
        <v>1169751.0001700001</v>
      </c>
      <c r="AI47" s="128">
        <f>AF47/AH47</f>
        <v>9.1524161312485211E-2</v>
      </c>
      <c r="AJ47" s="130">
        <f>(1232804915.37+59999982)/10000</f>
        <v>129280.48973699998</v>
      </c>
      <c r="AK47" s="130">
        <f>1232804915.37/10000</f>
        <v>123280.49153699999</v>
      </c>
      <c r="AL47" s="139">
        <v>2017</v>
      </c>
      <c r="AM47" s="130">
        <f>1346040167.9/10000</f>
        <v>134604.01679000002</v>
      </c>
      <c r="AN47" s="128">
        <f>AK47/AM47</f>
        <v>0.91587527977960559</v>
      </c>
      <c r="AO47" s="130"/>
      <c r="AP47" s="130"/>
      <c r="AQ47" s="43"/>
      <c r="AR47" s="130"/>
      <c r="AS47" s="128"/>
      <c r="AT47" s="130">
        <v>450310</v>
      </c>
      <c r="AU47" s="130">
        <v>336310</v>
      </c>
      <c r="AV47" s="139">
        <v>2018</v>
      </c>
      <c r="AW47" s="130">
        <v>663575.82999999996</v>
      </c>
      <c r="AX47" s="163">
        <f>AU47/AW47</f>
        <v>0.50681472229029201</v>
      </c>
      <c r="AY47" s="76" t="s">
        <v>682</v>
      </c>
      <c r="AZ47" s="161" t="str">
        <f t="shared" si="25"/>
        <v>Y</v>
      </c>
      <c r="BA47" s="161" t="str">
        <f t="shared" si="26"/>
        <v>N</v>
      </c>
      <c r="BB47" s="161" t="str">
        <f t="shared" si="27"/>
        <v>Y</v>
      </c>
      <c r="BC47" s="161" t="str">
        <f t="shared" si="28"/>
        <v>N</v>
      </c>
      <c r="BD47" s="161" t="str">
        <f t="shared" si="29"/>
        <v>Y</v>
      </c>
      <c r="BE47" s="161" t="str">
        <f t="shared" si="30"/>
        <v>Y</v>
      </c>
      <c r="BF47" s="161" t="str">
        <f t="shared" si="31"/>
        <v>N</v>
      </c>
      <c r="BG47" s="161" t="str">
        <f t="shared" si="32"/>
        <v>N</v>
      </c>
      <c r="BH47" s="161" t="str">
        <f t="shared" si="33"/>
        <v>N</v>
      </c>
      <c r="BI47" s="161" t="str">
        <f t="shared" si="34"/>
        <v>N</v>
      </c>
      <c r="BJ47" s="161" t="str">
        <f t="shared" si="35"/>
        <v>Y</v>
      </c>
      <c r="BK47" s="161" t="str">
        <f t="shared" si="36"/>
        <v>Y</v>
      </c>
      <c r="BL47" s="161" t="str">
        <f t="shared" si="37"/>
        <v>Y</v>
      </c>
      <c r="BM47" s="161" t="str">
        <f t="shared" si="38"/>
        <v>Y</v>
      </c>
      <c r="BN47" s="176" t="str">
        <f t="shared" si="39"/>
        <v>N</v>
      </c>
      <c r="BO47" s="182" t="s">
        <v>683</v>
      </c>
      <c r="BP47" s="174" t="str">
        <f t="shared" si="40"/>
        <v>深交所主板</v>
      </c>
      <c r="BQ47" s="181" t="s">
        <v>317</v>
      </c>
      <c r="BR47" s="173">
        <f t="shared" si="41"/>
        <v>41639</v>
      </c>
      <c r="BS47" s="171" t="str">
        <f t="shared" si="42"/>
        <v>N</v>
      </c>
    </row>
    <row r="48" spans="1:163" s="7" customFormat="1" ht="15" customHeight="1" x14ac:dyDescent="0.35">
      <c r="A48" s="31">
        <v>253</v>
      </c>
      <c r="B48" s="32" t="s">
        <v>684</v>
      </c>
      <c r="C48" s="33" t="s">
        <v>685</v>
      </c>
      <c r="D48" s="50" t="s">
        <v>686</v>
      </c>
      <c r="E48" s="51" t="s">
        <v>687</v>
      </c>
      <c r="F48" s="52" t="s">
        <v>688</v>
      </c>
      <c r="G48" s="47" t="s">
        <v>354</v>
      </c>
      <c r="H48" s="41" t="s">
        <v>368</v>
      </c>
      <c r="I48" s="78">
        <v>44530</v>
      </c>
      <c r="J48" s="78">
        <v>44861</v>
      </c>
      <c r="K48" s="85">
        <v>44902</v>
      </c>
      <c r="L48" s="79" t="s">
        <v>689</v>
      </c>
      <c r="M48" s="86" t="s">
        <v>690</v>
      </c>
      <c r="N48" s="77">
        <v>2</v>
      </c>
      <c r="O48" s="69" t="str">
        <f t="shared" ref="O48:O79" si="43">IF(N48&lt;1,"1年以内",IF(N48&lt;2,"1-2年",IF(N48&lt;3,"2-3年",IF(N48&lt;5,"3-5年","5年以上"))))</f>
        <v>2-3年</v>
      </c>
      <c r="P48" s="69" t="s">
        <v>691</v>
      </c>
      <c r="Q48" s="101" t="s">
        <v>692</v>
      </c>
      <c r="R48" s="70">
        <v>35285</v>
      </c>
      <c r="S48" s="102" t="s">
        <v>508</v>
      </c>
      <c r="T48" s="103" t="s">
        <v>345</v>
      </c>
      <c r="U48" s="69" t="str">
        <f t="shared" si="24"/>
        <v>Y</v>
      </c>
      <c r="V48" s="100" t="s">
        <v>398</v>
      </c>
      <c r="W48" s="104" t="s">
        <v>693</v>
      </c>
      <c r="X48" s="99" t="s">
        <v>320</v>
      </c>
      <c r="Y48" s="134">
        <v>160</v>
      </c>
      <c r="Z48" s="135">
        <v>8788.56</v>
      </c>
      <c r="AA48" s="135">
        <v>8788.56</v>
      </c>
      <c r="AB48" s="100">
        <v>2019</v>
      </c>
      <c r="AC48" s="135">
        <v>-46834.452499999999</v>
      </c>
      <c r="AD48" s="128">
        <v>-0.18765160113700499</v>
      </c>
      <c r="AE48" s="135">
        <v>124965.24</v>
      </c>
      <c r="AF48" s="135">
        <v>124965.24</v>
      </c>
      <c r="AG48" s="43">
        <v>2018</v>
      </c>
      <c r="AH48" s="149">
        <v>675956.58200000005</v>
      </c>
      <c r="AI48" s="128">
        <v>0.184871696389518</v>
      </c>
      <c r="AJ48" s="135"/>
      <c r="AK48" s="135"/>
      <c r="AL48" s="139"/>
      <c r="AM48" s="135"/>
      <c r="AN48" s="128"/>
      <c r="AO48" s="135">
        <v>9115.27</v>
      </c>
      <c r="AP48" s="135">
        <v>8788.56</v>
      </c>
      <c r="AQ48" s="99">
        <v>2019</v>
      </c>
      <c r="AR48" s="135">
        <f>-3047117477.07/10000</f>
        <v>-304711.747707</v>
      </c>
      <c r="AS48" s="128">
        <v>-2.80336569458947E-2</v>
      </c>
      <c r="AT48" s="135"/>
      <c r="AU48" s="135"/>
      <c r="AV48" s="155"/>
      <c r="AW48" s="135"/>
      <c r="AX48" s="128"/>
      <c r="AY48" s="165" t="s">
        <v>694</v>
      </c>
      <c r="AZ48" s="161" t="str">
        <f t="shared" ref="AZ48:AZ79" si="44">IFERROR(IF(Z48&gt;100000,"Y","N"),"N")</f>
        <v>N</v>
      </c>
      <c r="BA48" s="161" t="str">
        <f t="shared" ref="BA48:BA79" si="45">IFERROR(IF(AD48&gt;0.5,"Y","N"),"N")</f>
        <v>N</v>
      </c>
      <c r="BB48" s="161" t="str">
        <f t="shared" ref="BB48:BB79" si="46">IFERROR(IF(AE48&gt;100000,"Y","N"),"N")</f>
        <v>Y</v>
      </c>
      <c r="BC48" s="161" t="str">
        <f t="shared" ref="BC48:BC79" si="47">IFERROR(IF(AI48&gt;0.5,"Y","N"),"N")</f>
        <v>N</v>
      </c>
      <c r="BD48" s="161" t="str">
        <f t="shared" ref="BD48:BD79" si="48">IFERROR(IF(AJ48&gt;100000,"Y","N"),"N")</f>
        <v>N</v>
      </c>
      <c r="BE48" s="161" t="str">
        <f t="shared" ref="BE48:BE79" si="49">IFERROR(IF(AN48&gt;0.5,"Y","N"),"N")</f>
        <v>N</v>
      </c>
      <c r="BF48" s="161" t="str">
        <f t="shared" ref="BF48:BF79" si="50">IFERROR(IF(AND(AM48-AK48&lt;0,AM48&gt;0),"Y","N"),"N")</f>
        <v>N</v>
      </c>
      <c r="BG48" s="161" t="str">
        <f t="shared" ref="BG48:BG79" si="51">IFERROR(IF(AO48&gt;100000,"Y","N"),"N")</f>
        <v>N</v>
      </c>
      <c r="BH48" s="161" t="str">
        <f t="shared" ref="BH48:BH79" si="52">IFERROR(IF(AS48&gt;0.5,"Y","N"),"N")</f>
        <v>N</v>
      </c>
      <c r="BI48" s="161" t="str">
        <f t="shared" ref="BI48:BI79" si="53">IFERROR(IF(AND(AR48-AP48&lt;0,AR48&gt;0),"Y","N"),"N")</f>
        <v>N</v>
      </c>
      <c r="BJ48" s="161" t="str">
        <f t="shared" ref="BJ48:BJ79" si="54">IFERROR(IF(AT48&gt;100000,"Y","N"),"N")</f>
        <v>N</v>
      </c>
      <c r="BK48" s="161" t="str">
        <f t="shared" ref="BK48:BK79" si="55">IFERROR(IF(AX48&gt;0.5,"Y","N"),"N")</f>
        <v>N</v>
      </c>
      <c r="BL48" s="161" t="str">
        <f t="shared" ref="BL48:BL79" si="56">IF(OR(AZ48="Y",BB48="Y",BD48="Y",BG48="Y",BJ48="Y"),"Y","N")</f>
        <v>Y</v>
      </c>
      <c r="BM48" s="161" t="str">
        <f t="shared" ref="BM48:BM79" si="57">IF(OR(BA48="Y",BC48="Y",BE48="Y",BH48="Y",BK48="Y"),"Y","N")</f>
        <v>N</v>
      </c>
      <c r="BN48" s="176" t="str">
        <f t="shared" ref="BN48:BN79" si="58">IF(OR(BF48="Y",BI48="Y"),"Y","N")</f>
        <v>N</v>
      </c>
      <c r="BO48" s="182" t="s">
        <v>695</v>
      </c>
      <c r="BP48" s="174" t="str">
        <f t="shared" ref="BP48:BP79" si="59">IF(LEFT(B48,2)="00","深交所主板",IF(LEFT(B48,2)="60","上交所主板",IF(LEFT(B48,2)="30","深交所创业板",IF(LEFT(B48,3)="688","上交所科创板",IF(RIGHT(B48,2)="BJ","北交所","")))))</f>
        <v>上交所主板</v>
      </c>
      <c r="BQ48" s="181" t="s">
        <v>317</v>
      </c>
      <c r="BR48" s="173">
        <f t="shared" ref="BR48:BR79" si="60">IF(OR(BP48="上交所主板",BP48="深交所主板"),DATE(YEAR(R48)+2,12,31),IF(OR(BP48="上交所科创板",BP48="深交所创业板",,BP48="北交所"),DATE(YEAR(R48)+3,12,31),""))</f>
        <v>36160</v>
      </c>
      <c r="BS48" s="171" t="str">
        <f t="shared" ref="BS48:BS79" si="61">IF(BQ48="是","N",IF(OR(R48="-",LEFT(R48)="A"),"Y",IF(OR(LEFT(M48,4)-YEAR(BR48)&gt;0,RIGHT(M48,4)-(YEAR(R48)-3)&lt;0),"N","Y")))</f>
        <v>N</v>
      </c>
      <c r="BU48" s="15"/>
    </row>
    <row r="49" spans="1:73" s="7" customFormat="1" ht="15" customHeight="1" x14ac:dyDescent="0.35">
      <c r="A49" s="31">
        <v>252</v>
      </c>
      <c r="B49" s="32" t="s">
        <v>696</v>
      </c>
      <c r="C49" s="53" t="s">
        <v>697</v>
      </c>
      <c r="D49" s="50" t="s">
        <v>313</v>
      </c>
      <c r="E49" s="51" t="s">
        <v>366</v>
      </c>
      <c r="F49" s="46" t="s">
        <v>698</v>
      </c>
      <c r="G49" s="47" t="s">
        <v>315</v>
      </c>
      <c r="H49" s="41" t="s">
        <v>327</v>
      </c>
      <c r="I49" s="87">
        <v>44407</v>
      </c>
      <c r="J49" s="87">
        <v>44833</v>
      </c>
      <c r="K49" s="78">
        <v>44901</v>
      </c>
      <c r="L49" s="88" t="s">
        <v>699</v>
      </c>
      <c r="M49" s="89" t="s">
        <v>690</v>
      </c>
      <c r="N49" s="53">
        <v>2</v>
      </c>
      <c r="O49" s="90" t="str">
        <f t="shared" si="43"/>
        <v>2-3年</v>
      </c>
      <c r="P49" s="90" t="s">
        <v>691</v>
      </c>
      <c r="Q49" s="53" t="s">
        <v>371</v>
      </c>
      <c r="R49" s="70">
        <v>42165</v>
      </c>
      <c r="S49" s="105" t="s">
        <v>463</v>
      </c>
      <c r="T49" s="106" t="s">
        <v>317</v>
      </c>
      <c r="U49" s="69" t="str">
        <f t="shared" si="24"/>
        <v>Y</v>
      </c>
      <c r="V49" s="100" t="s">
        <v>361</v>
      </c>
      <c r="W49" s="107" t="s">
        <v>361</v>
      </c>
      <c r="X49" s="99" t="s">
        <v>334</v>
      </c>
      <c r="Y49" s="136">
        <v>60</v>
      </c>
      <c r="Z49" s="137"/>
      <c r="AA49" s="137"/>
      <c r="AB49" s="109"/>
      <c r="AC49" s="137"/>
      <c r="AD49" s="128"/>
      <c r="AE49" s="137"/>
      <c r="AF49" s="135"/>
      <c r="AG49" s="43"/>
      <c r="AH49" s="149"/>
      <c r="AI49" s="128"/>
      <c r="AJ49" s="137"/>
      <c r="AK49" s="137"/>
      <c r="AL49" s="139"/>
      <c r="AM49" s="135"/>
      <c r="AN49" s="128"/>
      <c r="AO49" s="137"/>
      <c r="AP49" s="137"/>
      <c r="AQ49" s="109"/>
      <c r="AR49" s="137"/>
      <c r="AS49" s="128"/>
      <c r="AT49" s="137">
        <f>63554.43+114260+3000</f>
        <v>180814.43</v>
      </c>
      <c r="AU49" s="137">
        <f>114260+3000</f>
        <v>117260</v>
      </c>
      <c r="AV49" s="138">
        <v>2019</v>
      </c>
      <c r="AW49" s="137">
        <f>285765867.44/10000</f>
        <v>28576.586744</v>
      </c>
      <c r="AX49" s="163">
        <f>AU49/AW49</f>
        <v>4.1033591957800963</v>
      </c>
      <c r="AY49" s="89" t="s">
        <v>700</v>
      </c>
      <c r="AZ49" s="161" t="str">
        <f t="shared" si="44"/>
        <v>N</v>
      </c>
      <c r="BA49" s="161" t="str">
        <f t="shared" si="45"/>
        <v>N</v>
      </c>
      <c r="BB49" s="161" t="str">
        <f t="shared" si="46"/>
        <v>N</v>
      </c>
      <c r="BC49" s="161" t="str">
        <f t="shared" si="47"/>
        <v>N</v>
      </c>
      <c r="BD49" s="161" t="str">
        <f t="shared" si="48"/>
        <v>N</v>
      </c>
      <c r="BE49" s="161" t="str">
        <f t="shared" si="49"/>
        <v>N</v>
      </c>
      <c r="BF49" s="161" t="str">
        <f t="shared" si="50"/>
        <v>N</v>
      </c>
      <c r="BG49" s="161" t="str">
        <f t="shared" si="51"/>
        <v>N</v>
      </c>
      <c r="BH49" s="161" t="str">
        <f t="shared" si="52"/>
        <v>N</v>
      </c>
      <c r="BI49" s="161" t="str">
        <f t="shared" si="53"/>
        <v>N</v>
      </c>
      <c r="BJ49" s="161" t="str">
        <f t="shared" si="54"/>
        <v>Y</v>
      </c>
      <c r="BK49" s="161" t="str">
        <f t="shared" si="55"/>
        <v>Y</v>
      </c>
      <c r="BL49" s="161" t="str">
        <f t="shared" si="56"/>
        <v>Y</v>
      </c>
      <c r="BM49" s="161" t="str">
        <f t="shared" si="57"/>
        <v>Y</v>
      </c>
      <c r="BN49" s="176" t="str">
        <f t="shared" si="58"/>
        <v>N</v>
      </c>
      <c r="BO49" s="182" t="s">
        <v>481</v>
      </c>
      <c r="BP49" s="174" t="str">
        <f t="shared" si="59"/>
        <v>深交所创业板</v>
      </c>
      <c r="BQ49" s="181" t="s">
        <v>317</v>
      </c>
      <c r="BR49" s="173">
        <f t="shared" si="60"/>
        <v>43465</v>
      </c>
      <c r="BS49" s="171" t="str">
        <f t="shared" si="61"/>
        <v>Y</v>
      </c>
    </row>
    <row r="50" spans="1:73" s="7" customFormat="1" ht="15" customHeight="1" x14ac:dyDescent="0.35">
      <c r="A50" s="31">
        <v>251</v>
      </c>
      <c r="B50" s="32" t="s">
        <v>701</v>
      </c>
      <c r="C50" s="53" t="s">
        <v>702</v>
      </c>
      <c r="D50" s="50" t="s">
        <v>389</v>
      </c>
      <c r="E50" s="51" t="s">
        <v>703</v>
      </c>
      <c r="F50" s="46" t="s">
        <v>704</v>
      </c>
      <c r="G50" s="47" t="s">
        <v>315</v>
      </c>
      <c r="H50" s="41" t="s">
        <v>368</v>
      </c>
      <c r="I50" s="87">
        <v>44539</v>
      </c>
      <c r="J50" s="87">
        <v>44818</v>
      </c>
      <c r="K50" s="78">
        <v>44847</v>
      </c>
      <c r="L50" s="84" t="s">
        <v>705</v>
      </c>
      <c r="M50" s="89" t="s">
        <v>452</v>
      </c>
      <c r="N50" s="53">
        <v>2</v>
      </c>
      <c r="O50" s="90" t="str">
        <f t="shared" si="43"/>
        <v>2-3年</v>
      </c>
      <c r="P50" s="90" t="s">
        <v>706</v>
      </c>
      <c r="Q50" s="53" t="s">
        <v>471</v>
      </c>
      <c r="R50" s="70">
        <v>39367</v>
      </c>
      <c r="S50" s="105" t="s">
        <v>707</v>
      </c>
      <c r="T50" s="106" t="s">
        <v>317</v>
      </c>
      <c r="U50" s="69" t="str">
        <f t="shared" si="24"/>
        <v>Y</v>
      </c>
      <c r="V50" s="100" t="s">
        <v>333</v>
      </c>
      <c r="W50" s="107" t="s">
        <v>708</v>
      </c>
      <c r="X50" s="99" t="s">
        <v>320</v>
      </c>
      <c r="Y50" s="136">
        <v>60</v>
      </c>
      <c r="Z50" s="137">
        <f>95295747.91/10000</f>
        <v>9529.5747909999991</v>
      </c>
      <c r="AA50" s="137">
        <f>95295747.91/10000</f>
        <v>9529.5747909999991</v>
      </c>
      <c r="AB50" s="109">
        <v>2018</v>
      </c>
      <c r="AC50" s="130">
        <f>3730570653.53/10000</f>
        <v>373057.06535300001</v>
      </c>
      <c r="AD50" s="128">
        <f>AA50/AC50</f>
        <v>2.5544549818357611E-2</v>
      </c>
      <c r="AE50" s="137">
        <f>(5831084534.31+67403160.76)/10000</f>
        <v>589848.76950700011</v>
      </c>
      <c r="AF50" s="135">
        <f>67403160.76/10000</f>
        <v>6740.316076000001</v>
      </c>
      <c r="AG50" s="43">
        <v>2018</v>
      </c>
      <c r="AH50" s="149">
        <f>3016796457.07/10000</f>
        <v>301679.64570699999</v>
      </c>
      <c r="AI50" s="128">
        <f>AF50/AH50</f>
        <v>2.2342627923086302E-2</v>
      </c>
      <c r="AJ50" s="137">
        <f>(26938461.55+111035633.67)/10000</f>
        <v>13797.409522</v>
      </c>
      <c r="AK50" s="137">
        <f>111035633.67/10000</f>
        <v>11103.563367000001</v>
      </c>
      <c r="AL50" s="139">
        <v>2018</v>
      </c>
      <c r="AM50" s="135">
        <f>-1738568064.73/10000</f>
        <v>-173856.806473</v>
      </c>
      <c r="AN50" s="128">
        <f>AK50/AM50</f>
        <v>-6.386614129326243E-2</v>
      </c>
      <c r="AO50" s="137"/>
      <c r="AP50" s="137"/>
      <c r="AQ50" s="109"/>
      <c r="AR50" s="137"/>
      <c r="AS50" s="128"/>
      <c r="AT50" s="137"/>
      <c r="AU50" s="137"/>
      <c r="AV50" s="138"/>
      <c r="AW50" s="137"/>
      <c r="AX50" s="163"/>
      <c r="AY50" s="89" t="s">
        <v>709</v>
      </c>
      <c r="AZ50" s="161" t="str">
        <f t="shared" si="44"/>
        <v>N</v>
      </c>
      <c r="BA50" s="161" t="str">
        <f t="shared" si="45"/>
        <v>N</v>
      </c>
      <c r="BB50" s="161" t="str">
        <f t="shared" si="46"/>
        <v>Y</v>
      </c>
      <c r="BC50" s="161" t="str">
        <f t="shared" si="47"/>
        <v>N</v>
      </c>
      <c r="BD50" s="161" t="str">
        <f t="shared" si="48"/>
        <v>N</v>
      </c>
      <c r="BE50" s="161" t="str">
        <f t="shared" si="49"/>
        <v>N</v>
      </c>
      <c r="BF50" s="161" t="str">
        <f t="shared" si="50"/>
        <v>N</v>
      </c>
      <c r="BG50" s="161" t="str">
        <f t="shared" si="51"/>
        <v>N</v>
      </c>
      <c r="BH50" s="161" t="str">
        <f t="shared" si="52"/>
        <v>N</v>
      </c>
      <c r="BI50" s="161" t="str">
        <f t="shared" si="53"/>
        <v>N</v>
      </c>
      <c r="BJ50" s="161" t="str">
        <f t="shared" si="54"/>
        <v>N</v>
      </c>
      <c r="BK50" s="161" t="str">
        <f t="shared" si="55"/>
        <v>N</v>
      </c>
      <c r="BL50" s="161" t="str">
        <f t="shared" si="56"/>
        <v>Y</v>
      </c>
      <c r="BM50" s="161" t="str">
        <f t="shared" si="57"/>
        <v>N</v>
      </c>
      <c r="BN50" s="176" t="str">
        <f t="shared" si="58"/>
        <v>N</v>
      </c>
      <c r="BO50" s="182" t="s">
        <v>710</v>
      </c>
      <c r="BP50" s="174" t="str">
        <f t="shared" si="59"/>
        <v>深交所主板</v>
      </c>
      <c r="BQ50" s="181" t="s">
        <v>317</v>
      </c>
      <c r="BR50" s="173">
        <f t="shared" si="60"/>
        <v>40178</v>
      </c>
      <c r="BS50" s="171" t="str">
        <f t="shared" si="61"/>
        <v>N</v>
      </c>
      <c r="BU50" s="15"/>
    </row>
    <row r="51" spans="1:73" s="7" customFormat="1" ht="15" customHeight="1" x14ac:dyDescent="0.35">
      <c r="A51" s="31">
        <v>250</v>
      </c>
      <c r="B51" s="32" t="s">
        <v>711</v>
      </c>
      <c r="C51" s="53" t="s">
        <v>712</v>
      </c>
      <c r="D51" s="50" t="s">
        <v>713</v>
      </c>
      <c r="E51" s="51" t="s">
        <v>714</v>
      </c>
      <c r="F51" s="46" t="s">
        <v>715</v>
      </c>
      <c r="G51" s="47" t="s">
        <v>315</v>
      </c>
      <c r="H51" s="41" t="s">
        <v>368</v>
      </c>
      <c r="I51" s="87">
        <v>44692</v>
      </c>
      <c r="J51" s="87">
        <v>44811</v>
      </c>
      <c r="K51" s="78">
        <v>44867</v>
      </c>
      <c r="L51" s="88" t="s">
        <v>716</v>
      </c>
      <c r="M51" s="89" t="s">
        <v>532</v>
      </c>
      <c r="N51" s="53">
        <v>2</v>
      </c>
      <c r="O51" s="90" t="str">
        <f t="shared" si="43"/>
        <v>2-3年</v>
      </c>
      <c r="P51" s="90" t="s">
        <v>717</v>
      </c>
      <c r="Q51" s="53" t="s">
        <v>718</v>
      </c>
      <c r="R51" s="70">
        <v>44039</v>
      </c>
      <c r="S51" s="105" t="s">
        <v>421</v>
      </c>
      <c r="T51" s="106" t="s">
        <v>317</v>
      </c>
      <c r="U51" s="69" t="str">
        <f t="shared" si="24"/>
        <v>N</v>
      </c>
      <c r="V51" s="100" t="s">
        <v>361</v>
      </c>
      <c r="W51" s="107" t="s">
        <v>361</v>
      </c>
      <c r="X51" s="99" t="s">
        <v>719</v>
      </c>
      <c r="Y51" s="136">
        <v>0</v>
      </c>
      <c r="Z51" s="137"/>
      <c r="AA51" s="137"/>
      <c r="AB51" s="109"/>
      <c r="AC51" s="137"/>
      <c r="AD51" s="128"/>
      <c r="AE51" s="135"/>
      <c r="AF51" s="135"/>
      <c r="AG51" s="43"/>
      <c r="AH51" s="149"/>
      <c r="AI51" s="128"/>
      <c r="AJ51" s="137"/>
      <c r="AK51" s="137"/>
      <c r="AL51" s="139"/>
      <c r="AM51" s="135"/>
      <c r="AN51" s="128"/>
      <c r="AO51" s="137"/>
      <c r="AP51" s="137"/>
      <c r="AQ51" s="109"/>
      <c r="AR51" s="137"/>
      <c r="AS51" s="128"/>
      <c r="AT51" s="137">
        <f>27700+7876.44</f>
        <v>35576.44</v>
      </c>
      <c r="AU51" s="137">
        <f>12200+67115237.5/10000</f>
        <v>18911.52375</v>
      </c>
      <c r="AV51" s="138">
        <v>2021</v>
      </c>
      <c r="AW51" s="137">
        <f>1065700486.56/10000</f>
        <v>106570.048656</v>
      </c>
      <c r="AX51" s="163">
        <f>AU51/AW51</f>
        <v>0.17745627395784494</v>
      </c>
      <c r="AY51" s="89" t="s">
        <v>720</v>
      </c>
      <c r="AZ51" s="161" t="str">
        <f t="shared" si="44"/>
        <v>N</v>
      </c>
      <c r="BA51" s="161" t="str">
        <f t="shared" si="45"/>
        <v>N</v>
      </c>
      <c r="BB51" s="161" t="str">
        <f t="shared" si="46"/>
        <v>N</v>
      </c>
      <c r="BC51" s="161" t="str">
        <f t="shared" si="47"/>
        <v>N</v>
      </c>
      <c r="BD51" s="161" t="str">
        <f t="shared" si="48"/>
        <v>N</v>
      </c>
      <c r="BE51" s="161" t="str">
        <f t="shared" si="49"/>
        <v>N</v>
      </c>
      <c r="BF51" s="161" t="str">
        <f t="shared" si="50"/>
        <v>N</v>
      </c>
      <c r="BG51" s="161" t="str">
        <f t="shared" si="51"/>
        <v>N</v>
      </c>
      <c r="BH51" s="161" t="str">
        <f t="shared" si="52"/>
        <v>N</v>
      </c>
      <c r="BI51" s="161" t="str">
        <f t="shared" si="53"/>
        <v>N</v>
      </c>
      <c r="BJ51" s="161" t="str">
        <f t="shared" si="54"/>
        <v>N</v>
      </c>
      <c r="BK51" s="161" t="str">
        <f t="shared" si="55"/>
        <v>N</v>
      </c>
      <c r="BL51" s="161" t="str">
        <f t="shared" si="56"/>
        <v>N</v>
      </c>
      <c r="BM51" s="161" t="str">
        <f t="shared" si="57"/>
        <v>N</v>
      </c>
      <c r="BN51" s="176" t="str">
        <f t="shared" si="58"/>
        <v>N</v>
      </c>
      <c r="BO51" s="182" t="s">
        <v>721</v>
      </c>
      <c r="BP51" s="174" t="str">
        <f t="shared" si="59"/>
        <v>北交所</v>
      </c>
      <c r="BQ51" s="181" t="s">
        <v>317</v>
      </c>
      <c r="BR51" s="173">
        <f t="shared" si="60"/>
        <v>45291</v>
      </c>
      <c r="BS51" s="171" t="str">
        <f t="shared" si="61"/>
        <v>Y</v>
      </c>
      <c r="BU51" s="186" t="s">
        <v>722</v>
      </c>
    </row>
    <row r="52" spans="1:73" s="7" customFormat="1" ht="15" customHeight="1" x14ac:dyDescent="0.35">
      <c r="A52" s="31">
        <v>249</v>
      </c>
      <c r="B52" s="32" t="s">
        <v>723</v>
      </c>
      <c r="C52" s="53" t="s">
        <v>724</v>
      </c>
      <c r="D52" s="50" t="s">
        <v>725</v>
      </c>
      <c r="E52" s="51" t="s">
        <v>726</v>
      </c>
      <c r="F52" s="46" t="s">
        <v>727</v>
      </c>
      <c r="G52" s="47" t="s">
        <v>315</v>
      </c>
      <c r="H52" s="41" t="s">
        <v>368</v>
      </c>
      <c r="I52" s="87">
        <v>44342</v>
      </c>
      <c r="J52" s="87">
        <v>44810</v>
      </c>
      <c r="K52" s="78">
        <v>44859</v>
      </c>
      <c r="L52" s="91" t="s">
        <v>728</v>
      </c>
      <c r="M52" s="89" t="s">
        <v>729</v>
      </c>
      <c r="N52" s="53">
        <v>4</v>
      </c>
      <c r="O52" s="90" t="str">
        <f t="shared" si="43"/>
        <v>3-5年</v>
      </c>
      <c r="P52" s="90" t="s">
        <v>730</v>
      </c>
      <c r="Q52" s="101" t="s">
        <v>731</v>
      </c>
      <c r="R52" s="70">
        <v>40499</v>
      </c>
      <c r="S52" s="105" t="s">
        <v>707</v>
      </c>
      <c r="T52" s="106" t="s">
        <v>345</v>
      </c>
      <c r="U52" s="69" t="str">
        <f t="shared" si="24"/>
        <v>Y</v>
      </c>
      <c r="V52" s="100" t="s">
        <v>398</v>
      </c>
      <c r="W52" s="107" t="s">
        <v>708</v>
      </c>
      <c r="X52" s="108" t="s">
        <v>320</v>
      </c>
      <c r="Y52" s="136">
        <v>60</v>
      </c>
      <c r="Z52" s="137">
        <f>(6169544352.23+260249993.47+6284324663.58)/10000</f>
        <v>1271411.900928</v>
      </c>
      <c r="AA52" s="137">
        <f>4759479951.01/10000</f>
        <v>475947.99510100001</v>
      </c>
      <c r="AB52" s="138">
        <v>2017</v>
      </c>
      <c r="AC52" s="137">
        <f>7994137069.06/10000</f>
        <v>799413.70690600004</v>
      </c>
      <c r="AD52" s="128">
        <f>AA52/AC52</f>
        <v>0.59537132149394689</v>
      </c>
      <c r="AE52" s="130">
        <f>192892.4</f>
        <v>192892.4</v>
      </c>
      <c r="AF52" s="137">
        <v>77131.72</v>
      </c>
      <c r="AG52" s="43">
        <v>2016</v>
      </c>
      <c r="AH52" s="150">
        <v>255803.15</v>
      </c>
      <c r="AI52" s="128">
        <f>AF52/AH52</f>
        <v>0.30152763951499428</v>
      </c>
      <c r="AJ52" s="137">
        <f>(211346090.58+273046286.52+198446724.65+3194853.23+111585448.12)/10000</f>
        <v>79761.940310000005</v>
      </c>
      <c r="AK52" s="137">
        <v>27304.63</v>
      </c>
      <c r="AL52" s="139">
        <v>2016</v>
      </c>
      <c r="AM52" s="137">
        <v>65679.86</v>
      </c>
      <c r="AN52" s="128">
        <f>AK52/AM52</f>
        <v>0.41572302377014814</v>
      </c>
      <c r="AO52" s="137"/>
      <c r="AP52" s="137"/>
      <c r="AQ52" s="109"/>
      <c r="AR52" s="137"/>
      <c r="AS52" s="128"/>
      <c r="AT52" s="137"/>
      <c r="AU52" s="137"/>
      <c r="AV52" s="138"/>
      <c r="AW52" s="137"/>
      <c r="AX52" s="163"/>
      <c r="AY52" s="76" t="s">
        <v>732</v>
      </c>
      <c r="AZ52" s="161" t="str">
        <f t="shared" si="44"/>
        <v>Y</v>
      </c>
      <c r="BA52" s="161" t="str">
        <f t="shared" si="45"/>
        <v>Y</v>
      </c>
      <c r="BB52" s="161" t="str">
        <f t="shared" si="46"/>
        <v>Y</v>
      </c>
      <c r="BC52" s="161" t="str">
        <f t="shared" si="47"/>
        <v>N</v>
      </c>
      <c r="BD52" s="161" t="str">
        <f t="shared" si="48"/>
        <v>N</v>
      </c>
      <c r="BE52" s="161" t="str">
        <f t="shared" si="49"/>
        <v>N</v>
      </c>
      <c r="BF52" s="161" t="str">
        <f t="shared" si="50"/>
        <v>N</v>
      </c>
      <c r="BG52" s="161" t="str">
        <f t="shared" si="51"/>
        <v>N</v>
      </c>
      <c r="BH52" s="161" t="str">
        <f t="shared" si="52"/>
        <v>N</v>
      </c>
      <c r="BI52" s="161" t="str">
        <f t="shared" si="53"/>
        <v>N</v>
      </c>
      <c r="BJ52" s="161" t="str">
        <f t="shared" si="54"/>
        <v>N</v>
      </c>
      <c r="BK52" s="161" t="str">
        <f t="shared" si="55"/>
        <v>N</v>
      </c>
      <c r="BL52" s="161" t="str">
        <f t="shared" si="56"/>
        <v>Y</v>
      </c>
      <c r="BM52" s="161" t="str">
        <f t="shared" si="57"/>
        <v>Y</v>
      </c>
      <c r="BN52" s="176" t="str">
        <f t="shared" si="58"/>
        <v>N</v>
      </c>
      <c r="BO52" s="182" t="s">
        <v>520</v>
      </c>
      <c r="BP52" s="174" t="str">
        <f t="shared" si="59"/>
        <v>深交所主板</v>
      </c>
      <c r="BQ52" s="181" t="s">
        <v>317</v>
      </c>
      <c r="BR52" s="173">
        <f t="shared" si="60"/>
        <v>41274</v>
      </c>
      <c r="BS52" s="171" t="str">
        <f t="shared" si="61"/>
        <v>N</v>
      </c>
      <c r="BU52" s="186" t="s">
        <v>733</v>
      </c>
    </row>
    <row r="53" spans="1:73" s="7" customFormat="1" ht="15" customHeight="1" x14ac:dyDescent="0.35">
      <c r="A53" s="31">
        <v>248</v>
      </c>
      <c r="B53" s="32" t="s">
        <v>734</v>
      </c>
      <c r="C53" s="53" t="s">
        <v>735</v>
      </c>
      <c r="D53" s="50" t="s">
        <v>313</v>
      </c>
      <c r="E53" s="51" t="s">
        <v>736</v>
      </c>
      <c r="F53" s="46" t="s">
        <v>737</v>
      </c>
      <c r="G53" s="47" t="s">
        <v>354</v>
      </c>
      <c r="H53" s="41" t="s">
        <v>368</v>
      </c>
      <c r="I53" s="87">
        <v>44546</v>
      </c>
      <c r="J53" s="87">
        <v>44809</v>
      </c>
      <c r="K53" s="78">
        <v>44876</v>
      </c>
      <c r="L53" s="88" t="s">
        <v>738</v>
      </c>
      <c r="M53" s="89">
        <v>2020</v>
      </c>
      <c r="N53" s="53">
        <v>0.5</v>
      </c>
      <c r="O53" s="90" t="str">
        <f t="shared" si="43"/>
        <v>1年以内</v>
      </c>
      <c r="P53" s="90" t="s">
        <v>739</v>
      </c>
      <c r="Q53" s="101" t="s">
        <v>740</v>
      </c>
      <c r="R53" s="70">
        <v>38035</v>
      </c>
      <c r="S53" s="105" t="s">
        <v>741</v>
      </c>
      <c r="T53" s="106" t="s">
        <v>317</v>
      </c>
      <c r="U53" s="69" t="str">
        <f t="shared" si="24"/>
        <v>Y</v>
      </c>
      <c r="V53" s="100" t="s">
        <v>361</v>
      </c>
      <c r="W53" s="107" t="s">
        <v>361</v>
      </c>
      <c r="X53" s="108" t="s">
        <v>320</v>
      </c>
      <c r="Y53" s="136">
        <v>100</v>
      </c>
      <c r="Z53" s="137"/>
      <c r="AA53" s="137"/>
      <c r="AB53" s="138"/>
      <c r="AC53" s="137"/>
      <c r="AD53" s="128"/>
      <c r="AE53" s="137"/>
      <c r="AF53" s="137"/>
      <c r="AG53" s="43"/>
      <c r="AH53" s="150"/>
      <c r="AI53" s="128"/>
      <c r="AJ53" s="137"/>
      <c r="AK53" s="137"/>
      <c r="AL53" s="139"/>
      <c r="AM53" s="137"/>
      <c r="AN53" s="128"/>
      <c r="AO53" s="137"/>
      <c r="AP53" s="137"/>
      <c r="AQ53" s="109"/>
      <c r="AR53" s="137"/>
      <c r="AS53" s="128"/>
      <c r="AT53" s="137">
        <f>4000+5000+68533.49+36000+24000+41420+19316.79</f>
        <v>198270.28</v>
      </c>
      <c r="AU53" s="137">
        <f>4000+5000+68533.48+36000+24000+41420+19326.79</f>
        <v>198280.27</v>
      </c>
      <c r="AV53" s="138">
        <v>2020</v>
      </c>
      <c r="AW53" s="137">
        <f>3322781962.15/10000</f>
        <v>332278.196215</v>
      </c>
      <c r="AX53" s="163">
        <f>AU53/AW53</f>
        <v>0.59672970498402222</v>
      </c>
      <c r="AY53" s="89" t="s">
        <v>742</v>
      </c>
      <c r="AZ53" s="161" t="str">
        <f t="shared" si="44"/>
        <v>N</v>
      </c>
      <c r="BA53" s="161" t="str">
        <f t="shared" si="45"/>
        <v>N</v>
      </c>
      <c r="BB53" s="161" t="str">
        <f t="shared" si="46"/>
        <v>N</v>
      </c>
      <c r="BC53" s="161" t="str">
        <f t="shared" si="47"/>
        <v>N</v>
      </c>
      <c r="BD53" s="161" t="str">
        <f t="shared" si="48"/>
        <v>N</v>
      </c>
      <c r="BE53" s="161" t="str">
        <f t="shared" si="49"/>
        <v>N</v>
      </c>
      <c r="BF53" s="161" t="str">
        <f t="shared" si="50"/>
        <v>N</v>
      </c>
      <c r="BG53" s="161" t="str">
        <f t="shared" si="51"/>
        <v>N</v>
      </c>
      <c r="BH53" s="161" t="str">
        <f t="shared" si="52"/>
        <v>N</v>
      </c>
      <c r="BI53" s="161" t="str">
        <f t="shared" si="53"/>
        <v>N</v>
      </c>
      <c r="BJ53" s="161" t="str">
        <f t="shared" si="54"/>
        <v>Y</v>
      </c>
      <c r="BK53" s="161" t="str">
        <f t="shared" si="55"/>
        <v>Y</v>
      </c>
      <c r="BL53" s="161" t="str">
        <f t="shared" si="56"/>
        <v>Y</v>
      </c>
      <c r="BM53" s="161" t="str">
        <f t="shared" si="57"/>
        <v>Y</v>
      </c>
      <c r="BN53" s="176" t="str">
        <f t="shared" si="58"/>
        <v>N</v>
      </c>
      <c r="BO53" s="182" t="s">
        <v>743</v>
      </c>
      <c r="BP53" s="174" t="str">
        <f t="shared" si="59"/>
        <v>上交所主板</v>
      </c>
      <c r="BQ53" s="181" t="s">
        <v>317</v>
      </c>
      <c r="BR53" s="173">
        <f t="shared" si="60"/>
        <v>39082</v>
      </c>
      <c r="BS53" s="171" t="str">
        <f t="shared" si="61"/>
        <v>N</v>
      </c>
    </row>
    <row r="54" spans="1:73" s="7" customFormat="1" ht="15" customHeight="1" x14ac:dyDescent="0.35">
      <c r="A54" s="31">
        <v>247</v>
      </c>
      <c r="B54" s="32" t="s">
        <v>744</v>
      </c>
      <c r="C54" s="53" t="s">
        <v>745</v>
      </c>
      <c r="D54" s="50" t="s">
        <v>426</v>
      </c>
      <c r="E54" s="51" t="s">
        <v>427</v>
      </c>
      <c r="F54" s="46" t="s">
        <v>746</v>
      </c>
      <c r="G54" s="47" t="s">
        <v>315</v>
      </c>
      <c r="H54" s="41" t="s">
        <v>368</v>
      </c>
      <c r="I54" s="87">
        <v>44442</v>
      </c>
      <c r="J54" s="87">
        <v>44798</v>
      </c>
      <c r="K54" s="271">
        <v>45112</v>
      </c>
      <c r="L54" s="88" t="s">
        <v>747</v>
      </c>
      <c r="M54" s="89" t="s">
        <v>748</v>
      </c>
      <c r="N54" s="53">
        <v>2</v>
      </c>
      <c r="O54" s="90" t="str">
        <f t="shared" si="43"/>
        <v>2-3年</v>
      </c>
      <c r="P54" s="90" t="s">
        <v>749</v>
      </c>
      <c r="Q54" s="101" t="s">
        <v>479</v>
      </c>
      <c r="R54" s="70">
        <v>34554</v>
      </c>
      <c r="S54" s="105" t="s">
        <v>750</v>
      </c>
      <c r="T54" s="106" t="s">
        <v>317</v>
      </c>
      <c r="U54" s="69" t="str">
        <f t="shared" si="24"/>
        <v>N</v>
      </c>
      <c r="V54" s="100" t="s">
        <v>333</v>
      </c>
      <c r="W54" s="107" t="s">
        <v>319</v>
      </c>
      <c r="X54" s="108" t="s">
        <v>334</v>
      </c>
      <c r="Y54" s="136">
        <v>60</v>
      </c>
      <c r="Z54" s="137"/>
      <c r="AA54" s="137"/>
      <c r="AB54" s="138"/>
      <c r="AC54" s="137"/>
      <c r="AD54" s="128"/>
      <c r="AE54" s="137">
        <f>161644548.9/10000</f>
        <v>16164.454890000001</v>
      </c>
      <c r="AF54" s="137">
        <f>96412442.87/10000</f>
        <v>9641.2442870000013</v>
      </c>
      <c r="AG54" s="43">
        <v>2016</v>
      </c>
      <c r="AH54" s="150">
        <f>1029196295.74/10000</f>
        <v>102919.62957400001</v>
      </c>
      <c r="AI54" s="128">
        <f>AF54/AH54</f>
        <v>9.3677409517568005E-2</v>
      </c>
      <c r="AJ54" s="137">
        <f>161644548.9/10000</f>
        <v>16164.454890000001</v>
      </c>
      <c r="AK54" s="137">
        <f>96412442.87/10000</f>
        <v>9641.2442870000013</v>
      </c>
      <c r="AL54" s="139">
        <v>2016</v>
      </c>
      <c r="AM54" s="137">
        <f>307356636.47/10000</f>
        <v>30735.663647000001</v>
      </c>
      <c r="AN54" s="128">
        <f>AK54/AM54</f>
        <v>0.31368264559795989</v>
      </c>
      <c r="AO54" s="137"/>
      <c r="AP54" s="137"/>
      <c r="AQ54" s="109"/>
      <c r="AR54" s="137"/>
      <c r="AS54" s="128"/>
      <c r="AT54" s="137"/>
      <c r="AU54" s="137"/>
      <c r="AV54" s="138"/>
      <c r="AW54" s="137"/>
      <c r="AX54" s="163"/>
      <c r="AY54" s="89" t="s">
        <v>751</v>
      </c>
      <c r="AZ54" s="161" t="str">
        <f t="shared" si="44"/>
        <v>N</v>
      </c>
      <c r="BA54" s="161" t="str">
        <f t="shared" si="45"/>
        <v>N</v>
      </c>
      <c r="BB54" s="161" t="str">
        <f t="shared" si="46"/>
        <v>N</v>
      </c>
      <c r="BC54" s="161" t="str">
        <f t="shared" si="47"/>
        <v>N</v>
      </c>
      <c r="BD54" s="161" t="str">
        <f t="shared" si="48"/>
        <v>N</v>
      </c>
      <c r="BE54" s="161" t="str">
        <f t="shared" si="49"/>
        <v>N</v>
      </c>
      <c r="BF54" s="161" t="str">
        <f t="shared" si="50"/>
        <v>N</v>
      </c>
      <c r="BG54" s="161" t="str">
        <f t="shared" si="51"/>
        <v>N</v>
      </c>
      <c r="BH54" s="161" t="str">
        <f t="shared" si="52"/>
        <v>N</v>
      </c>
      <c r="BI54" s="161" t="str">
        <f t="shared" si="53"/>
        <v>N</v>
      </c>
      <c r="BJ54" s="161" t="str">
        <f t="shared" si="54"/>
        <v>N</v>
      </c>
      <c r="BK54" s="161" t="str">
        <f t="shared" si="55"/>
        <v>N</v>
      </c>
      <c r="BL54" s="161" t="str">
        <f t="shared" si="56"/>
        <v>N</v>
      </c>
      <c r="BM54" s="161" t="str">
        <f t="shared" si="57"/>
        <v>N</v>
      </c>
      <c r="BN54" s="176" t="str">
        <f t="shared" si="58"/>
        <v>N</v>
      </c>
      <c r="BO54" s="182" t="s">
        <v>363</v>
      </c>
      <c r="BP54" s="183" t="str">
        <f t="shared" si="59"/>
        <v>深交所主板</v>
      </c>
      <c r="BQ54" s="181" t="s">
        <v>317</v>
      </c>
      <c r="BR54" s="173">
        <f t="shared" si="60"/>
        <v>35430</v>
      </c>
      <c r="BS54" s="171" t="str">
        <f t="shared" si="61"/>
        <v>N</v>
      </c>
    </row>
    <row r="55" spans="1:73" s="7" customFormat="1" ht="15" customHeight="1" x14ac:dyDescent="0.35">
      <c r="A55" s="31">
        <v>246</v>
      </c>
      <c r="B55" s="32" t="s">
        <v>752</v>
      </c>
      <c r="C55" s="53" t="s">
        <v>753</v>
      </c>
      <c r="D55" s="50" t="s">
        <v>754</v>
      </c>
      <c r="E55" s="51" t="s">
        <v>755</v>
      </c>
      <c r="F55" s="46" t="s">
        <v>756</v>
      </c>
      <c r="G55" s="47" t="s">
        <v>380</v>
      </c>
      <c r="H55" s="41" t="s">
        <v>327</v>
      </c>
      <c r="I55" s="87">
        <v>44546</v>
      </c>
      <c r="J55" s="87">
        <v>44798</v>
      </c>
      <c r="K55" s="78">
        <v>44924</v>
      </c>
      <c r="L55" s="88" t="s">
        <v>757</v>
      </c>
      <c r="M55" s="89" t="s">
        <v>637</v>
      </c>
      <c r="N55" s="53">
        <v>5.5</v>
      </c>
      <c r="O55" s="90" t="str">
        <f t="shared" si="43"/>
        <v>5年以上</v>
      </c>
      <c r="P55" s="90" t="s">
        <v>758</v>
      </c>
      <c r="Q55" s="101" t="s">
        <v>471</v>
      </c>
      <c r="R55" s="70">
        <v>35377</v>
      </c>
      <c r="S55" s="105" t="s">
        <v>759</v>
      </c>
      <c r="T55" s="106" t="s">
        <v>345</v>
      </c>
      <c r="U55" s="69" t="str">
        <f t="shared" si="24"/>
        <v>Y</v>
      </c>
      <c r="V55" s="100" t="s">
        <v>361</v>
      </c>
      <c r="W55" s="107" t="s">
        <v>361</v>
      </c>
      <c r="X55" s="108" t="s">
        <v>320</v>
      </c>
      <c r="Y55" s="136">
        <v>150</v>
      </c>
      <c r="Z55" s="137"/>
      <c r="AA55" s="137"/>
      <c r="AB55" s="138"/>
      <c r="AC55" s="137"/>
      <c r="AD55" s="128"/>
      <c r="AE55" s="137"/>
      <c r="AF55" s="137"/>
      <c r="AG55" s="43"/>
      <c r="AH55" s="150"/>
      <c r="AI55" s="128"/>
      <c r="AJ55" s="137"/>
      <c r="AK55" s="137"/>
      <c r="AL55" s="139"/>
      <c r="AM55" s="137"/>
      <c r="AN55" s="128"/>
      <c r="AO55" s="137"/>
      <c r="AP55" s="137"/>
      <c r="AQ55" s="109"/>
      <c r="AR55" s="137"/>
      <c r="AS55" s="128"/>
      <c r="AT55" s="137">
        <f>(12*30%+13.4+1.8+2.4)*10000</f>
        <v>212000</v>
      </c>
      <c r="AU55" s="137">
        <f>(13.4+1.8)*10000</f>
        <v>152000</v>
      </c>
      <c r="AV55" s="138">
        <v>2019</v>
      </c>
      <c r="AW55" s="137">
        <f>4364317110.91/10000</f>
        <v>436431.711091</v>
      </c>
      <c r="AX55" s="163">
        <f>AU55/AW55</f>
        <v>0.34827900021294877</v>
      </c>
      <c r="AY55" s="89" t="s">
        <v>760</v>
      </c>
      <c r="AZ55" s="161" t="str">
        <f t="shared" si="44"/>
        <v>N</v>
      </c>
      <c r="BA55" s="161" t="str">
        <f t="shared" si="45"/>
        <v>N</v>
      </c>
      <c r="BB55" s="161" t="str">
        <f t="shared" si="46"/>
        <v>N</v>
      </c>
      <c r="BC55" s="161" t="str">
        <f t="shared" si="47"/>
        <v>N</v>
      </c>
      <c r="BD55" s="161" t="str">
        <f t="shared" si="48"/>
        <v>N</v>
      </c>
      <c r="BE55" s="161" t="str">
        <f t="shared" si="49"/>
        <v>N</v>
      </c>
      <c r="BF55" s="161" t="str">
        <f t="shared" si="50"/>
        <v>N</v>
      </c>
      <c r="BG55" s="161" t="str">
        <f t="shared" si="51"/>
        <v>N</v>
      </c>
      <c r="BH55" s="161" t="str">
        <f t="shared" si="52"/>
        <v>N</v>
      </c>
      <c r="BI55" s="161" t="str">
        <f t="shared" si="53"/>
        <v>N</v>
      </c>
      <c r="BJ55" s="161" t="str">
        <f t="shared" si="54"/>
        <v>Y</v>
      </c>
      <c r="BK55" s="161" t="str">
        <f t="shared" si="55"/>
        <v>N</v>
      </c>
      <c r="BL55" s="161" t="str">
        <f t="shared" si="56"/>
        <v>Y</v>
      </c>
      <c r="BM55" s="161" t="str">
        <f t="shared" si="57"/>
        <v>N</v>
      </c>
      <c r="BN55" s="176" t="str">
        <f t="shared" si="58"/>
        <v>N</v>
      </c>
      <c r="BO55" s="182" t="s">
        <v>761</v>
      </c>
      <c r="BP55" s="174" t="str">
        <f t="shared" si="59"/>
        <v>深交所主板</v>
      </c>
      <c r="BQ55" s="181" t="s">
        <v>317</v>
      </c>
      <c r="BR55" s="173">
        <f t="shared" si="60"/>
        <v>36160</v>
      </c>
      <c r="BS55" s="171" t="str">
        <f t="shared" si="61"/>
        <v>N</v>
      </c>
    </row>
    <row r="56" spans="1:73" s="7" customFormat="1" ht="15" customHeight="1" x14ac:dyDescent="0.35">
      <c r="A56" s="31">
        <v>245</v>
      </c>
      <c r="B56" s="54" t="s">
        <v>762</v>
      </c>
      <c r="C56" s="53" t="s">
        <v>763</v>
      </c>
      <c r="D56" s="50" t="s">
        <v>764</v>
      </c>
      <c r="E56" s="51" t="s">
        <v>765</v>
      </c>
      <c r="F56" s="46" t="s">
        <v>766</v>
      </c>
      <c r="G56" s="47" t="s">
        <v>354</v>
      </c>
      <c r="H56" s="41" t="s">
        <v>327</v>
      </c>
      <c r="I56" s="87">
        <v>44547</v>
      </c>
      <c r="J56" s="87">
        <v>44797</v>
      </c>
      <c r="K56" s="87">
        <v>44826</v>
      </c>
      <c r="L56" s="88" t="s">
        <v>767</v>
      </c>
      <c r="M56" s="89" t="s">
        <v>341</v>
      </c>
      <c r="N56" s="53">
        <v>2.5</v>
      </c>
      <c r="O56" s="90" t="str">
        <f t="shared" si="43"/>
        <v>2-3年</v>
      </c>
      <c r="P56" s="90" t="s">
        <v>768</v>
      </c>
      <c r="Q56" s="53" t="s">
        <v>740</v>
      </c>
      <c r="R56" s="70">
        <v>37474</v>
      </c>
      <c r="S56" s="105" t="s">
        <v>750</v>
      </c>
      <c r="T56" s="106" t="s">
        <v>345</v>
      </c>
      <c r="U56" s="69" t="str">
        <f t="shared" si="24"/>
        <v>Y</v>
      </c>
      <c r="V56" s="100" t="s">
        <v>361</v>
      </c>
      <c r="W56" s="109" t="s">
        <v>361</v>
      </c>
      <c r="X56" s="108" t="s">
        <v>320</v>
      </c>
      <c r="Y56" s="136">
        <f>130+70</f>
        <v>200</v>
      </c>
      <c r="Z56" s="137"/>
      <c r="AA56" s="137"/>
      <c r="AB56" s="138"/>
      <c r="AC56" s="137"/>
      <c r="AD56" s="128"/>
      <c r="AE56" s="137"/>
      <c r="AF56" s="137"/>
      <c r="AG56" s="43"/>
      <c r="AH56" s="150"/>
      <c r="AI56" s="128"/>
      <c r="AJ56" s="137"/>
      <c r="AK56" s="137"/>
      <c r="AL56" s="139"/>
      <c r="AM56" s="137"/>
      <c r="AN56" s="128"/>
      <c r="AO56" s="137"/>
      <c r="AP56" s="137"/>
      <c r="AQ56" s="109"/>
      <c r="AR56" s="137"/>
      <c r="AS56" s="128"/>
      <c r="AT56" s="137">
        <f>(14.98-0.03+10.95-9.59+77.64-38.11)*10000</f>
        <v>558400</v>
      </c>
      <c r="AU56" s="137">
        <f>(77.64-38.11)*10000</f>
        <v>395300</v>
      </c>
      <c r="AV56" s="138">
        <v>2020</v>
      </c>
      <c r="AW56" s="137">
        <f>8154200323.26/10000</f>
        <v>815420.03232600004</v>
      </c>
      <c r="AX56" s="163">
        <f>AU56/AW56</f>
        <v>0.48478082991461441</v>
      </c>
      <c r="AY56" s="89" t="s">
        <v>769</v>
      </c>
      <c r="AZ56" s="161" t="str">
        <f t="shared" si="44"/>
        <v>N</v>
      </c>
      <c r="BA56" s="161" t="str">
        <f t="shared" si="45"/>
        <v>N</v>
      </c>
      <c r="BB56" s="161" t="str">
        <f t="shared" si="46"/>
        <v>N</v>
      </c>
      <c r="BC56" s="161" t="str">
        <f t="shared" si="47"/>
        <v>N</v>
      </c>
      <c r="BD56" s="161" t="str">
        <f t="shared" si="48"/>
        <v>N</v>
      </c>
      <c r="BE56" s="161" t="str">
        <f t="shared" si="49"/>
        <v>N</v>
      </c>
      <c r="BF56" s="161" t="str">
        <f t="shared" si="50"/>
        <v>N</v>
      </c>
      <c r="BG56" s="161" t="str">
        <f t="shared" si="51"/>
        <v>N</v>
      </c>
      <c r="BH56" s="161" t="str">
        <f t="shared" si="52"/>
        <v>N</v>
      </c>
      <c r="BI56" s="161" t="str">
        <f t="shared" si="53"/>
        <v>N</v>
      </c>
      <c r="BJ56" s="161" t="str">
        <f t="shared" si="54"/>
        <v>Y</v>
      </c>
      <c r="BK56" s="161" t="str">
        <f t="shared" si="55"/>
        <v>N</v>
      </c>
      <c r="BL56" s="161" t="str">
        <f t="shared" si="56"/>
        <v>Y</v>
      </c>
      <c r="BM56" s="161" t="str">
        <f t="shared" si="57"/>
        <v>N</v>
      </c>
      <c r="BN56" s="176" t="str">
        <f t="shared" si="58"/>
        <v>N</v>
      </c>
      <c r="BO56" s="182" t="s">
        <v>770</v>
      </c>
      <c r="BP56" s="174" t="str">
        <f t="shared" si="59"/>
        <v>上交所主板</v>
      </c>
      <c r="BQ56" s="181" t="s">
        <v>345</v>
      </c>
      <c r="BR56" s="173">
        <f t="shared" si="60"/>
        <v>38352</v>
      </c>
      <c r="BS56" s="171" t="str">
        <f t="shared" si="61"/>
        <v>N</v>
      </c>
    </row>
    <row r="57" spans="1:73" s="7" customFormat="1" ht="15" customHeight="1" x14ac:dyDescent="0.35">
      <c r="A57" s="31">
        <v>244</v>
      </c>
      <c r="B57" s="32" t="s">
        <v>771</v>
      </c>
      <c r="C57" s="53" t="s">
        <v>772</v>
      </c>
      <c r="D57" s="50" t="s">
        <v>323</v>
      </c>
      <c r="E57" s="51" t="s">
        <v>324</v>
      </c>
      <c r="F57" s="46" t="s">
        <v>773</v>
      </c>
      <c r="G57" s="47" t="s">
        <v>380</v>
      </c>
      <c r="H57" s="41" t="s">
        <v>327</v>
      </c>
      <c r="I57" s="87">
        <v>44547</v>
      </c>
      <c r="J57" s="87">
        <v>44796</v>
      </c>
      <c r="K57" s="87">
        <v>44832</v>
      </c>
      <c r="L57" s="88" t="s">
        <v>774</v>
      </c>
      <c r="M57" s="89" t="s">
        <v>407</v>
      </c>
      <c r="N57" s="53">
        <v>3.5</v>
      </c>
      <c r="O57" s="90" t="str">
        <f t="shared" si="43"/>
        <v>3-5年</v>
      </c>
      <c r="P57" s="90" t="s">
        <v>775</v>
      </c>
      <c r="Q57" s="101" t="s">
        <v>718</v>
      </c>
      <c r="R57" s="70">
        <v>34344</v>
      </c>
      <c r="S57" s="105" t="s">
        <v>410</v>
      </c>
      <c r="T57" s="106" t="s">
        <v>345</v>
      </c>
      <c r="U57" s="69" t="str">
        <f t="shared" si="24"/>
        <v>Y</v>
      </c>
      <c r="V57" s="100" t="s">
        <v>361</v>
      </c>
      <c r="W57" s="109" t="s">
        <v>361</v>
      </c>
      <c r="X57" s="108" t="s">
        <v>320</v>
      </c>
      <c r="Y57" s="136">
        <v>200</v>
      </c>
      <c r="Z57" s="137"/>
      <c r="AA57" s="137"/>
      <c r="AB57" s="138"/>
      <c r="AC57" s="137"/>
      <c r="AD57" s="128"/>
      <c r="AE57" s="137"/>
      <c r="AF57" s="137"/>
      <c r="AG57" s="43"/>
      <c r="AH57" s="150"/>
      <c r="AI57" s="128"/>
      <c r="AJ57" s="137"/>
      <c r="AK57" s="137"/>
      <c r="AL57" s="139"/>
      <c r="AM57" s="137"/>
      <c r="AN57" s="128"/>
      <c r="AO57" s="137"/>
      <c r="AP57" s="137"/>
      <c r="AQ57" s="109"/>
      <c r="AR57" s="137"/>
      <c r="AS57" s="156"/>
      <c r="AT57" s="137">
        <f>(97+100.17+3.11)*10000</f>
        <v>2002800.0000000002</v>
      </c>
      <c r="AU57" s="137">
        <f>(97)*10000</f>
        <v>970000</v>
      </c>
      <c r="AV57" s="138">
        <v>2019</v>
      </c>
      <c r="AW57" s="137">
        <f>30492623759.49/10000</f>
        <v>3049262.375949</v>
      </c>
      <c r="AX57" s="163">
        <f>AU57/AW57</f>
        <v>0.31810971979677999</v>
      </c>
      <c r="AY57" s="89" t="s">
        <v>776</v>
      </c>
      <c r="AZ57" s="161" t="str">
        <f t="shared" si="44"/>
        <v>N</v>
      </c>
      <c r="BA57" s="161" t="str">
        <f t="shared" si="45"/>
        <v>N</v>
      </c>
      <c r="BB57" s="161" t="str">
        <f t="shared" si="46"/>
        <v>N</v>
      </c>
      <c r="BC57" s="161" t="str">
        <f t="shared" si="47"/>
        <v>N</v>
      </c>
      <c r="BD57" s="161" t="str">
        <f t="shared" si="48"/>
        <v>N</v>
      </c>
      <c r="BE57" s="161" t="str">
        <f t="shared" si="49"/>
        <v>N</v>
      </c>
      <c r="BF57" s="161" t="str">
        <f t="shared" si="50"/>
        <v>N</v>
      </c>
      <c r="BG57" s="161" t="str">
        <f t="shared" si="51"/>
        <v>N</v>
      </c>
      <c r="BH57" s="161" t="str">
        <f t="shared" si="52"/>
        <v>N</v>
      </c>
      <c r="BI57" s="161" t="str">
        <f t="shared" si="53"/>
        <v>N</v>
      </c>
      <c r="BJ57" s="161" t="str">
        <f t="shared" si="54"/>
        <v>Y</v>
      </c>
      <c r="BK57" s="161" t="str">
        <f t="shared" si="55"/>
        <v>N</v>
      </c>
      <c r="BL57" s="161" t="str">
        <f t="shared" si="56"/>
        <v>Y</v>
      </c>
      <c r="BM57" s="161" t="str">
        <f t="shared" si="57"/>
        <v>N</v>
      </c>
      <c r="BN57" s="176" t="str">
        <f t="shared" si="58"/>
        <v>N</v>
      </c>
      <c r="BO57" s="182" t="s">
        <v>777</v>
      </c>
      <c r="BP57" s="174" t="str">
        <f t="shared" si="59"/>
        <v>深交所主板</v>
      </c>
      <c r="BQ57" s="181" t="s">
        <v>317</v>
      </c>
      <c r="BR57" s="173">
        <f t="shared" si="60"/>
        <v>35430</v>
      </c>
      <c r="BS57" s="171" t="str">
        <f t="shared" si="61"/>
        <v>N</v>
      </c>
    </row>
    <row r="58" spans="1:73" s="7" customFormat="1" ht="15" customHeight="1" x14ac:dyDescent="0.35">
      <c r="A58" s="31">
        <v>243</v>
      </c>
      <c r="B58" s="32" t="s">
        <v>778</v>
      </c>
      <c r="C58" s="53" t="s">
        <v>779</v>
      </c>
      <c r="D58" s="50" t="s">
        <v>764</v>
      </c>
      <c r="E58" s="51" t="s">
        <v>765</v>
      </c>
      <c r="F58" s="46" t="s">
        <v>780</v>
      </c>
      <c r="G58" s="47" t="s">
        <v>315</v>
      </c>
      <c r="H58" s="41" t="s">
        <v>327</v>
      </c>
      <c r="I58" s="87">
        <v>44537</v>
      </c>
      <c r="J58" s="87">
        <v>44783</v>
      </c>
      <c r="K58" s="87">
        <v>44805</v>
      </c>
      <c r="L58" s="88" t="s">
        <v>781</v>
      </c>
      <c r="M58" s="89" t="s">
        <v>341</v>
      </c>
      <c r="N58" s="53">
        <v>2.5</v>
      </c>
      <c r="O58" s="90" t="str">
        <f t="shared" si="43"/>
        <v>2-3年</v>
      </c>
      <c r="P58" s="90" t="s">
        <v>768</v>
      </c>
      <c r="Q58" s="101" t="s">
        <v>578</v>
      </c>
      <c r="R58" s="70">
        <v>36489</v>
      </c>
      <c r="S58" s="105" t="s">
        <v>384</v>
      </c>
      <c r="T58" s="106" t="s">
        <v>345</v>
      </c>
      <c r="U58" s="69" t="str">
        <f t="shared" si="24"/>
        <v>Y</v>
      </c>
      <c r="V58" s="100" t="s">
        <v>361</v>
      </c>
      <c r="W58" s="109" t="s">
        <v>361</v>
      </c>
      <c r="X58" s="108" t="s">
        <v>320</v>
      </c>
      <c r="Y58" s="136">
        <v>300</v>
      </c>
      <c r="Z58" s="137"/>
      <c r="AA58" s="137"/>
      <c r="AB58" s="138"/>
      <c r="AC58" s="137"/>
      <c r="AD58" s="128"/>
      <c r="AE58" s="137"/>
      <c r="AF58" s="137"/>
      <c r="AG58" s="43"/>
      <c r="AH58" s="150"/>
      <c r="AI58" s="128"/>
      <c r="AJ58" s="137"/>
      <c r="AK58" s="137"/>
      <c r="AL58" s="139"/>
      <c r="AM58" s="137"/>
      <c r="AN58" s="128"/>
      <c r="AO58" s="137"/>
      <c r="AP58" s="137"/>
      <c r="AQ58" s="109"/>
      <c r="AR58" s="137"/>
      <c r="AS58" s="156"/>
      <c r="AT58" s="137">
        <f>(444.02-390.22+218.55-194.96+315.97-88.43)*10000</f>
        <v>3049300</v>
      </c>
      <c r="AU58" s="137">
        <f>(315.97-88.43)*10000</f>
        <v>2275400</v>
      </c>
      <c r="AV58" s="138">
        <v>2020</v>
      </c>
      <c r="AW58" s="137">
        <f>-22253907/1000</f>
        <v>-22253.906999999999</v>
      </c>
      <c r="AX58" s="163">
        <f>AU58/AW58</f>
        <v>-102.24721438801735</v>
      </c>
      <c r="AY58" s="89" t="s">
        <v>782</v>
      </c>
      <c r="AZ58" s="161" t="str">
        <f t="shared" si="44"/>
        <v>N</v>
      </c>
      <c r="BA58" s="161" t="str">
        <f t="shared" si="45"/>
        <v>N</v>
      </c>
      <c r="BB58" s="161" t="str">
        <f t="shared" si="46"/>
        <v>N</v>
      </c>
      <c r="BC58" s="161" t="str">
        <f t="shared" si="47"/>
        <v>N</v>
      </c>
      <c r="BD58" s="161" t="str">
        <f t="shared" si="48"/>
        <v>N</v>
      </c>
      <c r="BE58" s="161" t="str">
        <f t="shared" si="49"/>
        <v>N</v>
      </c>
      <c r="BF58" s="161" t="str">
        <f t="shared" si="50"/>
        <v>N</v>
      </c>
      <c r="BG58" s="161" t="str">
        <f t="shared" si="51"/>
        <v>N</v>
      </c>
      <c r="BH58" s="161" t="str">
        <f t="shared" si="52"/>
        <v>N</v>
      </c>
      <c r="BI58" s="161" t="str">
        <f t="shared" si="53"/>
        <v>N</v>
      </c>
      <c r="BJ58" s="161" t="str">
        <f t="shared" si="54"/>
        <v>Y</v>
      </c>
      <c r="BK58" s="161" t="str">
        <f t="shared" si="55"/>
        <v>N</v>
      </c>
      <c r="BL58" s="161" t="str">
        <f t="shared" si="56"/>
        <v>Y</v>
      </c>
      <c r="BM58" s="161" t="str">
        <f t="shared" si="57"/>
        <v>N</v>
      </c>
      <c r="BN58" s="176" t="str">
        <f t="shared" si="58"/>
        <v>N</v>
      </c>
      <c r="BO58" s="182" t="s">
        <v>783</v>
      </c>
      <c r="BP58" s="174" t="str">
        <f t="shared" si="59"/>
        <v>上交所主板</v>
      </c>
      <c r="BQ58" s="181" t="s">
        <v>317</v>
      </c>
      <c r="BR58" s="173">
        <f t="shared" si="60"/>
        <v>37256</v>
      </c>
      <c r="BS58" s="171" t="str">
        <f t="shared" si="61"/>
        <v>N</v>
      </c>
    </row>
    <row r="59" spans="1:73" s="7" customFormat="1" ht="15" customHeight="1" x14ac:dyDescent="0.35">
      <c r="A59" s="31">
        <v>242</v>
      </c>
      <c r="B59" s="32" t="s">
        <v>784</v>
      </c>
      <c r="C59" s="53" t="s">
        <v>785</v>
      </c>
      <c r="D59" s="50" t="s">
        <v>574</v>
      </c>
      <c r="E59" s="51" t="s">
        <v>575</v>
      </c>
      <c r="F59" s="46" t="s">
        <v>786</v>
      </c>
      <c r="G59" s="47" t="s">
        <v>354</v>
      </c>
      <c r="H59" s="41" t="s">
        <v>368</v>
      </c>
      <c r="I59" s="87">
        <v>44526</v>
      </c>
      <c r="J59" s="87">
        <v>44777</v>
      </c>
      <c r="K59" s="78">
        <v>44924</v>
      </c>
      <c r="L59" s="88" t="s">
        <v>787</v>
      </c>
      <c r="M59" s="89">
        <v>2017</v>
      </c>
      <c r="N59" s="53">
        <v>1</v>
      </c>
      <c r="O59" s="90" t="str">
        <f t="shared" si="43"/>
        <v>1-2年</v>
      </c>
      <c r="P59" s="90" t="s">
        <v>357</v>
      </c>
      <c r="Q59" s="101" t="s">
        <v>507</v>
      </c>
      <c r="R59" s="70">
        <v>41079</v>
      </c>
      <c r="S59" s="105" t="s">
        <v>639</v>
      </c>
      <c r="T59" s="106" t="s">
        <v>317</v>
      </c>
      <c r="U59" s="69" t="str">
        <f t="shared" si="24"/>
        <v>Y</v>
      </c>
      <c r="V59" s="100" t="s">
        <v>398</v>
      </c>
      <c r="W59" s="109" t="s">
        <v>788</v>
      </c>
      <c r="X59" s="108" t="s">
        <v>320</v>
      </c>
      <c r="Y59" s="136">
        <v>50</v>
      </c>
      <c r="Z59" s="137">
        <f>(18855800+18521000)/10000</f>
        <v>3737.68</v>
      </c>
      <c r="AA59" s="137">
        <f>(18855800+18521000)/10000</f>
        <v>3737.68</v>
      </c>
      <c r="AB59" s="138">
        <v>2017</v>
      </c>
      <c r="AC59" s="137">
        <f>387922822.37/10000</f>
        <v>38792.282236999999</v>
      </c>
      <c r="AD59" s="128">
        <f>AA59/AC59</f>
        <v>9.6351124101561839E-2</v>
      </c>
      <c r="AE59" s="137">
        <f>16116068.42/10000</f>
        <v>1611.6068419999999</v>
      </c>
      <c r="AF59" s="137">
        <f>AE59</f>
        <v>1611.6068419999999</v>
      </c>
      <c r="AG59" s="43">
        <v>2017</v>
      </c>
      <c r="AH59" s="150">
        <f>223729929.71/10000</f>
        <v>22372.992971</v>
      </c>
      <c r="AI59" s="128">
        <f>AF59/AH59</f>
        <v>7.2033582815181407E-2</v>
      </c>
      <c r="AJ59" s="137">
        <f>(732307.76+8231633.95)/10000</f>
        <v>896.39417100000014</v>
      </c>
      <c r="AK59" s="137">
        <f>AJ59</f>
        <v>896.39417100000014</v>
      </c>
      <c r="AL59" s="139">
        <v>2017</v>
      </c>
      <c r="AM59" s="137">
        <f>5692386.41/10000</f>
        <v>569.23864100000003</v>
      </c>
      <c r="AN59" s="128">
        <f>AK59/AM59</f>
        <v>1.5747247400936721</v>
      </c>
      <c r="AO59" s="137"/>
      <c r="AP59" s="137"/>
      <c r="AQ59" s="109"/>
      <c r="AR59" s="137"/>
      <c r="AS59" s="156"/>
      <c r="AT59" s="137"/>
      <c r="AU59" s="137"/>
      <c r="AV59" s="138"/>
      <c r="AW59" s="137"/>
      <c r="AX59" s="163"/>
      <c r="AY59" s="89" t="s">
        <v>789</v>
      </c>
      <c r="AZ59" s="161" t="str">
        <f t="shared" si="44"/>
        <v>N</v>
      </c>
      <c r="BA59" s="161" t="str">
        <f t="shared" si="45"/>
        <v>N</v>
      </c>
      <c r="BB59" s="161" t="str">
        <f t="shared" si="46"/>
        <v>N</v>
      </c>
      <c r="BC59" s="161" t="str">
        <f t="shared" si="47"/>
        <v>N</v>
      </c>
      <c r="BD59" s="161" t="str">
        <f t="shared" si="48"/>
        <v>N</v>
      </c>
      <c r="BE59" s="161" t="str">
        <f t="shared" si="49"/>
        <v>Y</v>
      </c>
      <c r="BF59" s="161" t="str">
        <f t="shared" si="50"/>
        <v>Y</v>
      </c>
      <c r="BG59" s="161" t="str">
        <f t="shared" si="51"/>
        <v>N</v>
      </c>
      <c r="BH59" s="161" t="str">
        <f t="shared" si="52"/>
        <v>N</v>
      </c>
      <c r="BI59" s="161" t="str">
        <f t="shared" si="53"/>
        <v>N</v>
      </c>
      <c r="BJ59" s="161" t="str">
        <f t="shared" si="54"/>
        <v>N</v>
      </c>
      <c r="BK59" s="161" t="str">
        <f t="shared" si="55"/>
        <v>N</v>
      </c>
      <c r="BL59" s="161" t="str">
        <f t="shared" si="56"/>
        <v>N</v>
      </c>
      <c r="BM59" s="161" t="str">
        <f t="shared" si="57"/>
        <v>Y</v>
      </c>
      <c r="BN59" s="176" t="str">
        <f t="shared" si="58"/>
        <v>Y</v>
      </c>
      <c r="BO59" s="182" t="s">
        <v>790</v>
      </c>
      <c r="BP59" s="174" t="str">
        <f t="shared" si="59"/>
        <v>深交所创业板</v>
      </c>
      <c r="BQ59" s="181" t="s">
        <v>317</v>
      </c>
      <c r="BR59" s="173">
        <f t="shared" si="60"/>
        <v>42369</v>
      </c>
      <c r="BS59" s="171" t="str">
        <f t="shared" si="61"/>
        <v>N</v>
      </c>
    </row>
    <row r="60" spans="1:73" s="7" customFormat="1" ht="15" customHeight="1" x14ac:dyDescent="0.35">
      <c r="A60" s="31">
        <v>241</v>
      </c>
      <c r="B60" s="32" t="s">
        <v>791</v>
      </c>
      <c r="C60" s="33" t="s">
        <v>792</v>
      </c>
      <c r="D60" s="43" t="s">
        <v>351</v>
      </c>
      <c r="E60" s="44" t="s">
        <v>352</v>
      </c>
      <c r="F60" s="46" t="s">
        <v>793</v>
      </c>
      <c r="G60" s="47" t="s">
        <v>315</v>
      </c>
      <c r="H60" s="41" t="s">
        <v>327</v>
      </c>
      <c r="I60" s="78">
        <v>44537</v>
      </c>
      <c r="J60" s="78">
        <v>44753</v>
      </c>
      <c r="K60" s="78">
        <v>44818</v>
      </c>
      <c r="L60" s="79" t="s">
        <v>794</v>
      </c>
      <c r="M60" s="73">
        <v>2020</v>
      </c>
      <c r="N60" s="33">
        <v>1</v>
      </c>
      <c r="O60" s="69" t="str">
        <f t="shared" si="43"/>
        <v>1-2年</v>
      </c>
      <c r="P60" s="69" t="s">
        <v>795</v>
      </c>
      <c r="Q60" s="33" t="s">
        <v>796</v>
      </c>
      <c r="R60" s="70">
        <v>35608</v>
      </c>
      <c r="S60" s="44" t="s">
        <v>463</v>
      </c>
      <c r="T60" s="95" t="s">
        <v>345</v>
      </c>
      <c r="U60" s="69" t="str">
        <f t="shared" si="24"/>
        <v>Y</v>
      </c>
      <c r="V60" s="100" t="s">
        <v>361</v>
      </c>
      <c r="W60" s="43" t="s">
        <v>361</v>
      </c>
      <c r="X60" s="43" t="s">
        <v>334</v>
      </c>
      <c r="Y60" s="129">
        <v>200</v>
      </c>
      <c r="Z60" s="130"/>
      <c r="AA60" s="130"/>
      <c r="AB60" s="139"/>
      <c r="AC60" s="130"/>
      <c r="AD60" s="128"/>
      <c r="AE60" s="130"/>
      <c r="AF60" s="130"/>
      <c r="AG60" s="43"/>
      <c r="AH60" s="147"/>
      <c r="AI60" s="128"/>
      <c r="AJ60" s="130"/>
      <c r="AK60" s="130"/>
      <c r="AL60" s="139"/>
      <c r="AM60" s="130"/>
      <c r="AN60" s="128"/>
      <c r="AO60" s="130"/>
      <c r="AP60" s="130"/>
      <c r="AQ60" s="43"/>
      <c r="AR60" s="130"/>
      <c r="AS60" s="157"/>
      <c r="AT60" s="130">
        <v>375391.23</v>
      </c>
      <c r="AU60" s="130">
        <v>375391.23</v>
      </c>
      <c r="AV60" s="139">
        <v>2020</v>
      </c>
      <c r="AW60" s="130">
        <v>-3022.63</v>
      </c>
      <c r="AX60" s="159">
        <f>AU60/AW60</f>
        <v>-124.19357645494155</v>
      </c>
      <c r="AY60" s="73" t="s">
        <v>797</v>
      </c>
      <c r="AZ60" s="161" t="str">
        <f t="shared" si="44"/>
        <v>N</v>
      </c>
      <c r="BA60" s="161" t="str">
        <f t="shared" si="45"/>
        <v>N</v>
      </c>
      <c r="BB60" s="161" t="str">
        <f t="shared" si="46"/>
        <v>N</v>
      </c>
      <c r="BC60" s="161" t="str">
        <f t="shared" si="47"/>
        <v>N</v>
      </c>
      <c r="BD60" s="161" t="str">
        <f t="shared" si="48"/>
        <v>N</v>
      </c>
      <c r="BE60" s="161" t="str">
        <f t="shared" si="49"/>
        <v>N</v>
      </c>
      <c r="BF60" s="161" t="str">
        <f t="shared" si="50"/>
        <v>N</v>
      </c>
      <c r="BG60" s="161" t="str">
        <f t="shared" si="51"/>
        <v>N</v>
      </c>
      <c r="BH60" s="161" t="str">
        <f t="shared" si="52"/>
        <v>N</v>
      </c>
      <c r="BI60" s="161" t="str">
        <f t="shared" si="53"/>
        <v>N</v>
      </c>
      <c r="BJ60" s="161" t="str">
        <f t="shared" si="54"/>
        <v>Y</v>
      </c>
      <c r="BK60" s="161" t="str">
        <f t="shared" si="55"/>
        <v>N</v>
      </c>
      <c r="BL60" s="161" t="str">
        <f t="shared" si="56"/>
        <v>Y</v>
      </c>
      <c r="BM60" s="161" t="str">
        <f t="shared" si="57"/>
        <v>N</v>
      </c>
      <c r="BN60" s="176" t="str">
        <f t="shared" si="58"/>
        <v>N</v>
      </c>
      <c r="BO60" s="182" t="s">
        <v>798</v>
      </c>
      <c r="BP60" s="174" t="str">
        <f t="shared" si="59"/>
        <v>上交所主板</v>
      </c>
      <c r="BQ60" s="181" t="s">
        <v>317</v>
      </c>
      <c r="BR60" s="173">
        <f t="shared" si="60"/>
        <v>36525</v>
      </c>
      <c r="BS60" s="171" t="str">
        <f t="shared" si="61"/>
        <v>N</v>
      </c>
    </row>
    <row r="61" spans="1:73" s="7" customFormat="1" ht="15" customHeight="1" x14ac:dyDescent="0.35">
      <c r="A61" s="31">
        <v>240</v>
      </c>
      <c r="B61" s="32" t="s">
        <v>799</v>
      </c>
      <c r="C61" s="33" t="s">
        <v>800</v>
      </c>
      <c r="D61" s="43" t="s">
        <v>439</v>
      </c>
      <c r="E61" s="44" t="s">
        <v>801</v>
      </c>
      <c r="F61" s="46" t="s">
        <v>802</v>
      </c>
      <c r="G61" s="47" t="s">
        <v>315</v>
      </c>
      <c r="H61" s="41" t="s">
        <v>368</v>
      </c>
      <c r="I61" s="78">
        <v>44559</v>
      </c>
      <c r="J61" s="78">
        <v>44748</v>
      </c>
      <c r="K61" s="78">
        <v>44791</v>
      </c>
      <c r="L61" s="79" t="s">
        <v>803</v>
      </c>
      <c r="M61" s="73" t="s">
        <v>804</v>
      </c>
      <c r="N61" s="33">
        <v>3</v>
      </c>
      <c r="O61" s="69" t="str">
        <f t="shared" si="43"/>
        <v>3-5年</v>
      </c>
      <c r="P61" s="69" t="s">
        <v>805</v>
      </c>
      <c r="Q61" s="33" t="s">
        <v>471</v>
      </c>
      <c r="R61" s="70">
        <v>40983</v>
      </c>
      <c r="S61" s="44" t="s">
        <v>639</v>
      </c>
      <c r="T61" s="95" t="s">
        <v>345</v>
      </c>
      <c r="U61" s="69" t="str">
        <f t="shared" si="24"/>
        <v>N</v>
      </c>
      <c r="V61" s="100" t="s">
        <v>333</v>
      </c>
      <c r="W61" s="43" t="s">
        <v>319</v>
      </c>
      <c r="X61" s="43" t="s">
        <v>320</v>
      </c>
      <c r="Y61" s="129">
        <v>350</v>
      </c>
      <c r="Z61" s="130"/>
      <c r="AA61" s="130"/>
      <c r="AB61" s="139"/>
      <c r="AC61" s="130"/>
      <c r="AD61" s="128"/>
      <c r="AE61" s="130">
        <f>(137929418.22+164709504.62+79115644.3)/10000</f>
        <v>38175.456714000007</v>
      </c>
      <c r="AF61" s="130">
        <v>16470.95</v>
      </c>
      <c r="AG61" s="43">
        <v>2018</v>
      </c>
      <c r="AH61" s="147">
        <v>228193.56</v>
      </c>
      <c r="AI61" s="128">
        <f>AF61/AH61</f>
        <v>7.2179731978413417E-2</v>
      </c>
      <c r="AJ61" s="130">
        <f>(137929418.22+164709504.62+79115644.3)/10000</f>
        <v>38175.456714000007</v>
      </c>
      <c r="AK61" s="130">
        <v>16470.95</v>
      </c>
      <c r="AL61" s="139">
        <v>2018</v>
      </c>
      <c r="AM61" s="130">
        <v>48820.68</v>
      </c>
      <c r="AN61" s="128">
        <f>AK61/AM61</f>
        <v>0.33737649700905437</v>
      </c>
      <c r="AO61" s="130"/>
      <c r="AP61" s="130"/>
      <c r="AQ61" s="43"/>
      <c r="AR61" s="130"/>
      <c r="AS61" s="157"/>
      <c r="AT61" s="130"/>
      <c r="AU61" s="130"/>
      <c r="AV61" s="139"/>
      <c r="AW61" s="130"/>
      <c r="AX61" s="159"/>
      <c r="AY61" s="73" t="s">
        <v>806</v>
      </c>
      <c r="AZ61" s="161" t="str">
        <f t="shared" si="44"/>
        <v>N</v>
      </c>
      <c r="BA61" s="161" t="str">
        <f t="shared" si="45"/>
        <v>N</v>
      </c>
      <c r="BB61" s="161" t="str">
        <f t="shared" si="46"/>
        <v>N</v>
      </c>
      <c r="BC61" s="161" t="str">
        <f t="shared" si="47"/>
        <v>N</v>
      </c>
      <c r="BD61" s="161" t="str">
        <f t="shared" si="48"/>
        <v>N</v>
      </c>
      <c r="BE61" s="161" t="str">
        <f t="shared" si="49"/>
        <v>N</v>
      </c>
      <c r="BF61" s="161" t="str">
        <f t="shared" si="50"/>
        <v>N</v>
      </c>
      <c r="BG61" s="161" t="str">
        <f t="shared" si="51"/>
        <v>N</v>
      </c>
      <c r="BH61" s="161" t="str">
        <f t="shared" si="52"/>
        <v>N</v>
      </c>
      <c r="BI61" s="161" t="str">
        <f t="shared" si="53"/>
        <v>N</v>
      </c>
      <c r="BJ61" s="161" t="str">
        <f t="shared" si="54"/>
        <v>N</v>
      </c>
      <c r="BK61" s="161" t="str">
        <f t="shared" si="55"/>
        <v>N</v>
      </c>
      <c r="BL61" s="161" t="str">
        <f t="shared" si="56"/>
        <v>N</v>
      </c>
      <c r="BM61" s="161" t="str">
        <f t="shared" si="57"/>
        <v>N</v>
      </c>
      <c r="BN61" s="176" t="str">
        <f t="shared" si="58"/>
        <v>N</v>
      </c>
      <c r="BO61" s="182" t="s">
        <v>348</v>
      </c>
      <c r="BP61" s="174" t="str">
        <f t="shared" si="59"/>
        <v>深交所创业板</v>
      </c>
      <c r="BQ61" s="181" t="s">
        <v>317</v>
      </c>
      <c r="BR61" s="173">
        <f t="shared" si="60"/>
        <v>42369</v>
      </c>
      <c r="BS61" s="171" t="str">
        <f t="shared" si="61"/>
        <v>N</v>
      </c>
    </row>
    <row r="62" spans="1:73" s="7" customFormat="1" ht="15" customHeight="1" x14ac:dyDescent="0.35">
      <c r="A62" s="31">
        <v>239</v>
      </c>
      <c r="B62" s="32" t="s">
        <v>807</v>
      </c>
      <c r="C62" s="33" t="s">
        <v>808</v>
      </c>
      <c r="D62" s="43" t="s">
        <v>809</v>
      </c>
      <c r="E62" s="44" t="s">
        <v>810</v>
      </c>
      <c r="F62" s="46" t="s">
        <v>811</v>
      </c>
      <c r="G62" s="47" t="s">
        <v>315</v>
      </c>
      <c r="H62" s="41" t="s">
        <v>368</v>
      </c>
      <c r="I62" s="78">
        <v>44481</v>
      </c>
      <c r="J62" s="78">
        <v>44736</v>
      </c>
      <c r="K62" s="78">
        <v>44861</v>
      </c>
      <c r="L62" s="79" t="s">
        <v>812</v>
      </c>
      <c r="M62" s="76" t="s">
        <v>690</v>
      </c>
      <c r="N62" s="33">
        <v>2</v>
      </c>
      <c r="O62" s="69" t="str">
        <f t="shared" si="43"/>
        <v>2-3年</v>
      </c>
      <c r="P62" s="69" t="s">
        <v>691</v>
      </c>
      <c r="Q62" s="33" t="s">
        <v>813</v>
      </c>
      <c r="R62" s="70">
        <v>40466</v>
      </c>
      <c r="S62" s="44" t="s">
        <v>344</v>
      </c>
      <c r="T62" s="95" t="s">
        <v>345</v>
      </c>
      <c r="U62" s="69" t="str">
        <f t="shared" si="24"/>
        <v>Y</v>
      </c>
      <c r="V62" s="43" t="s">
        <v>318</v>
      </c>
      <c r="W62" s="43" t="s">
        <v>814</v>
      </c>
      <c r="X62" s="43" t="s">
        <v>815</v>
      </c>
      <c r="Y62" s="129">
        <v>100</v>
      </c>
      <c r="Z62" s="130"/>
      <c r="AA62" s="130"/>
      <c r="AB62" s="139"/>
      <c r="AC62" s="130"/>
      <c r="AD62" s="128"/>
      <c r="AE62" s="130"/>
      <c r="AF62" s="130"/>
      <c r="AG62" s="43"/>
      <c r="AH62" s="148"/>
      <c r="AI62" s="128"/>
      <c r="AJ62" s="130">
        <f>9739.44+6477</f>
        <v>16216.44</v>
      </c>
      <c r="AK62" s="130">
        <v>9739.44</v>
      </c>
      <c r="AL62" s="139">
        <v>2018</v>
      </c>
      <c r="AM62" s="130">
        <v>18989.580000000002</v>
      </c>
      <c r="AN62" s="128">
        <f>AK62/AM62</f>
        <v>0.5128833813070115</v>
      </c>
      <c r="AO62" s="130"/>
      <c r="AP62" s="130"/>
      <c r="AQ62" s="43"/>
      <c r="AR62" s="130"/>
      <c r="AS62" s="157"/>
      <c r="AT62" s="130"/>
      <c r="AU62" s="130"/>
      <c r="AV62" s="139"/>
      <c r="AW62" s="130"/>
      <c r="AX62" s="159"/>
      <c r="AY62" s="73" t="s">
        <v>816</v>
      </c>
      <c r="AZ62" s="161" t="str">
        <f t="shared" si="44"/>
        <v>N</v>
      </c>
      <c r="BA62" s="161" t="str">
        <f t="shared" si="45"/>
        <v>N</v>
      </c>
      <c r="BB62" s="161" t="str">
        <f t="shared" si="46"/>
        <v>N</v>
      </c>
      <c r="BC62" s="161" t="str">
        <f t="shared" si="47"/>
        <v>N</v>
      </c>
      <c r="BD62" s="161" t="str">
        <f t="shared" si="48"/>
        <v>N</v>
      </c>
      <c r="BE62" s="161" t="str">
        <f t="shared" si="49"/>
        <v>Y</v>
      </c>
      <c r="BF62" s="161" t="str">
        <f t="shared" si="50"/>
        <v>N</v>
      </c>
      <c r="BG62" s="161" t="str">
        <f t="shared" si="51"/>
        <v>N</v>
      </c>
      <c r="BH62" s="161" t="str">
        <f t="shared" si="52"/>
        <v>N</v>
      </c>
      <c r="BI62" s="161" t="str">
        <f t="shared" si="53"/>
        <v>N</v>
      </c>
      <c r="BJ62" s="161" t="str">
        <f t="shared" si="54"/>
        <v>N</v>
      </c>
      <c r="BK62" s="161" t="str">
        <f t="shared" si="55"/>
        <v>N</v>
      </c>
      <c r="BL62" s="161" t="str">
        <f t="shared" si="56"/>
        <v>N</v>
      </c>
      <c r="BM62" s="161" t="str">
        <f t="shared" si="57"/>
        <v>Y</v>
      </c>
      <c r="BN62" s="176" t="str">
        <f t="shared" si="58"/>
        <v>N</v>
      </c>
      <c r="BO62" s="182" t="s">
        <v>546</v>
      </c>
      <c r="BP62" s="174" t="str">
        <f t="shared" si="59"/>
        <v>深交所主板</v>
      </c>
      <c r="BQ62" s="181" t="s">
        <v>317</v>
      </c>
      <c r="BR62" s="173">
        <f t="shared" si="60"/>
        <v>41274</v>
      </c>
      <c r="BS62" s="171" t="str">
        <f t="shared" si="61"/>
        <v>N</v>
      </c>
    </row>
    <row r="63" spans="1:73" s="7" customFormat="1" ht="15" customHeight="1" x14ac:dyDescent="0.25">
      <c r="A63" s="31">
        <v>238</v>
      </c>
      <c r="B63" s="32" t="s">
        <v>817</v>
      </c>
      <c r="C63" s="33" t="s">
        <v>818</v>
      </c>
      <c r="D63" s="43" t="s">
        <v>612</v>
      </c>
      <c r="E63" s="44" t="s">
        <v>613</v>
      </c>
      <c r="F63" s="49" t="s">
        <v>819</v>
      </c>
      <c r="G63" s="55" t="s">
        <v>315</v>
      </c>
      <c r="H63" s="41" t="s">
        <v>368</v>
      </c>
      <c r="I63" s="78">
        <v>44539</v>
      </c>
      <c r="J63" s="78">
        <v>44729</v>
      </c>
      <c r="K63" s="78" t="s">
        <v>312</v>
      </c>
      <c r="L63" s="79" t="s">
        <v>820</v>
      </c>
      <c r="M63" s="76" t="s">
        <v>594</v>
      </c>
      <c r="N63" s="33">
        <v>1.5</v>
      </c>
      <c r="O63" s="69" t="str">
        <f t="shared" si="43"/>
        <v>1-2年</v>
      </c>
      <c r="P63" s="23" t="s">
        <v>821</v>
      </c>
      <c r="Q63" s="33" t="s">
        <v>454</v>
      </c>
      <c r="R63" s="70">
        <v>40186</v>
      </c>
      <c r="S63" s="44" t="s">
        <v>822</v>
      </c>
      <c r="T63" s="95" t="s">
        <v>317</v>
      </c>
      <c r="U63" s="69" t="str">
        <f t="shared" si="24"/>
        <v>Y</v>
      </c>
      <c r="V63" s="43" t="s">
        <v>361</v>
      </c>
      <c r="W63" s="43" t="s">
        <v>361</v>
      </c>
      <c r="X63" s="97" t="s">
        <v>334</v>
      </c>
      <c r="Y63" s="129">
        <v>150</v>
      </c>
      <c r="Z63" s="130"/>
      <c r="AA63" s="130"/>
      <c r="AB63" s="139"/>
      <c r="AC63" s="130"/>
      <c r="AD63" s="128"/>
      <c r="AE63" s="130"/>
      <c r="AF63" s="130"/>
      <c r="AG63" s="43"/>
      <c r="AH63" s="148"/>
      <c r="AI63" s="128"/>
      <c r="AJ63" s="130"/>
      <c r="AK63" s="130"/>
      <c r="AL63" s="139"/>
      <c r="AM63" s="130"/>
      <c r="AN63" s="128"/>
      <c r="AO63" s="130"/>
      <c r="AP63" s="130"/>
      <c r="AQ63" s="43"/>
      <c r="AR63" s="130"/>
      <c r="AS63" s="157"/>
      <c r="AT63" s="130">
        <v>102173</v>
      </c>
      <c r="AU63" s="130">
        <f>(175076-129870)+56967</f>
        <v>102173</v>
      </c>
      <c r="AV63" s="139">
        <v>2020</v>
      </c>
      <c r="AW63" s="130">
        <f>2805474903.33/10000</f>
        <v>280547.49033299997</v>
      </c>
      <c r="AX63" s="159">
        <f>AU63/AW63</f>
        <v>0.3641914596303259</v>
      </c>
      <c r="AY63" s="73" t="s">
        <v>823</v>
      </c>
      <c r="AZ63" s="161" t="str">
        <f t="shared" si="44"/>
        <v>N</v>
      </c>
      <c r="BA63" s="161" t="str">
        <f t="shared" si="45"/>
        <v>N</v>
      </c>
      <c r="BB63" s="161" t="str">
        <f t="shared" si="46"/>
        <v>N</v>
      </c>
      <c r="BC63" s="161" t="str">
        <f t="shared" si="47"/>
        <v>N</v>
      </c>
      <c r="BD63" s="161" t="str">
        <f t="shared" si="48"/>
        <v>N</v>
      </c>
      <c r="BE63" s="161" t="str">
        <f t="shared" si="49"/>
        <v>N</v>
      </c>
      <c r="BF63" s="161" t="str">
        <f t="shared" si="50"/>
        <v>N</v>
      </c>
      <c r="BG63" s="161" t="str">
        <f t="shared" si="51"/>
        <v>N</v>
      </c>
      <c r="BH63" s="161" t="str">
        <f t="shared" si="52"/>
        <v>N</v>
      </c>
      <c r="BI63" s="161" t="str">
        <f t="shared" si="53"/>
        <v>N</v>
      </c>
      <c r="BJ63" s="161" t="str">
        <f t="shared" si="54"/>
        <v>Y</v>
      </c>
      <c r="BK63" s="161" t="str">
        <f t="shared" si="55"/>
        <v>N</v>
      </c>
      <c r="BL63" s="161" t="str">
        <f t="shared" si="56"/>
        <v>Y</v>
      </c>
      <c r="BM63" s="161" t="str">
        <f t="shared" si="57"/>
        <v>N</v>
      </c>
      <c r="BN63" s="176" t="str">
        <f t="shared" si="58"/>
        <v>N</v>
      </c>
      <c r="BO63" s="182" t="s">
        <v>363</v>
      </c>
      <c r="BP63" s="174" t="str">
        <f t="shared" si="59"/>
        <v>深交所创业板</v>
      </c>
      <c r="BQ63" s="181" t="s">
        <v>317</v>
      </c>
      <c r="BR63" s="173">
        <f t="shared" si="60"/>
        <v>41639</v>
      </c>
      <c r="BS63" s="171" t="str">
        <f t="shared" si="61"/>
        <v>N</v>
      </c>
    </row>
    <row r="64" spans="1:73" s="7" customFormat="1" ht="15" customHeight="1" x14ac:dyDescent="0.25">
      <c r="A64" s="31">
        <v>237</v>
      </c>
      <c r="B64" s="32" t="s">
        <v>824</v>
      </c>
      <c r="C64" s="33" t="s">
        <v>825</v>
      </c>
      <c r="D64" s="56" t="s">
        <v>826</v>
      </c>
      <c r="E64" s="57" t="s">
        <v>827</v>
      </c>
      <c r="F64" s="49" t="s">
        <v>828</v>
      </c>
      <c r="G64" s="58" t="s">
        <v>315</v>
      </c>
      <c r="H64" s="41" t="s">
        <v>368</v>
      </c>
      <c r="I64" s="78">
        <v>44508</v>
      </c>
      <c r="J64" s="78">
        <v>44721</v>
      </c>
      <c r="K64" s="78">
        <v>44943</v>
      </c>
      <c r="L64" s="84" t="s">
        <v>829</v>
      </c>
      <c r="M64" s="68" t="s">
        <v>830</v>
      </c>
      <c r="N64" s="33">
        <v>5</v>
      </c>
      <c r="O64" s="69" t="str">
        <f t="shared" si="43"/>
        <v>5年以上</v>
      </c>
      <c r="P64" s="23" t="s">
        <v>831</v>
      </c>
      <c r="Q64" s="33" t="s">
        <v>507</v>
      </c>
      <c r="R64" s="70">
        <v>40550</v>
      </c>
      <c r="S64" s="58" t="s">
        <v>332</v>
      </c>
      <c r="T64" s="95" t="s">
        <v>345</v>
      </c>
      <c r="U64" s="69" t="str">
        <f t="shared" si="24"/>
        <v>Y</v>
      </c>
      <c r="V64" s="100" t="s">
        <v>398</v>
      </c>
      <c r="W64" s="43" t="s">
        <v>788</v>
      </c>
      <c r="X64" s="99" t="s">
        <v>334</v>
      </c>
      <c r="Y64" s="129">
        <v>300</v>
      </c>
      <c r="Z64" s="130">
        <f>(100260584.82+202229162+582580063.83+1312453966.94+371831650.78)/10000</f>
        <v>256935.54283699999</v>
      </c>
      <c r="AA64" s="130">
        <v>131245.396694</v>
      </c>
      <c r="AB64" s="139">
        <v>2018</v>
      </c>
      <c r="AC64" s="130">
        <v>653803.61</v>
      </c>
      <c r="AD64" s="128">
        <f>AA64/AC64</f>
        <v>0.20074131541427248</v>
      </c>
      <c r="AE64" s="130">
        <v>334650.37501000002</v>
      </c>
      <c r="AF64" s="130">
        <v>117425.33629000001</v>
      </c>
      <c r="AG64" s="43">
        <v>2017</v>
      </c>
      <c r="AH64" s="151">
        <f>1853831790.32/10000</f>
        <v>185383.17903199999</v>
      </c>
      <c r="AI64" s="128">
        <f>AF64/AH64</f>
        <v>0.633419584792699</v>
      </c>
      <c r="AJ64" s="130">
        <v>159113.48041799999</v>
      </c>
      <c r="AK64" s="152">
        <v>56342.320210999998</v>
      </c>
      <c r="AL64" s="139">
        <v>2017</v>
      </c>
      <c r="AM64" s="152">
        <v>47649.156902000002</v>
      </c>
      <c r="AN64" s="128">
        <f>AK64/AM64</f>
        <v>1.1824410729213786</v>
      </c>
      <c r="AO64" s="130"/>
      <c r="AP64" s="130"/>
      <c r="AQ64" s="43"/>
      <c r="AR64" s="130"/>
      <c r="AS64" s="157"/>
      <c r="AT64" s="130"/>
      <c r="AU64" s="130"/>
      <c r="AV64" s="139"/>
      <c r="AW64" s="130"/>
      <c r="AX64" s="159"/>
      <c r="AY64" s="86" t="s">
        <v>832</v>
      </c>
      <c r="AZ64" s="161" t="str">
        <f t="shared" si="44"/>
        <v>Y</v>
      </c>
      <c r="BA64" s="161" t="str">
        <f t="shared" si="45"/>
        <v>N</v>
      </c>
      <c r="BB64" s="161" t="str">
        <f t="shared" si="46"/>
        <v>Y</v>
      </c>
      <c r="BC64" s="161" t="str">
        <f t="shared" si="47"/>
        <v>Y</v>
      </c>
      <c r="BD64" s="161" t="str">
        <f t="shared" si="48"/>
        <v>Y</v>
      </c>
      <c r="BE64" s="161" t="str">
        <f t="shared" si="49"/>
        <v>Y</v>
      </c>
      <c r="BF64" s="161" t="str">
        <f t="shared" si="50"/>
        <v>Y</v>
      </c>
      <c r="BG64" s="161" t="str">
        <f t="shared" si="51"/>
        <v>N</v>
      </c>
      <c r="BH64" s="161" t="str">
        <f t="shared" si="52"/>
        <v>N</v>
      </c>
      <c r="BI64" s="161" t="str">
        <f t="shared" si="53"/>
        <v>N</v>
      </c>
      <c r="BJ64" s="161" t="str">
        <f t="shared" si="54"/>
        <v>N</v>
      </c>
      <c r="BK64" s="161" t="str">
        <f t="shared" si="55"/>
        <v>N</v>
      </c>
      <c r="BL64" s="161" t="str">
        <f t="shared" si="56"/>
        <v>Y</v>
      </c>
      <c r="BM64" s="161" t="str">
        <f t="shared" si="57"/>
        <v>Y</v>
      </c>
      <c r="BN64" s="176" t="str">
        <f t="shared" si="58"/>
        <v>Y</v>
      </c>
      <c r="BO64" s="182" t="s">
        <v>833</v>
      </c>
      <c r="BP64" s="174" t="str">
        <f t="shared" si="59"/>
        <v>深交所创业板</v>
      </c>
      <c r="BQ64" s="181" t="s">
        <v>317</v>
      </c>
      <c r="BR64" s="173">
        <f t="shared" si="60"/>
        <v>42004</v>
      </c>
      <c r="BS64" s="171" t="str">
        <f t="shared" si="61"/>
        <v>N</v>
      </c>
    </row>
    <row r="65" spans="1:163" s="7" customFormat="1" ht="15" customHeight="1" x14ac:dyDescent="0.25">
      <c r="A65" s="31">
        <v>236</v>
      </c>
      <c r="B65" s="32" t="s">
        <v>834</v>
      </c>
      <c r="C65" s="33" t="s">
        <v>835</v>
      </c>
      <c r="D65" s="43" t="s">
        <v>754</v>
      </c>
      <c r="E65" s="44" t="s">
        <v>755</v>
      </c>
      <c r="F65" s="49" t="s">
        <v>836</v>
      </c>
      <c r="G65" s="55" t="s">
        <v>354</v>
      </c>
      <c r="H65" s="41" t="s">
        <v>368</v>
      </c>
      <c r="I65" s="78">
        <v>44705</v>
      </c>
      <c r="J65" s="78">
        <v>44714</v>
      </c>
      <c r="K65" s="78">
        <v>44721</v>
      </c>
      <c r="L65" s="79" t="s">
        <v>837</v>
      </c>
      <c r="M65" s="33">
        <v>2021</v>
      </c>
      <c r="N65" s="33">
        <v>1</v>
      </c>
      <c r="O65" s="69" t="str">
        <f t="shared" si="43"/>
        <v>1-2年</v>
      </c>
      <c r="P65" s="23" t="s">
        <v>370</v>
      </c>
      <c r="Q65" s="33" t="s">
        <v>740</v>
      </c>
      <c r="R65" s="70">
        <v>35262</v>
      </c>
      <c r="S65" s="44" t="s">
        <v>628</v>
      </c>
      <c r="T65" s="95" t="s">
        <v>317</v>
      </c>
      <c r="U65" s="69" t="str">
        <f t="shared" si="24"/>
        <v>N</v>
      </c>
      <c r="V65" s="43" t="s">
        <v>361</v>
      </c>
      <c r="W65" s="43" t="s">
        <v>361</v>
      </c>
      <c r="X65" s="43" t="s">
        <v>320</v>
      </c>
      <c r="Y65" s="129">
        <v>50</v>
      </c>
      <c r="Z65" s="130"/>
      <c r="AA65" s="130"/>
      <c r="AB65" s="139"/>
      <c r="AC65" s="130"/>
      <c r="AD65" s="128"/>
      <c r="AE65" s="130"/>
      <c r="AF65" s="130"/>
      <c r="AG65" s="43"/>
      <c r="AH65" s="148"/>
      <c r="AI65" s="128"/>
      <c r="AJ65" s="130"/>
      <c r="AK65" s="130"/>
      <c r="AL65" s="139"/>
      <c r="AM65" s="130"/>
      <c r="AN65" s="128"/>
      <c r="AO65" s="130"/>
      <c r="AP65" s="130"/>
      <c r="AQ65" s="43"/>
      <c r="AR65" s="130"/>
      <c r="AS65" s="157"/>
      <c r="AT65" s="130">
        <v>16000</v>
      </c>
      <c r="AU65" s="130">
        <v>16000</v>
      </c>
      <c r="AV65" s="139">
        <v>2021</v>
      </c>
      <c r="AW65" s="130">
        <v>59715.81</v>
      </c>
      <c r="AX65" s="159">
        <f>AU65/AW65</f>
        <v>0.26793574431963663</v>
      </c>
      <c r="AY65" s="73" t="s">
        <v>838</v>
      </c>
      <c r="AZ65" s="161" t="str">
        <f t="shared" si="44"/>
        <v>N</v>
      </c>
      <c r="BA65" s="161" t="str">
        <f t="shared" si="45"/>
        <v>N</v>
      </c>
      <c r="BB65" s="161" t="str">
        <f t="shared" si="46"/>
        <v>N</v>
      </c>
      <c r="BC65" s="161" t="str">
        <f t="shared" si="47"/>
        <v>N</v>
      </c>
      <c r="BD65" s="161" t="str">
        <f t="shared" si="48"/>
        <v>N</v>
      </c>
      <c r="BE65" s="161" t="str">
        <f t="shared" si="49"/>
        <v>N</v>
      </c>
      <c r="BF65" s="161" t="str">
        <f t="shared" si="50"/>
        <v>N</v>
      </c>
      <c r="BG65" s="161" t="str">
        <f t="shared" si="51"/>
        <v>N</v>
      </c>
      <c r="BH65" s="161" t="str">
        <f t="shared" si="52"/>
        <v>N</v>
      </c>
      <c r="BI65" s="161" t="str">
        <f t="shared" si="53"/>
        <v>N</v>
      </c>
      <c r="BJ65" s="161" t="str">
        <f t="shared" si="54"/>
        <v>N</v>
      </c>
      <c r="BK65" s="161" t="str">
        <f t="shared" si="55"/>
        <v>N</v>
      </c>
      <c r="BL65" s="161" t="str">
        <f t="shared" si="56"/>
        <v>N</v>
      </c>
      <c r="BM65" s="161" t="str">
        <f t="shared" si="57"/>
        <v>N</v>
      </c>
      <c r="BN65" s="176" t="str">
        <f t="shared" si="58"/>
        <v>N</v>
      </c>
      <c r="BO65" s="182" t="s">
        <v>839</v>
      </c>
      <c r="BP65" s="174" t="str">
        <f t="shared" si="59"/>
        <v>上交所主板</v>
      </c>
      <c r="BQ65" s="181" t="s">
        <v>317</v>
      </c>
      <c r="BR65" s="173">
        <f t="shared" si="60"/>
        <v>36160</v>
      </c>
      <c r="BS65" s="171" t="str">
        <f t="shared" si="61"/>
        <v>N</v>
      </c>
    </row>
    <row r="66" spans="1:163" s="7" customFormat="1" ht="15" customHeight="1" x14ac:dyDescent="0.25">
      <c r="A66" s="31">
        <v>235</v>
      </c>
      <c r="B66" s="32" t="s">
        <v>840</v>
      </c>
      <c r="C66" s="33" t="s">
        <v>841</v>
      </c>
      <c r="D66" s="43" t="s">
        <v>377</v>
      </c>
      <c r="E66" s="44" t="s">
        <v>842</v>
      </c>
      <c r="F66" s="49" t="s">
        <v>843</v>
      </c>
      <c r="G66" s="55" t="s">
        <v>315</v>
      </c>
      <c r="H66" s="41" t="s">
        <v>844</v>
      </c>
      <c r="I66" s="78">
        <v>44515</v>
      </c>
      <c r="J66" s="78">
        <v>44676</v>
      </c>
      <c r="K66" s="78">
        <v>44677</v>
      </c>
      <c r="L66" s="84" t="s">
        <v>845</v>
      </c>
      <c r="M66" s="33" t="s">
        <v>496</v>
      </c>
      <c r="N66" s="33">
        <v>1.5</v>
      </c>
      <c r="O66" s="69" t="str">
        <f t="shared" si="43"/>
        <v>1-2年</v>
      </c>
      <c r="P66" s="23" t="s">
        <v>846</v>
      </c>
      <c r="Q66" s="33" t="s">
        <v>847</v>
      </c>
      <c r="R66" s="70">
        <v>40554</v>
      </c>
      <c r="S66" s="44" t="s">
        <v>332</v>
      </c>
      <c r="T66" s="95" t="s">
        <v>345</v>
      </c>
      <c r="U66" s="69" t="str">
        <f t="shared" si="24"/>
        <v>N</v>
      </c>
      <c r="V66" s="43" t="s">
        <v>361</v>
      </c>
      <c r="W66" s="43" t="s">
        <v>361</v>
      </c>
      <c r="X66" s="43" t="s">
        <v>320</v>
      </c>
      <c r="Y66" s="129">
        <v>150</v>
      </c>
      <c r="Z66" s="130"/>
      <c r="AA66" s="130"/>
      <c r="AB66" s="139"/>
      <c r="AC66" s="130"/>
      <c r="AD66" s="128"/>
      <c r="AE66" s="130"/>
      <c r="AF66" s="130"/>
      <c r="AG66" s="43"/>
      <c r="AH66" s="148"/>
      <c r="AI66" s="128"/>
      <c r="AJ66" s="130"/>
      <c r="AK66" s="130"/>
      <c r="AL66" s="139"/>
      <c r="AM66" s="130"/>
      <c r="AN66" s="128"/>
      <c r="AO66" s="130"/>
      <c r="AP66" s="130"/>
      <c r="AQ66" s="43"/>
      <c r="AR66" s="130"/>
      <c r="AS66" s="157"/>
      <c r="AT66" s="130">
        <f>40380.9+31829.87+1223.14</f>
        <v>73433.91</v>
      </c>
      <c r="AU66" s="130">
        <f>40380.9</f>
        <v>40380.9</v>
      </c>
      <c r="AV66" s="139">
        <v>2020</v>
      </c>
      <c r="AW66" s="130">
        <v>83114.179999999993</v>
      </c>
      <c r="AX66" s="159">
        <f>AU66/AW66</f>
        <v>0.48584850382931055</v>
      </c>
      <c r="AY66" s="73" t="s">
        <v>848</v>
      </c>
      <c r="AZ66" s="161" t="str">
        <f t="shared" si="44"/>
        <v>N</v>
      </c>
      <c r="BA66" s="161" t="str">
        <f t="shared" si="45"/>
        <v>N</v>
      </c>
      <c r="BB66" s="161" t="str">
        <f t="shared" si="46"/>
        <v>N</v>
      </c>
      <c r="BC66" s="161" t="str">
        <f t="shared" si="47"/>
        <v>N</v>
      </c>
      <c r="BD66" s="161" t="str">
        <f t="shared" si="48"/>
        <v>N</v>
      </c>
      <c r="BE66" s="161" t="str">
        <f t="shared" si="49"/>
        <v>N</v>
      </c>
      <c r="BF66" s="161" t="str">
        <f t="shared" si="50"/>
        <v>N</v>
      </c>
      <c r="BG66" s="161" t="str">
        <f t="shared" si="51"/>
        <v>N</v>
      </c>
      <c r="BH66" s="161" t="str">
        <f t="shared" si="52"/>
        <v>N</v>
      </c>
      <c r="BI66" s="161" t="str">
        <f t="shared" si="53"/>
        <v>N</v>
      </c>
      <c r="BJ66" s="161" t="str">
        <f t="shared" si="54"/>
        <v>N</v>
      </c>
      <c r="BK66" s="161" t="str">
        <f t="shared" si="55"/>
        <v>N</v>
      </c>
      <c r="BL66" s="161" t="str">
        <f t="shared" si="56"/>
        <v>N</v>
      </c>
      <c r="BM66" s="161" t="str">
        <f t="shared" si="57"/>
        <v>N</v>
      </c>
      <c r="BN66" s="176" t="str">
        <f t="shared" si="58"/>
        <v>N</v>
      </c>
      <c r="BO66" s="182" t="s">
        <v>562</v>
      </c>
      <c r="BP66" s="174" t="str">
        <f t="shared" si="59"/>
        <v>深交所主板</v>
      </c>
      <c r="BQ66" s="181" t="s">
        <v>317</v>
      </c>
      <c r="BR66" s="173">
        <f t="shared" si="60"/>
        <v>41639</v>
      </c>
      <c r="BS66" s="171" t="str">
        <f t="shared" si="61"/>
        <v>N</v>
      </c>
    </row>
    <row r="67" spans="1:163" s="7" customFormat="1" ht="15" customHeight="1" x14ac:dyDescent="0.25">
      <c r="A67" s="31">
        <v>234</v>
      </c>
      <c r="B67" s="32" t="s">
        <v>849</v>
      </c>
      <c r="C67" s="187" t="s">
        <v>850</v>
      </c>
      <c r="D67" s="43" t="s">
        <v>713</v>
      </c>
      <c r="E67" s="44" t="s">
        <v>714</v>
      </c>
      <c r="F67" s="49" t="s">
        <v>851</v>
      </c>
      <c r="G67" s="55" t="s">
        <v>354</v>
      </c>
      <c r="H67" s="41" t="s">
        <v>327</v>
      </c>
      <c r="I67" s="78">
        <v>44330</v>
      </c>
      <c r="J67" s="78">
        <v>44670</v>
      </c>
      <c r="K67" s="78" t="s">
        <v>312</v>
      </c>
      <c r="L67" s="79" t="s">
        <v>852</v>
      </c>
      <c r="M67" s="191" t="s">
        <v>431</v>
      </c>
      <c r="N67" s="33">
        <v>6</v>
      </c>
      <c r="O67" s="69" t="str">
        <f t="shared" si="43"/>
        <v>5年以上</v>
      </c>
      <c r="P67" s="69" t="s">
        <v>853</v>
      </c>
      <c r="Q67" s="33" t="s">
        <v>854</v>
      </c>
      <c r="R67" s="70">
        <v>35607</v>
      </c>
      <c r="S67" s="44" t="s">
        <v>759</v>
      </c>
      <c r="T67" s="95" t="s">
        <v>345</v>
      </c>
      <c r="U67" s="69" t="str">
        <f t="shared" si="24"/>
        <v>Y</v>
      </c>
      <c r="V67" s="43" t="s">
        <v>333</v>
      </c>
      <c r="W67" s="43" t="s">
        <v>708</v>
      </c>
      <c r="X67" s="97" t="s">
        <v>334</v>
      </c>
      <c r="Y67" s="129">
        <v>1050</v>
      </c>
      <c r="Z67" s="130">
        <f>(2979150000+1208436000+2979150000+1208436000+706920000+8817871542.9+4271549342.36)/10000</f>
        <v>2217151.288526</v>
      </c>
      <c r="AA67" s="130">
        <v>1308942.088526</v>
      </c>
      <c r="AB67" s="139">
        <v>2020</v>
      </c>
      <c r="AC67" s="130">
        <v>-347705.97</v>
      </c>
      <c r="AD67" s="128">
        <f>AA67/AC67</f>
        <v>-3.7645085257696329</v>
      </c>
      <c r="AE67" s="130">
        <f>(4441377299.56+11919663519.42+12003895365.2+10469873593.76+10987210733.58+6428643331.81)/10000</f>
        <v>5625066.3843330005</v>
      </c>
      <c r="AF67" s="130">
        <v>1200389.5365200001</v>
      </c>
      <c r="AG67" s="43">
        <v>2017</v>
      </c>
      <c r="AH67" s="148">
        <v>1543742.89943</v>
      </c>
      <c r="AI67" s="128">
        <f>AF67/AH67</f>
        <v>0.77758384311482365</v>
      </c>
      <c r="AJ67" s="130">
        <f>(43318490.25+684312866.58+1147481318.02+1121297875.75+1240440285.35-(-3975223534.39))/10000</f>
        <v>821207.43703400006</v>
      </c>
      <c r="AK67" s="130">
        <f>3975223534.39/10000</f>
        <v>397522.35343899997</v>
      </c>
      <c r="AL67" s="139">
        <v>2020</v>
      </c>
      <c r="AM67" s="130">
        <v>-1201941.365248</v>
      </c>
      <c r="AN67" s="128">
        <f>AK67/AM67</f>
        <v>-0.33073356565690543</v>
      </c>
      <c r="AO67" s="130"/>
      <c r="AP67" s="130"/>
      <c r="AQ67" s="43"/>
      <c r="AR67" s="130"/>
      <c r="AS67" s="157"/>
      <c r="AT67" s="130"/>
      <c r="AU67" s="130"/>
      <c r="AV67" s="139"/>
      <c r="AW67" s="130"/>
      <c r="AX67" s="157"/>
      <c r="AY67" s="73" t="s">
        <v>855</v>
      </c>
      <c r="AZ67" s="161" t="str">
        <f t="shared" si="44"/>
        <v>Y</v>
      </c>
      <c r="BA67" s="161" t="str">
        <f t="shared" si="45"/>
        <v>N</v>
      </c>
      <c r="BB67" s="161" t="str">
        <f t="shared" si="46"/>
        <v>Y</v>
      </c>
      <c r="BC67" s="161" t="str">
        <f t="shared" si="47"/>
        <v>Y</v>
      </c>
      <c r="BD67" s="161" t="str">
        <f t="shared" si="48"/>
        <v>Y</v>
      </c>
      <c r="BE67" s="161" t="str">
        <f t="shared" si="49"/>
        <v>N</v>
      </c>
      <c r="BF67" s="161" t="str">
        <f t="shared" si="50"/>
        <v>N</v>
      </c>
      <c r="BG67" s="161" t="str">
        <f t="shared" si="51"/>
        <v>N</v>
      </c>
      <c r="BH67" s="161" t="str">
        <f t="shared" si="52"/>
        <v>N</v>
      </c>
      <c r="BI67" s="161" t="str">
        <f t="shared" si="53"/>
        <v>N</v>
      </c>
      <c r="BJ67" s="161" t="str">
        <f t="shared" si="54"/>
        <v>N</v>
      </c>
      <c r="BK67" s="161" t="str">
        <f t="shared" si="55"/>
        <v>N</v>
      </c>
      <c r="BL67" s="161" t="str">
        <f t="shared" si="56"/>
        <v>Y</v>
      </c>
      <c r="BM67" s="161" t="str">
        <f t="shared" si="57"/>
        <v>Y</v>
      </c>
      <c r="BN67" s="176" t="str">
        <f t="shared" si="58"/>
        <v>N</v>
      </c>
      <c r="BO67" s="182" t="s">
        <v>856</v>
      </c>
      <c r="BP67" s="174" t="str">
        <f t="shared" si="59"/>
        <v>上交所主板</v>
      </c>
      <c r="BQ67" s="181" t="s">
        <v>317</v>
      </c>
      <c r="BR67" s="173">
        <f t="shared" si="60"/>
        <v>36525</v>
      </c>
      <c r="BS67" s="171" t="str">
        <f t="shared" si="61"/>
        <v>N</v>
      </c>
    </row>
    <row r="68" spans="1:163" s="7" customFormat="1" ht="15" customHeight="1" x14ac:dyDescent="0.25">
      <c r="A68" s="31">
        <v>233</v>
      </c>
      <c r="B68" s="32" t="s">
        <v>857</v>
      </c>
      <c r="C68" s="187" t="s">
        <v>858</v>
      </c>
      <c r="D68" s="56" t="s">
        <v>351</v>
      </c>
      <c r="E68" s="57" t="s">
        <v>859</v>
      </c>
      <c r="F68" s="52" t="s">
        <v>860</v>
      </c>
      <c r="G68" s="57" t="s">
        <v>315</v>
      </c>
      <c r="H68" s="41" t="s">
        <v>327</v>
      </c>
      <c r="I68" s="78">
        <v>44522</v>
      </c>
      <c r="J68" s="78">
        <v>44652</v>
      </c>
      <c r="K68" s="85">
        <v>44719</v>
      </c>
      <c r="L68" s="193" t="s">
        <v>861</v>
      </c>
      <c r="M68" s="77">
        <v>2018</v>
      </c>
      <c r="N68" s="77">
        <v>1</v>
      </c>
      <c r="O68" s="69" t="str">
        <f t="shared" si="43"/>
        <v>1-2年</v>
      </c>
      <c r="P68" s="69" t="s">
        <v>382</v>
      </c>
      <c r="Q68" s="101" t="s">
        <v>396</v>
      </c>
      <c r="R68" s="199" t="s">
        <v>862</v>
      </c>
      <c r="S68" s="102" t="s">
        <v>863</v>
      </c>
      <c r="T68" s="103" t="s">
        <v>345</v>
      </c>
      <c r="U68" s="69" t="str">
        <f t="shared" si="24"/>
        <v>N</v>
      </c>
      <c r="V68" s="100" t="s">
        <v>361</v>
      </c>
      <c r="W68" s="200" t="s">
        <v>361</v>
      </c>
      <c r="X68" s="99" t="s">
        <v>334</v>
      </c>
      <c r="Y68" s="134">
        <v>50</v>
      </c>
      <c r="Z68" s="135"/>
      <c r="AA68" s="135"/>
      <c r="AB68" s="155"/>
      <c r="AC68" s="135"/>
      <c r="AD68" s="128"/>
      <c r="AE68" s="135"/>
      <c r="AF68" s="135"/>
      <c r="AG68" s="100"/>
      <c r="AH68" s="149"/>
      <c r="AI68" s="128"/>
      <c r="AJ68" s="135"/>
      <c r="AK68" s="135"/>
      <c r="AL68" s="155"/>
      <c r="AM68" s="135"/>
      <c r="AN68" s="159"/>
      <c r="AO68" s="135"/>
      <c r="AP68" s="135"/>
      <c r="AQ68" s="99"/>
      <c r="AR68" s="135"/>
      <c r="AS68" s="128"/>
      <c r="AT68" s="135">
        <v>7448.86</v>
      </c>
      <c r="AU68" s="135">
        <v>7448.86</v>
      </c>
      <c r="AV68" s="155">
        <v>2018</v>
      </c>
      <c r="AW68" s="135">
        <v>244827.12624499999</v>
      </c>
      <c r="AX68" s="128">
        <v>3.0424978286702899E-2</v>
      </c>
      <c r="AY68" s="86" t="s">
        <v>864</v>
      </c>
      <c r="AZ68" s="161" t="str">
        <f t="shared" si="44"/>
        <v>N</v>
      </c>
      <c r="BA68" s="161" t="str">
        <f t="shared" si="45"/>
        <v>N</v>
      </c>
      <c r="BB68" s="161" t="str">
        <f t="shared" si="46"/>
        <v>N</v>
      </c>
      <c r="BC68" s="161" t="str">
        <f t="shared" si="47"/>
        <v>N</v>
      </c>
      <c r="BD68" s="161" t="str">
        <f t="shared" si="48"/>
        <v>N</v>
      </c>
      <c r="BE68" s="161" t="str">
        <f t="shared" si="49"/>
        <v>N</v>
      </c>
      <c r="BF68" s="161" t="str">
        <f t="shared" si="50"/>
        <v>N</v>
      </c>
      <c r="BG68" s="161" t="str">
        <f t="shared" si="51"/>
        <v>N</v>
      </c>
      <c r="BH68" s="161" t="str">
        <f t="shared" si="52"/>
        <v>N</v>
      </c>
      <c r="BI68" s="161" t="str">
        <f t="shared" si="53"/>
        <v>N</v>
      </c>
      <c r="BJ68" s="161" t="str">
        <f t="shared" si="54"/>
        <v>N</v>
      </c>
      <c r="BK68" s="161" t="str">
        <f t="shared" si="55"/>
        <v>N</v>
      </c>
      <c r="BL68" s="161" t="str">
        <f t="shared" si="56"/>
        <v>N</v>
      </c>
      <c r="BM68" s="161" t="str">
        <f t="shared" si="57"/>
        <v>N</v>
      </c>
      <c r="BN68" s="176" t="str">
        <f t="shared" si="58"/>
        <v>N</v>
      </c>
      <c r="BO68" s="182" t="s">
        <v>865</v>
      </c>
      <c r="BP68" s="174" t="str">
        <f t="shared" si="59"/>
        <v>深交所主板</v>
      </c>
      <c r="BQ68" s="219" t="s">
        <v>317</v>
      </c>
      <c r="BR68" s="173">
        <f t="shared" si="60"/>
        <v>41274</v>
      </c>
      <c r="BS68" s="171" t="str">
        <f t="shared" si="61"/>
        <v>N</v>
      </c>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row>
    <row r="69" spans="1:163" s="7" customFormat="1" ht="15" customHeight="1" x14ac:dyDescent="0.25">
      <c r="A69" s="31">
        <v>232</v>
      </c>
      <c r="B69" s="32" t="s">
        <v>866</v>
      </c>
      <c r="C69" s="187" t="s">
        <v>867</v>
      </c>
      <c r="D69" s="56" t="s">
        <v>426</v>
      </c>
      <c r="E69" s="57" t="s">
        <v>427</v>
      </c>
      <c r="F69" s="52" t="s">
        <v>868</v>
      </c>
      <c r="G69" s="57" t="s">
        <v>315</v>
      </c>
      <c r="H69" s="41" t="s">
        <v>327</v>
      </c>
      <c r="I69" s="78">
        <v>44530</v>
      </c>
      <c r="J69" s="78">
        <v>44652</v>
      </c>
      <c r="K69" s="78">
        <v>44680</v>
      </c>
      <c r="L69" s="84" t="s">
        <v>869</v>
      </c>
      <c r="M69" s="77">
        <v>2018</v>
      </c>
      <c r="N69" s="77">
        <v>1</v>
      </c>
      <c r="O69" s="69" t="str">
        <f t="shared" si="43"/>
        <v>1-2年</v>
      </c>
      <c r="P69" s="69" t="s">
        <v>870</v>
      </c>
      <c r="Q69" s="101" t="s">
        <v>471</v>
      </c>
      <c r="R69" s="199">
        <v>40589</v>
      </c>
      <c r="S69" s="102" t="s">
        <v>871</v>
      </c>
      <c r="T69" s="103" t="s">
        <v>345</v>
      </c>
      <c r="U69" s="69" t="str">
        <f t="shared" si="24"/>
        <v>N</v>
      </c>
      <c r="V69" s="100" t="s">
        <v>361</v>
      </c>
      <c r="W69" s="200" t="s">
        <v>361</v>
      </c>
      <c r="X69" s="99" t="s">
        <v>320</v>
      </c>
      <c r="Y69" s="134">
        <v>100</v>
      </c>
      <c r="Z69" s="135"/>
      <c r="AA69" s="135"/>
      <c r="AB69" s="155"/>
      <c r="AC69" s="135"/>
      <c r="AD69" s="128"/>
      <c r="AE69" s="135"/>
      <c r="AF69" s="135"/>
      <c r="AG69" s="100"/>
      <c r="AH69" s="149"/>
      <c r="AI69" s="128"/>
      <c r="AJ69" s="135"/>
      <c r="AK69" s="135"/>
      <c r="AL69" s="155"/>
      <c r="AM69" s="135"/>
      <c r="AN69" s="159"/>
      <c r="AO69" s="135"/>
      <c r="AP69" s="135"/>
      <c r="AQ69" s="99"/>
      <c r="AR69" s="135"/>
      <c r="AS69" s="128"/>
      <c r="AT69" s="135">
        <f>18544</f>
        <v>18544</v>
      </c>
      <c r="AU69" s="135">
        <f>18544</f>
        <v>18544</v>
      </c>
      <c r="AV69" s="155">
        <v>2018</v>
      </c>
      <c r="AW69" s="135">
        <v>320747.13</v>
      </c>
      <c r="AX69" s="128">
        <f>AU69/AW69</f>
        <v>5.7815014587971524E-2</v>
      </c>
      <c r="AY69" s="86" t="s">
        <v>872</v>
      </c>
      <c r="AZ69" s="161" t="str">
        <f t="shared" si="44"/>
        <v>N</v>
      </c>
      <c r="BA69" s="161" t="str">
        <f t="shared" si="45"/>
        <v>N</v>
      </c>
      <c r="BB69" s="161" t="str">
        <f t="shared" si="46"/>
        <v>N</v>
      </c>
      <c r="BC69" s="161" t="str">
        <f t="shared" si="47"/>
        <v>N</v>
      </c>
      <c r="BD69" s="161" t="str">
        <f t="shared" si="48"/>
        <v>N</v>
      </c>
      <c r="BE69" s="161" t="str">
        <f t="shared" si="49"/>
        <v>N</v>
      </c>
      <c r="BF69" s="161" t="str">
        <f t="shared" si="50"/>
        <v>N</v>
      </c>
      <c r="BG69" s="161" t="str">
        <f t="shared" si="51"/>
        <v>N</v>
      </c>
      <c r="BH69" s="161" t="str">
        <f t="shared" si="52"/>
        <v>N</v>
      </c>
      <c r="BI69" s="161" t="str">
        <f t="shared" si="53"/>
        <v>N</v>
      </c>
      <c r="BJ69" s="161" t="str">
        <f t="shared" si="54"/>
        <v>N</v>
      </c>
      <c r="BK69" s="161" t="str">
        <f t="shared" si="55"/>
        <v>N</v>
      </c>
      <c r="BL69" s="161" t="str">
        <f t="shared" si="56"/>
        <v>N</v>
      </c>
      <c r="BM69" s="161" t="str">
        <f t="shared" si="57"/>
        <v>N</v>
      </c>
      <c r="BN69" s="176" t="str">
        <f t="shared" si="58"/>
        <v>N</v>
      </c>
      <c r="BO69" s="182" t="s">
        <v>663</v>
      </c>
      <c r="BP69" s="174" t="str">
        <f t="shared" si="59"/>
        <v>深交所创业板</v>
      </c>
      <c r="BQ69" s="219" t="s">
        <v>317</v>
      </c>
      <c r="BR69" s="173">
        <f t="shared" si="60"/>
        <v>42004</v>
      </c>
      <c r="BS69" s="171" t="str">
        <f t="shared" si="61"/>
        <v>N</v>
      </c>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row>
    <row r="70" spans="1:163" s="7" customFormat="1" ht="15" customHeight="1" x14ac:dyDescent="0.25">
      <c r="A70" s="31">
        <v>231</v>
      </c>
      <c r="B70" s="32" t="s">
        <v>873</v>
      </c>
      <c r="C70" s="187" t="s">
        <v>874</v>
      </c>
      <c r="D70" s="56" t="s">
        <v>351</v>
      </c>
      <c r="E70" s="57" t="s">
        <v>404</v>
      </c>
      <c r="F70" s="52" t="s">
        <v>875</v>
      </c>
      <c r="G70" s="57" t="s">
        <v>315</v>
      </c>
      <c r="H70" s="41" t="s">
        <v>327</v>
      </c>
      <c r="I70" s="78">
        <v>44505</v>
      </c>
      <c r="J70" s="78">
        <v>44651</v>
      </c>
      <c r="K70" s="85">
        <v>44722</v>
      </c>
      <c r="L70" s="194" t="s">
        <v>876</v>
      </c>
      <c r="M70" s="77">
        <v>2020</v>
      </c>
      <c r="N70" s="77">
        <v>0.5</v>
      </c>
      <c r="O70" s="69" t="str">
        <f t="shared" si="43"/>
        <v>1年以内</v>
      </c>
      <c r="P70" s="69" t="s">
        <v>739</v>
      </c>
      <c r="Q70" s="101" t="s">
        <v>877</v>
      </c>
      <c r="R70" s="199" t="s">
        <v>878</v>
      </c>
      <c r="S70" s="102" t="s">
        <v>863</v>
      </c>
      <c r="T70" s="103" t="s">
        <v>317</v>
      </c>
      <c r="U70" s="69" t="str">
        <f t="shared" si="24"/>
        <v>N</v>
      </c>
      <c r="V70" s="100" t="s">
        <v>361</v>
      </c>
      <c r="W70" s="200" t="s">
        <v>361</v>
      </c>
      <c r="X70" s="99" t="s">
        <v>320</v>
      </c>
      <c r="Y70" s="134">
        <v>300</v>
      </c>
      <c r="Z70" s="135"/>
      <c r="AA70" s="135"/>
      <c r="AB70" s="155"/>
      <c r="AC70" s="135"/>
      <c r="AD70" s="128"/>
      <c r="AE70" s="135"/>
      <c r="AF70" s="135"/>
      <c r="AG70" s="100"/>
      <c r="AH70" s="149"/>
      <c r="AI70" s="128"/>
      <c r="AJ70" s="135"/>
      <c r="AK70" s="135"/>
      <c r="AL70" s="155"/>
      <c r="AM70" s="135"/>
      <c r="AN70" s="159"/>
      <c r="AO70" s="135"/>
      <c r="AP70" s="135"/>
      <c r="AQ70" s="99"/>
      <c r="AR70" s="135"/>
      <c r="AS70" s="128"/>
      <c r="AT70" s="135">
        <v>33900</v>
      </c>
      <c r="AU70" s="135">
        <v>33900</v>
      </c>
      <c r="AV70" s="155">
        <v>2020</v>
      </c>
      <c r="AW70" s="135">
        <v>98011.633835999994</v>
      </c>
      <c r="AX70" s="128">
        <v>0.34587730734826699</v>
      </c>
      <c r="AY70" s="77" t="s">
        <v>879</v>
      </c>
      <c r="AZ70" s="161" t="str">
        <f t="shared" si="44"/>
        <v>N</v>
      </c>
      <c r="BA70" s="161" t="str">
        <f t="shared" si="45"/>
        <v>N</v>
      </c>
      <c r="BB70" s="161" t="str">
        <f t="shared" si="46"/>
        <v>N</v>
      </c>
      <c r="BC70" s="161" t="str">
        <f t="shared" si="47"/>
        <v>N</v>
      </c>
      <c r="BD70" s="161" t="str">
        <f t="shared" si="48"/>
        <v>N</v>
      </c>
      <c r="BE70" s="161" t="str">
        <f t="shared" si="49"/>
        <v>N</v>
      </c>
      <c r="BF70" s="161" t="str">
        <f t="shared" si="50"/>
        <v>N</v>
      </c>
      <c r="BG70" s="161" t="str">
        <f t="shared" si="51"/>
        <v>N</v>
      </c>
      <c r="BH70" s="161" t="str">
        <f t="shared" si="52"/>
        <v>N</v>
      </c>
      <c r="BI70" s="161" t="str">
        <f t="shared" si="53"/>
        <v>N</v>
      </c>
      <c r="BJ70" s="161" t="str">
        <f t="shared" si="54"/>
        <v>N</v>
      </c>
      <c r="BK70" s="161" t="str">
        <f t="shared" si="55"/>
        <v>N</v>
      </c>
      <c r="BL70" s="161" t="str">
        <f t="shared" si="56"/>
        <v>N</v>
      </c>
      <c r="BM70" s="161" t="str">
        <f t="shared" si="57"/>
        <v>N</v>
      </c>
      <c r="BN70" s="176" t="str">
        <f t="shared" si="58"/>
        <v>N</v>
      </c>
      <c r="BO70" s="182" t="s">
        <v>562</v>
      </c>
      <c r="BP70" s="183" t="str">
        <f t="shared" si="59"/>
        <v>深交所创业板</v>
      </c>
      <c r="BQ70" s="181" t="s">
        <v>317</v>
      </c>
      <c r="BR70" s="173">
        <f t="shared" si="60"/>
        <v>42369</v>
      </c>
      <c r="BS70" s="171" t="str">
        <f t="shared" si="61"/>
        <v>N</v>
      </c>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row>
    <row r="71" spans="1:163" s="7" customFormat="1" ht="15" customHeight="1" x14ac:dyDescent="0.35">
      <c r="A71" s="31">
        <v>230</v>
      </c>
      <c r="B71" s="32" t="s">
        <v>880</v>
      </c>
      <c r="C71" s="45" t="s">
        <v>881</v>
      </c>
      <c r="D71" s="43" t="s">
        <v>612</v>
      </c>
      <c r="E71" s="44" t="s">
        <v>613</v>
      </c>
      <c r="F71" s="34" t="s">
        <v>882</v>
      </c>
      <c r="G71" s="42" t="s">
        <v>315</v>
      </c>
      <c r="H71" s="41" t="s">
        <v>602</v>
      </c>
      <c r="I71" s="78">
        <v>43614</v>
      </c>
      <c r="J71" s="78">
        <v>44638</v>
      </c>
      <c r="K71" s="78">
        <v>44638</v>
      </c>
      <c r="L71" s="79" t="s">
        <v>883</v>
      </c>
      <c r="M71" s="73" t="s">
        <v>679</v>
      </c>
      <c r="N71" s="33">
        <v>3</v>
      </c>
      <c r="O71" s="69" t="str">
        <f t="shared" si="43"/>
        <v>3-5年</v>
      </c>
      <c r="P71" s="69" t="s">
        <v>884</v>
      </c>
      <c r="Q71" s="68" t="s">
        <v>454</v>
      </c>
      <c r="R71" s="70">
        <v>40550</v>
      </c>
      <c r="S71" s="44" t="s">
        <v>316</v>
      </c>
      <c r="T71" s="95" t="s">
        <v>345</v>
      </c>
      <c r="U71" s="69" t="str">
        <f t="shared" si="24"/>
        <v>Y</v>
      </c>
      <c r="V71" s="43" t="s">
        <v>361</v>
      </c>
      <c r="W71" s="96" t="s">
        <v>361</v>
      </c>
      <c r="X71" s="43" t="s">
        <v>320</v>
      </c>
      <c r="Y71" s="212">
        <v>60</v>
      </c>
      <c r="Z71" s="131"/>
      <c r="AA71" s="130"/>
      <c r="AB71" s="43"/>
      <c r="AC71" s="130"/>
      <c r="AD71" s="128"/>
      <c r="AE71" s="130"/>
      <c r="AF71" s="130"/>
      <c r="AG71" s="139"/>
      <c r="AH71" s="148"/>
      <c r="AI71" s="128"/>
      <c r="AJ71" s="130"/>
      <c r="AK71" s="130"/>
      <c r="AL71" s="139"/>
      <c r="AM71" s="130"/>
      <c r="AN71" s="128"/>
      <c r="AO71" s="130"/>
      <c r="AP71" s="130"/>
      <c r="AQ71" s="43"/>
      <c r="AR71" s="130"/>
      <c r="AS71" s="128"/>
      <c r="AT71" s="130">
        <f>124670+314124+34400</f>
        <v>473194</v>
      </c>
      <c r="AU71" s="130">
        <v>314124</v>
      </c>
      <c r="AV71" s="139">
        <v>2017</v>
      </c>
      <c r="AW71" s="130">
        <v>277985.96444800001</v>
      </c>
      <c r="AX71" s="159">
        <f>AU71/AW71</f>
        <v>1.1299994970025184</v>
      </c>
      <c r="AY71" s="76" t="s">
        <v>885</v>
      </c>
      <c r="AZ71" s="161" t="str">
        <f t="shared" si="44"/>
        <v>N</v>
      </c>
      <c r="BA71" s="161" t="str">
        <f t="shared" si="45"/>
        <v>N</v>
      </c>
      <c r="BB71" s="161" t="str">
        <f t="shared" si="46"/>
        <v>N</v>
      </c>
      <c r="BC71" s="161" t="str">
        <f t="shared" si="47"/>
        <v>N</v>
      </c>
      <c r="BD71" s="161" t="str">
        <f t="shared" si="48"/>
        <v>N</v>
      </c>
      <c r="BE71" s="161" t="str">
        <f t="shared" si="49"/>
        <v>N</v>
      </c>
      <c r="BF71" s="161" t="str">
        <f t="shared" si="50"/>
        <v>N</v>
      </c>
      <c r="BG71" s="161" t="str">
        <f t="shared" si="51"/>
        <v>N</v>
      </c>
      <c r="BH71" s="161" t="str">
        <f t="shared" si="52"/>
        <v>N</v>
      </c>
      <c r="BI71" s="161" t="str">
        <f t="shared" si="53"/>
        <v>N</v>
      </c>
      <c r="BJ71" s="161" t="str">
        <f t="shared" si="54"/>
        <v>Y</v>
      </c>
      <c r="BK71" s="161" t="str">
        <f t="shared" si="55"/>
        <v>Y</v>
      </c>
      <c r="BL71" s="161" t="str">
        <f t="shared" si="56"/>
        <v>Y</v>
      </c>
      <c r="BM71" s="161" t="str">
        <f t="shared" si="57"/>
        <v>Y</v>
      </c>
      <c r="BN71" s="176" t="str">
        <f t="shared" si="58"/>
        <v>N</v>
      </c>
      <c r="BO71" s="179" t="s">
        <v>886</v>
      </c>
      <c r="BP71" s="183" t="str">
        <f t="shared" si="59"/>
        <v>深交所创业板</v>
      </c>
      <c r="BQ71" s="180" t="s">
        <v>317</v>
      </c>
      <c r="BR71" s="173">
        <f t="shared" si="60"/>
        <v>42004</v>
      </c>
      <c r="BS71" s="171" t="str">
        <f t="shared" si="61"/>
        <v>N</v>
      </c>
    </row>
    <row r="72" spans="1:163" s="7" customFormat="1" ht="15" customHeight="1" x14ac:dyDescent="0.25">
      <c r="A72" s="31">
        <v>229</v>
      </c>
      <c r="B72" s="32" t="s">
        <v>887</v>
      </c>
      <c r="C72" s="187" t="s">
        <v>888</v>
      </c>
      <c r="D72" s="56" t="s">
        <v>426</v>
      </c>
      <c r="E72" s="57" t="s">
        <v>889</v>
      </c>
      <c r="F72" s="52" t="s">
        <v>890</v>
      </c>
      <c r="G72" s="57" t="s">
        <v>315</v>
      </c>
      <c r="H72" s="41" t="s">
        <v>327</v>
      </c>
      <c r="I72" s="78">
        <v>44608</v>
      </c>
      <c r="J72" s="78">
        <v>44637</v>
      </c>
      <c r="K72" s="85">
        <v>44706</v>
      </c>
      <c r="L72" s="194" t="s">
        <v>891</v>
      </c>
      <c r="M72" s="99" t="s">
        <v>637</v>
      </c>
      <c r="N72" s="77">
        <v>6</v>
      </c>
      <c r="O72" s="69" t="str">
        <f t="shared" si="43"/>
        <v>5年以上</v>
      </c>
      <c r="P72" s="69" t="s">
        <v>892</v>
      </c>
      <c r="Q72" s="101" t="s">
        <v>893</v>
      </c>
      <c r="R72" s="199">
        <v>36909</v>
      </c>
      <c r="S72" s="102" t="s">
        <v>750</v>
      </c>
      <c r="T72" s="103" t="s">
        <v>317</v>
      </c>
      <c r="U72" s="69" t="str">
        <f t="shared" si="24"/>
        <v>Y</v>
      </c>
      <c r="V72" s="100" t="s">
        <v>361</v>
      </c>
      <c r="W72" s="200" t="s">
        <v>361</v>
      </c>
      <c r="X72" s="99" t="s">
        <v>320</v>
      </c>
      <c r="Y72" s="134">
        <v>150</v>
      </c>
      <c r="Z72" s="135"/>
      <c r="AA72" s="135"/>
      <c r="AB72" s="155"/>
      <c r="AC72" s="135"/>
      <c r="AD72" s="128"/>
      <c r="AE72" s="135"/>
      <c r="AF72" s="135"/>
      <c r="AG72" s="100"/>
      <c r="AH72" s="149"/>
      <c r="AI72" s="128"/>
      <c r="AJ72" s="135"/>
      <c r="AK72" s="135"/>
      <c r="AL72" s="155"/>
      <c r="AM72" s="135"/>
      <c r="AN72" s="159"/>
      <c r="AO72" s="135"/>
      <c r="AP72" s="135"/>
      <c r="AQ72" s="99"/>
      <c r="AR72" s="135"/>
      <c r="AS72" s="128"/>
      <c r="AT72" s="135">
        <v>517490.92</v>
      </c>
      <c r="AU72" s="135">
        <v>127110</v>
      </c>
      <c r="AV72" s="155">
        <v>2020</v>
      </c>
      <c r="AW72" s="135">
        <v>700684.24987399997</v>
      </c>
      <c r="AX72" s="128">
        <v>0.18140838761947001</v>
      </c>
      <c r="AY72" s="77" t="s">
        <v>894</v>
      </c>
      <c r="AZ72" s="161" t="str">
        <f t="shared" si="44"/>
        <v>N</v>
      </c>
      <c r="BA72" s="161" t="str">
        <f t="shared" si="45"/>
        <v>N</v>
      </c>
      <c r="BB72" s="161" t="str">
        <f t="shared" si="46"/>
        <v>N</v>
      </c>
      <c r="BC72" s="161" t="str">
        <f t="shared" si="47"/>
        <v>N</v>
      </c>
      <c r="BD72" s="161" t="str">
        <f t="shared" si="48"/>
        <v>N</v>
      </c>
      <c r="BE72" s="161" t="str">
        <f t="shared" si="49"/>
        <v>N</v>
      </c>
      <c r="BF72" s="161" t="str">
        <f t="shared" si="50"/>
        <v>N</v>
      </c>
      <c r="BG72" s="161" t="str">
        <f t="shared" si="51"/>
        <v>N</v>
      </c>
      <c r="BH72" s="161" t="str">
        <f t="shared" si="52"/>
        <v>N</v>
      </c>
      <c r="BI72" s="161" t="str">
        <f t="shared" si="53"/>
        <v>N</v>
      </c>
      <c r="BJ72" s="161" t="str">
        <f t="shared" si="54"/>
        <v>Y</v>
      </c>
      <c r="BK72" s="161" t="str">
        <f t="shared" si="55"/>
        <v>N</v>
      </c>
      <c r="BL72" s="161" t="str">
        <f t="shared" si="56"/>
        <v>Y</v>
      </c>
      <c r="BM72" s="161" t="str">
        <f t="shared" si="57"/>
        <v>N</v>
      </c>
      <c r="BN72" s="176" t="str">
        <f t="shared" si="58"/>
        <v>N</v>
      </c>
      <c r="BO72" s="182" t="s">
        <v>895</v>
      </c>
      <c r="BP72" s="183" t="str">
        <f t="shared" si="59"/>
        <v>上交所主板</v>
      </c>
      <c r="BQ72" s="181" t="s">
        <v>317</v>
      </c>
      <c r="BR72" s="173">
        <f t="shared" si="60"/>
        <v>37986</v>
      </c>
      <c r="BS72" s="171" t="str">
        <f t="shared" si="61"/>
        <v>N</v>
      </c>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row>
    <row r="73" spans="1:163" s="7" customFormat="1" ht="15" customHeight="1" x14ac:dyDescent="0.25">
      <c r="A73" s="31">
        <v>228</v>
      </c>
      <c r="B73" s="32" t="s">
        <v>896</v>
      </c>
      <c r="C73" s="187" t="s">
        <v>897</v>
      </c>
      <c r="D73" s="56" t="s">
        <v>313</v>
      </c>
      <c r="E73" s="57" t="s">
        <v>736</v>
      </c>
      <c r="F73" s="52" t="s">
        <v>898</v>
      </c>
      <c r="G73" s="57" t="s">
        <v>315</v>
      </c>
      <c r="H73" s="41" t="s">
        <v>327</v>
      </c>
      <c r="I73" s="78">
        <v>44390</v>
      </c>
      <c r="J73" s="78">
        <v>44610</v>
      </c>
      <c r="K73" s="85">
        <v>44645</v>
      </c>
      <c r="L73" s="193" t="s">
        <v>899</v>
      </c>
      <c r="M73" s="99" t="s">
        <v>594</v>
      </c>
      <c r="N73" s="77">
        <v>1.5</v>
      </c>
      <c r="O73" s="69" t="str">
        <f t="shared" si="43"/>
        <v>1-2年</v>
      </c>
      <c r="P73" s="69" t="s">
        <v>900</v>
      </c>
      <c r="Q73" s="101" t="s">
        <v>901</v>
      </c>
      <c r="R73" s="199" t="s">
        <v>902</v>
      </c>
      <c r="S73" s="102" t="s">
        <v>759</v>
      </c>
      <c r="T73" s="103" t="s">
        <v>317</v>
      </c>
      <c r="U73" s="69" t="str">
        <f t="shared" si="24"/>
        <v>Y</v>
      </c>
      <c r="V73" s="100" t="s">
        <v>333</v>
      </c>
      <c r="W73" s="200" t="s">
        <v>319</v>
      </c>
      <c r="X73" s="99" t="s">
        <v>320</v>
      </c>
      <c r="Y73" s="134">
        <v>150</v>
      </c>
      <c r="Z73" s="135"/>
      <c r="AA73" s="135"/>
      <c r="AB73" s="155"/>
      <c r="AC73" s="135"/>
      <c r="AD73" s="128"/>
      <c r="AE73" s="135">
        <v>5956.08</v>
      </c>
      <c r="AF73" s="135">
        <v>3890.72</v>
      </c>
      <c r="AG73" s="100">
        <v>2019</v>
      </c>
      <c r="AH73" s="149">
        <v>183081.83</v>
      </c>
      <c r="AI73" s="128">
        <v>2.1251262345367599E-2</v>
      </c>
      <c r="AJ73" s="135">
        <v>7968.08</v>
      </c>
      <c r="AK73" s="135">
        <v>5902.72</v>
      </c>
      <c r="AL73" s="155">
        <v>2019</v>
      </c>
      <c r="AM73" s="135">
        <v>5428.95</v>
      </c>
      <c r="AN73" s="159">
        <v>1.0872673353042499</v>
      </c>
      <c r="AO73" s="135"/>
      <c r="AP73" s="135"/>
      <c r="AQ73" s="99"/>
      <c r="AR73" s="135"/>
      <c r="AS73" s="128"/>
      <c r="AT73" s="135"/>
      <c r="AU73" s="135"/>
      <c r="AV73" s="155"/>
      <c r="AW73" s="135"/>
      <c r="AX73" s="128"/>
      <c r="AY73" s="77" t="s">
        <v>903</v>
      </c>
      <c r="AZ73" s="161" t="str">
        <f t="shared" si="44"/>
        <v>N</v>
      </c>
      <c r="BA73" s="161" t="str">
        <f t="shared" si="45"/>
        <v>N</v>
      </c>
      <c r="BB73" s="161" t="str">
        <f t="shared" si="46"/>
        <v>N</v>
      </c>
      <c r="BC73" s="161" t="str">
        <f t="shared" si="47"/>
        <v>N</v>
      </c>
      <c r="BD73" s="161" t="str">
        <f t="shared" si="48"/>
        <v>N</v>
      </c>
      <c r="BE73" s="161" t="str">
        <f t="shared" si="49"/>
        <v>Y</v>
      </c>
      <c r="BF73" s="161" t="str">
        <f t="shared" si="50"/>
        <v>Y</v>
      </c>
      <c r="BG73" s="161" t="str">
        <f t="shared" si="51"/>
        <v>N</v>
      </c>
      <c r="BH73" s="161" t="str">
        <f t="shared" si="52"/>
        <v>N</v>
      </c>
      <c r="BI73" s="161" t="str">
        <f t="shared" si="53"/>
        <v>N</v>
      </c>
      <c r="BJ73" s="161" t="str">
        <f t="shared" si="54"/>
        <v>N</v>
      </c>
      <c r="BK73" s="161" t="str">
        <f t="shared" si="55"/>
        <v>N</v>
      </c>
      <c r="BL73" s="161" t="str">
        <f t="shared" si="56"/>
        <v>N</v>
      </c>
      <c r="BM73" s="161" t="str">
        <f t="shared" si="57"/>
        <v>Y</v>
      </c>
      <c r="BN73" s="176" t="str">
        <f t="shared" si="58"/>
        <v>Y</v>
      </c>
      <c r="BO73" s="182" t="s">
        <v>833</v>
      </c>
      <c r="BP73" s="183" t="str">
        <f t="shared" si="59"/>
        <v>深交所主板</v>
      </c>
      <c r="BQ73" s="181" t="s">
        <v>317</v>
      </c>
      <c r="BR73" s="173">
        <f t="shared" si="60"/>
        <v>41639</v>
      </c>
      <c r="BS73" s="171" t="str">
        <f t="shared" si="61"/>
        <v>N</v>
      </c>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row>
    <row r="74" spans="1:163" s="7" customFormat="1" ht="15" customHeight="1" x14ac:dyDescent="0.25">
      <c r="A74" s="31">
        <v>227</v>
      </c>
      <c r="B74" s="32" t="s">
        <v>521</v>
      </c>
      <c r="C74" s="188" t="s">
        <v>904</v>
      </c>
      <c r="D74" s="56" t="s">
        <v>351</v>
      </c>
      <c r="E74" s="57" t="s">
        <v>512</v>
      </c>
      <c r="F74" s="52" t="s">
        <v>523</v>
      </c>
      <c r="G74" s="57" t="s">
        <v>315</v>
      </c>
      <c r="H74" s="41" t="s">
        <v>327</v>
      </c>
      <c r="I74" s="78">
        <v>44383</v>
      </c>
      <c r="J74" s="78">
        <v>44566</v>
      </c>
      <c r="K74" s="85">
        <v>44649</v>
      </c>
      <c r="L74" s="193" t="s">
        <v>905</v>
      </c>
      <c r="M74" s="99">
        <v>2018</v>
      </c>
      <c r="N74" s="77">
        <v>0.5</v>
      </c>
      <c r="O74" s="69" t="str">
        <f t="shared" si="43"/>
        <v>1年以内</v>
      </c>
      <c r="P74" s="69" t="s">
        <v>906</v>
      </c>
      <c r="Q74" s="101" t="s">
        <v>371</v>
      </c>
      <c r="R74" s="199" t="s">
        <v>907</v>
      </c>
      <c r="S74" s="102" t="s">
        <v>628</v>
      </c>
      <c r="T74" s="103" t="s">
        <v>317</v>
      </c>
      <c r="U74" s="69" t="str">
        <f t="shared" si="24"/>
        <v>N</v>
      </c>
      <c r="V74" s="100" t="s">
        <v>318</v>
      </c>
      <c r="W74" s="200" t="s">
        <v>346</v>
      </c>
      <c r="X74" s="99" t="s">
        <v>320</v>
      </c>
      <c r="Y74" s="134">
        <v>35</v>
      </c>
      <c r="Z74" s="135"/>
      <c r="AA74" s="135"/>
      <c r="AB74" s="155"/>
      <c r="AC74" s="135"/>
      <c r="AD74" s="128"/>
      <c r="AE74" s="135">
        <v>3893.59</v>
      </c>
      <c r="AF74" s="135">
        <v>3893.59</v>
      </c>
      <c r="AG74" s="100">
        <v>2018</v>
      </c>
      <c r="AH74" s="149">
        <v>8256.39</v>
      </c>
      <c r="AI74" s="128">
        <v>0.471585038981928</v>
      </c>
      <c r="AJ74" s="135">
        <v>1697.74</v>
      </c>
      <c r="AK74" s="135">
        <v>1697.74</v>
      </c>
      <c r="AL74" s="155">
        <v>2018</v>
      </c>
      <c r="AM74" s="135">
        <v>-55658.32</v>
      </c>
      <c r="AN74" s="159">
        <v>-3.0502896961316799E-2</v>
      </c>
      <c r="AO74" s="135"/>
      <c r="AP74" s="135"/>
      <c r="AQ74" s="99"/>
      <c r="AR74" s="135"/>
      <c r="AS74" s="128"/>
      <c r="AT74" s="135"/>
      <c r="AU74" s="135"/>
      <c r="AV74" s="155"/>
      <c r="AW74" s="135"/>
      <c r="AX74" s="128"/>
      <c r="AY74" s="77" t="s">
        <v>908</v>
      </c>
      <c r="AZ74" s="161" t="str">
        <f t="shared" si="44"/>
        <v>N</v>
      </c>
      <c r="BA74" s="161" t="str">
        <f t="shared" si="45"/>
        <v>N</v>
      </c>
      <c r="BB74" s="161" t="str">
        <f t="shared" si="46"/>
        <v>N</v>
      </c>
      <c r="BC74" s="161" t="str">
        <f t="shared" si="47"/>
        <v>N</v>
      </c>
      <c r="BD74" s="161" t="str">
        <f t="shared" si="48"/>
        <v>N</v>
      </c>
      <c r="BE74" s="161" t="str">
        <f t="shared" si="49"/>
        <v>N</v>
      </c>
      <c r="BF74" s="161" t="str">
        <f t="shared" si="50"/>
        <v>N</v>
      </c>
      <c r="BG74" s="161" t="str">
        <f t="shared" si="51"/>
        <v>N</v>
      </c>
      <c r="BH74" s="161" t="str">
        <f t="shared" si="52"/>
        <v>N</v>
      </c>
      <c r="BI74" s="161" t="str">
        <f t="shared" si="53"/>
        <v>N</v>
      </c>
      <c r="BJ74" s="161" t="str">
        <f t="shared" si="54"/>
        <v>N</v>
      </c>
      <c r="BK74" s="161" t="str">
        <f t="shared" si="55"/>
        <v>N</v>
      </c>
      <c r="BL74" s="161" t="str">
        <f t="shared" si="56"/>
        <v>N</v>
      </c>
      <c r="BM74" s="161" t="str">
        <f t="shared" si="57"/>
        <v>N</v>
      </c>
      <c r="BN74" s="176" t="str">
        <f t="shared" si="58"/>
        <v>N</v>
      </c>
      <c r="BO74" s="182" t="s">
        <v>527</v>
      </c>
      <c r="BP74" s="183" t="str">
        <f t="shared" si="59"/>
        <v>深交所主板</v>
      </c>
      <c r="BQ74" s="181" t="s">
        <v>317</v>
      </c>
      <c r="BR74" s="173">
        <f t="shared" si="60"/>
        <v>41274</v>
      </c>
      <c r="BS74" s="171" t="str">
        <f t="shared" si="61"/>
        <v>N</v>
      </c>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row>
    <row r="75" spans="1:163" s="7" customFormat="1" ht="15" customHeight="1" x14ac:dyDescent="0.25">
      <c r="A75" s="31">
        <v>226</v>
      </c>
      <c r="B75" s="32" t="s">
        <v>909</v>
      </c>
      <c r="C75" s="187" t="s">
        <v>910</v>
      </c>
      <c r="D75" s="56" t="s">
        <v>351</v>
      </c>
      <c r="E75" s="52" t="s">
        <v>476</v>
      </c>
      <c r="F75" s="52" t="s">
        <v>911</v>
      </c>
      <c r="G75" s="57" t="s">
        <v>315</v>
      </c>
      <c r="H75" s="41" t="s">
        <v>368</v>
      </c>
      <c r="I75" s="78">
        <v>44527</v>
      </c>
      <c r="J75" s="78">
        <v>44561</v>
      </c>
      <c r="K75" s="85">
        <v>44672</v>
      </c>
      <c r="L75" s="194" t="s">
        <v>912</v>
      </c>
      <c r="M75" s="99" t="s">
        <v>341</v>
      </c>
      <c r="N75" s="77">
        <v>2.5</v>
      </c>
      <c r="O75" s="69" t="str">
        <f t="shared" si="43"/>
        <v>2-3年</v>
      </c>
      <c r="P75" s="69" t="s">
        <v>913</v>
      </c>
      <c r="Q75" s="101" t="s">
        <v>371</v>
      </c>
      <c r="R75" s="199">
        <v>43208</v>
      </c>
      <c r="S75" s="102" t="s">
        <v>707</v>
      </c>
      <c r="T75" s="103" t="s">
        <v>345</v>
      </c>
      <c r="U75" s="69" t="str">
        <f t="shared" si="24"/>
        <v>N</v>
      </c>
      <c r="V75" s="100" t="s">
        <v>361</v>
      </c>
      <c r="W75" s="200" t="s">
        <v>361</v>
      </c>
      <c r="X75" s="99" t="s">
        <v>320</v>
      </c>
      <c r="Y75" s="134">
        <v>150</v>
      </c>
      <c r="Z75" s="135"/>
      <c r="AA75" s="135"/>
      <c r="AB75" s="155"/>
      <c r="AC75" s="135"/>
      <c r="AD75" s="128"/>
      <c r="AE75" s="135"/>
      <c r="AF75" s="135"/>
      <c r="AG75" s="100"/>
      <c r="AH75" s="149"/>
      <c r="AI75" s="128"/>
      <c r="AJ75" s="135"/>
      <c r="AK75" s="135"/>
      <c r="AL75" s="155"/>
      <c r="AM75" s="135"/>
      <c r="AN75" s="159"/>
      <c r="AO75" s="135"/>
      <c r="AP75" s="135"/>
      <c r="AQ75" s="99"/>
      <c r="AR75" s="135"/>
      <c r="AS75" s="128"/>
      <c r="AT75" s="135">
        <v>20000</v>
      </c>
      <c r="AU75" s="135">
        <v>10000</v>
      </c>
      <c r="AV75" s="155">
        <v>2019</v>
      </c>
      <c r="AW75" s="135">
        <v>389109.73259999999</v>
      </c>
      <c r="AX75" s="128">
        <v>2.5699691275211201E-2</v>
      </c>
      <c r="AY75" s="77" t="s">
        <v>914</v>
      </c>
      <c r="AZ75" s="161" t="str">
        <f t="shared" si="44"/>
        <v>N</v>
      </c>
      <c r="BA75" s="161" t="str">
        <f t="shared" si="45"/>
        <v>N</v>
      </c>
      <c r="BB75" s="161" t="str">
        <f t="shared" si="46"/>
        <v>N</v>
      </c>
      <c r="BC75" s="161" t="str">
        <f t="shared" si="47"/>
        <v>N</v>
      </c>
      <c r="BD75" s="161" t="str">
        <f t="shared" si="48"/>
        <v>N</v>
      </c>
      <c r="BE75" s="161" t="str">
        <f t="shared" si="49"/>
        <v>N</v>
      </c>
      <c r="BF75" s="161" t="str">
        <f t="shared" si="50"/>
        <v>N</v>
      </c>
      <c r="BG75" s="161" t="str">
        <f t="shared" si="51"/>
        <v>N</v>
      </c>
      <c r="BH75" s="161" t="str">
        <f t="shared" si="52"/>
        <v>N</v>
      </c>
      <c r="BI75" s="161" t="str">
        <f t="shared" si="53"/>
        <v>N</v>
      </c>
      <c r="BJ75" s="161" t="str">
        <f t="shared" si="54"/>
        <v>N</v>
      </c>
      <c r="BK75" s="161" t="str">
        <f t="shared" si="55"/>
        <v>N</v>
      </c>
      <c r="BL75" s="161" t="str">
        <f t="shared" si="56"/>
        <v>N</v>
      </c>
      <c r="BM75" s="161" t="str">
        <f t="shared" si="57"/>
        <v>N</v>
      </c>
      <c r="BN75" s="176" t="str">
        <f t="shared" si="58"/>
        <v>N</v>
      </c>
      <c r="BO75" s="182" t="s">
        <v>423</v>
      </c>
      <c r="BP75" s="183" t="str">
        <f t="shared" si="59"/>
        <v>上交所主板</v>
      </c>
      <c r="BQ75" s="181" t="s">
        <v>317</v>
      </c>
      <c r="BR75" s="173">
        <f t="shared" si="60"/>
        <v>44196</v>
      </c>
      <c r="BS75" s="171" t="str">
        <f t="shared" si="61"/>
        <v>Y</v>
      </c>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row>
    <row r="76" spans="1:163" s="7" customFormat="1" ht="15" customHeight="1" x14ac:dyDescent="0.25">
      <c r="A76" s="31">
        <v>225</v>
      </c>
      <c r="B76" s="32" t="s">
        <v>915</v>
      </c>
      <c r="C76" s="187" t="s">
        <v>916</v>
      </c>
      <c r="D76" s="56" t="s">
        <v>313</v>
      </c>
      <c r="E76" s="57" t="s">
        <v>917</v>
      </c>
      <c r="F76" s="52" t="s">
        <v>918</v>
      </c>
      <c r="G76" s="57" t="s">
        <v>315</v>
      </c>
      <c r="H76" s="41" t="s">
        <v>368</v>
      </c>
      <c r="I76" s="78">
        <v>43658</v>
      </c>
      <c r="J76" s="78">
        <v>44547</v>
      </c>
      <c r="K76" s="85">
        <v>44601</v>
      </c>
      <c r="L76" s="79" t="s">
        <v>919</v>
      </c>
      <c r="M76" s="99" t="s">
        <v>804</v>
      </c>
      <c r="N76" s="77">
        <v>3</v>
      </c>
      <c r="O76" s="69" t="str">
        <f t="shared" si="43"/>
        <v>3-5年</v>
      </c>
      <c r="P76" s="69" t="s">
        <v>805</v>
      </c>
      <c r="Q76" s="101" t="s">
        <v>920</v>
      </c>
      <c r="R76" s="199">
        <v>40696</v>
      </c>
      <c r="S76" s="102" t="s">
        <v>397</v>
      </c>
      <c r="T76" s="103" t="s">
        <v>345</v>
      </c>
      <c r="U76" s="69" t="str">
        <f t="shared" si="24"/>
        <v>N</v>
      </c>
      <c r="V76" s="100" t="s">
        <v>607</v>
      </c>
      <c r="W76" s="200" t="s">
        <v>361</v>
      </c>
      <c r="X76" s="99" t="s">
        <v>334</v>
      </c>
      <c r="Y76" s="134">
        <v>60</v>
      </c>
      <c r="Z76" s="135"/>
      <c r="AA76" s="135"/>
      <c r="AB76" s="155"/>
      <c r="AC76" s="135"/>
      <c r="AD76" s="128"/>
      <c r="AE76" s="135"/>
      <c r="AF76" s="135"/>
      <c r="AG76" s="100"/>
      <c r="AH76" s="149"/>
      <c r="AI76" s="128"/>
      <c r="AJ76" s="135"/>
      <c r="AK76" s="135"/>
      <c r="AL76" s="155"/>
      <c r="AM76" s="135"/>
      <c r="AN76" s="159"/>
      <c r="AO76" s="135"/>
      <c r="AP76" s="135"/>
      <c r="AQ76" s="99"/>
      <c r="AR76" s="135"/>
      <c r="AS76" s="128"/>
      <c r="AT76" s="135">
        <v>34635</v>
      </c>
      <c r="AU76" s="135">
        <v>22085</v>
      </c>
      <c r="AV76" s="155">
        <v>2018</v>
      </c>
      <c r="AW76" s="135">
        <v>54689.93</v>
      </c>
      <c r="AX76" s="128">
        <f>AU76/AW76</f>
        <v>0.40382205645536573</v>
      </c>
      <c r="AY76" s="77" t="s">
        <v>921</v>
      </c>
      <c r="AZ76" s="161" t="str">
        <f t="shared" si="44"/>
        <v>N</v>
      </c>
      <c r="BA76" s="161" t="str">
        <f t="shared" si="45"/>
        <v>N</v>
      </c>
      <c r="BB76" s="161" t="str">
        <f t="shared" si="46"/>
        <v>N</v>
      </c>
      <c r="BC76" s="161" t="str">
        <f t="shared" si="47"/>
        <v>N</v>
      </c>
      <c r="BD76" s="161" t="str">
        <f t="shared" si="48"/>
        <v>N</v>
      </c>
      <c r="BE76" s="161" t="str">
        <f t="shared" si="49"/>
        <v>N</v>
      </c>
      <c r="BF76" s="161" t="str">
        <f t="shared" si="50"/>
        <v>N</v>
      </c>
      <c r="BG76" s="161" t="str">
        <f t="shared" si="51"/>
        <v>N</v>
      </c>
      <c r="BH76" s="161" t="str">
        <f t="shared" si="52"/>
        <v>N</v>
      </c>
      <c r="BI76" s="161" t="str">
        <f t="shared" si="53"/>
        <v>N</v>
      </c>
      <c r="BJ76" s="161" t="str">
        <f t="shared" si="54"/>
        <v>N</v>
      </c>
      <c r="BK76" s="161" t="str">
        <f t="shared" si="55"/>
        <v>N</v>
      </c>
      <c r="BL76" s="161" t="str">
        <f t="shared" si="56"/>
        <v>N</v>
      </c>
      <c r="BM76" s="161" t="str">
        <f t="shared" si="57"/>
        <v>N</v>
      </c>
      <c r="BN76" s="176" t="str">
        <f t="shared" si="58"/>
        <v>N</v>
      </c>
      <c r="BO76" s="182" t="s">
        <v>922</v>
      </c>
      <c r="BP76" s="183" t="str">
        <f t="shared" si="59"/>
        <v>深交所主板</v>
      </c>
      <c r="BQ76" s="181" t="s">
        <v>317</v>
      </c>
      <c r="BR76" s="173">
        <f t="shared" si="60"/>
        <v>41639</v>
      </c>
      <c r="BS76" s="171" t="str">
        <f t="shared" si="61"/>
        <v>N</v>
      </c>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row>
    <row r="77" spans="1:163" s="7" customFormat="1" ht="15" customHeight="1" x14ac:dyDescent="0.25">
      <c r="A77" s="31">
        <v>224</v>
      </c>
      <c r="B77" s="32" t="s">
        <v>923</v>
      </c>
      <c r="C77" s="187" t="s">
        <v>924</v>
      </c>
      <c r="D77" s="56" t="s">
        <v>574</v>
      </c>
      <c r="E77" s="57" t="s">
        <v>575</v>
      </c>
      <c r="F77" s="52" t="s">
        <v>925</v>
      </c>
      <c r="G77" s="57" t="s">
        <v>315</v>
      </c>
      <c r="H77" s="41" t="s">
        <v>327</v>
      </c>
      <c r="I77" s="78">
        <v>44221</v>
      </c>
      <c r="J77" s="78">
        <v>44545</v>
      </c>
      <c r="K77" s="85">
        <v>44776</v>
      </c>
      <c r="L77" s="79" t="s">
        <v>926</v>
      </c>
      <c r="M77" s="77">
        <v>2017</v>
      </c>
      <c r="N77" s="77">
        <v>1</v>
      </c>
      <c r="O77" s="69" t="str">
        <f t="shared" si="43"/>
        <v>1-2年</v>
      </c>
      <c r="P77" s="69" t="s">
        <v>357</v>
      </c>
      <c r="Q77" s="45" t="s">
        <v>454</v>
      </c>
      <c r="R77" s="199">
        <v>40116</v>
      </c>
      <c r="S77" s="55" t="s">
        <v>619</v>
      </c>
      <c r="T77" s="160" t="s">
        <v>345</v>
      </c>
      <c r="U77" s="69" t="str">
        <f t="shared" si="24"/>
        <v>Y</v>
      </c>
      <c r="V77" s="56" t="s">
        <v>333</v>
      </c>
      <c r="W77" s="99" t="s">
        <v>346</v>
      </c>
      <c r="X77" s="99" t="s">
        <v>320</v>
      </c>
      <c r="Y77" s="134">
        <v>40</v>
      </c>
      <c r="Z77" s="135"/>
      <c r="AA77" s="135"/>
      <c r="AB77" s="155"/>
      <c r="AC77" s="135"/>
      <c r="AD77" s="128"/>
      <c r="AE77" s="135">
        <v>6144.32</v>
      </c>
      <c r="AF77" s="135">
        <v>6144.32</v>
      </c>
      <c r="AG77" s="100">
        <v>2017</v>
      </c>
      <c r="AH77" s="149">
        <v>102862.73</v>
      </c>
      <c r="AI77" s="128">
        <f>AF77/AH77</f>
        <v>5.9733199770218036E-2</v>
      </c>
      <c r="AJ77" s="135" t="s">
        <v>927</v>
      </c>
      <c r="AK77" s="135">
        <v>3946.44</v>
      </c>
      <c r="AL77" s="155">
        <v>2017</v>
      </c>
      <c r="AM77" s="135">
        <v>21728.41</v>
      </c>
      <c r="AN77" s="128">
        <f>AK77/AM77</f>
        <v>0.18162580695043953</v>
      </c>
      <c r="AO77" s="135"/>
      <c r="AP77" s="135"/>
      <c r="AQ77" s="56"/>
      <c r="AR77" s="135"/>
      <c r="AS77" s="128"/>
      <c r="AT77" s="135"/>
      <c r="AU77" s="135"/>
      <c r="AV77" s="155"/>
      <c r="AW77" s="135"/>
      <c r="AX77" s="128"/>
      <c r="AY77" s="68" t="s">
        <v>928</v>
      </c>
      <c r="AZ77" s="161" t="str">
        <f t="shared" si="44"/>
        <v>N</v>
      </c>
      <c r="BA77" s="161" t="str">
        <f t="shared" si="45"/>
        <v>N</v>
      </c>
      <c r="BB77" s="161" t="str">
        <f t="shared" si="46"/>
        <v>N</v>
      </c>
      <c r="BC77" s="161" t="str">
        <f t="shared" si="47"/>
        <v>N</v>
      </c>
      <c r="BD77" s="161" t="str">
        <f t="shared" si="48"/>
        <v>Y</v>
      </c>
      <c r="BE77" s="161" t="str">
        <f t="shared" si="49"/>
        <v>N</v>
      </c>
      <c r="BF77" s="161" t="str">
        <f t="shared" si="50"/>
        <v>N</v>
      </c>
      <c r="BG77" s="161" t="str">
        <f t="shared" si="51"/>
        <v>N</v>
      </c>
      <c r="BH77" s="161" t="str">
        <f t="shared" si="52"/>
        <v>N</v>
      </c>
      <c r="BI77" s="161" t="str">
        <f t="shared" si="53"/>
        <v>N</v>
      </c>
      <c r="BJ77" s="161" t="str">
        <f t="shared" si="54"/>
        <v>N</v>
      </c>
      <c r="BK77" s="161" t="str">
        <f t="shared" si="55"/>
        <v>N</v>
      </c>
      <c r="BL77" s="161" t="str">
        <f t="shared" si="56"/>
        <v>Y</v>
      </c>
      <c r="BM77" s="161" t="str">
        <f t="shared" si="57"/>
        <v>N</v>
      </c>
      <c r="BN77" s="176" t="str">
        <f t="shared" si="58"/>
        <v>N</v>
      </c>
      <c r="BO77" s="182" t="s">
        <v>929</v>
      </c>
      <c r="BP77" s="183" t="str">
        <f t="shared" si="59"/>
        <v>深交所创业板</v>
      </c>
      <c r="BQ77" s="181" t="s">
        <v>317</v>
      </c>
      <c r="BR77" s="173">
        <f t="shared" si="60"/>
        <v>41274</v>
      </c>
      <c r="BS77" s="171" t="str">
        <f t="shared" si="61"/>
        <v>N</v>
      </c>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row>
    <row r="78" spans="1:163" s="7" customFormat="1" ht="15" customHeight="1" x14ac:dyDescent="0.25">
      <c r="A78" s="31">
        <v>223</v>
      </c>
      <c r="B78" s="32" t="s">
        <v>930</v>
      </c>
      <c r="C78" s="187" t="s">
        <v>931</v>
      </c>
      <c r="D78" s="56" t="s">
        <v>574</v>
      </c>
      <c r="E78" s="57" t="s">
        <v>575</v>
      </c>
      <c r="F78" s="52" t="s">
        <v>932</v>
      </c>
      <c r="G78" s="57" t="s">
        <v>315</v>
      </c>
      <c r="H78" s="41" t="s">
        <v>368</v>
      </c>
      <c r="I78" s="78">
        <v>44509</v>
      </c>
      <c r="J78" s="78">
        <v>44540</v>
      </c>
      <c r="K78" s="85">
        <v>44553</v>
      </c>
      <c r="L78" s="194" t="s">
        <v>933</v>
      </c>
      <c r="M78" s="77">
        <v>2018</v>
      </c>
      <c r="N78" s="77">
        <v>1</v>
      </c>
      <c r="O78" s="69" t="str">
        <f t="shared" si="43"/>
        <v>1-2年</v>
      </c>
      <c r="P78" s="69" t="s">
        <v>382</v>
      </c>
      <c r="Q78" s="45" t="s">
        <v>396</v>
      </c>
      <c r="R78" s="199">
        <v>41838</v>
      </c>
      <c r="S78" s="55" t="s">
        <v>555</v>
      </c>
      <c r="T78" s="160" t="s">
        <v>317</v>
      </c>
      <c r="U78" s="69" t="str">
        <f t="shared" si="24"/>
        <v>N</v>
      </c>
      <c r="V78" s="56" t="s">
        <v>318</v>
      </c>
      <c r="W78" s="99" t="s">
        <v>346</v>
      </c>
      <c r="X78" s="99" t="s">
        <v>320</v>
      </c>
      <c r="Y78" s="134">
        <v>30</v>
      </c>
      <c r="Z78" s="135"/>
      <c r="AA78" s="135"/>
      <c r="AB78" s="155"/>
      <c r="AC78" s="135"/>
      <c r="AD78" s="128"/>
      <c r="AE78" s="135"/>
      <c r="AF78" s="135"/>
      <c r="AG78" s="100"/>
      <c r="AH78" s="149"/>
      <c r="AI78" s="128"/>
      <c r="AJ78" s="135">
        <v>1277.3599999999999</v>
      </c>
      <c r="AK78" s="135">
        <v>1277.3599999999999</v>
      </c>
      <c r="AL78" s="155">
        <v>2018</v>
      </c>
      <c r="AM78" s="135">
        <v>5405.62</v>
      </c>
      <c r="AN78" s="128">
        <f>AK78/AM78</f>
        <v>0.23630221880191354</v>
      </c>
      <c r="AO78" s="135"/>
      <c r="AP78" s="135"/>
      <c r="AQ78" s="56"/>
      <c r="AR78" s="135"/>
      <c r="AS78" s="128"/>
      <c r="AT78" s="135"/>
      <c r="AU78" s="135"/>
      <c r="AV78" s="155"/>
      <c r="AW78" s="135"/>
      <c r="AX78" s="128"/>
      <c r="AY78" s="68" t="s">
        <v>934</v>
      </c>
      <c r="AZ78" s="161" t="str">
        <f t="shared" si="44"/>
        <v>N</v>
      </c>
      <c r="BA78" s="161" t="str">
        <f t="shared" si="45"/>
        <v>N</v>
      </c>
      <c r="BB78" s="161" t="str">
        <f t="shared" si="46"/>
        <v>N</v>
      </c>
      <c r="BC78" s="161" t="str">
        <f t="shared" si="47"/>
        <v>N</v>
      </c>
      <c r="BD78" s="161" t="str">
        <f t="shared" si="48"/>
        <v>N</v>
      </c>
      <c r="BE78" s="161" t="str">
        <f t="shared" si="49"/>
        <v>N</v>
      </c>
      <c r="BF78" s="161" t="str">
        <f t="shared" si="50"/>
        <v>N</v>
      </c>
      <c r="BG78" s="161" t="str">
        <f t="shared" si="51"/>
        <v>N</v>
      </c>
      <c r="BH78" s="161" t="str">
        <f t="shared" si="52"/>
        <v>N</v>
      </c>
      <c r="BI78" s="161" t="str">
        <f t="shared" si="53"/>
        <v>N</v>
      </c>
      <c r="BJ78" s="161" t="str">
        <f t="shared" si="54"/>
        <v>N</v>
      </c>
      <c r="BK78" s="161" t="str">
        <f t="shared" si="55"/>
        <v>N</v>
      </c>
      <c r="BL78" s="161" t="str">
        <f t="shared" si="56"/>
        <v>N</v>
      </c>
      <c r="BM78" s="161" t="str">
        <f t="shared" si="57"/>
        <v>N</v>
      </c>
      <c r="BN78" s="176" t="str">
        <f t="shared" si="58"/>
        <v>N</v>
      </c>
      <c r="BO78" s="182" t="s">
        <v>374</v>
      </c>
      <c r="BP78" s="183" t="str">
        <f t="shared" si="59"/>
        <v>上交所主板</v>
      </c>
      <c r="BQ78" s="181" t="s">
        <v>317</v>
      </c>
      <c r="BR78" s="173">
        <f t="shared" si="60"/>
        <v>42735</v>
      </c>
      <c r="BS78" s="171" t="str">
        <f t="shared" si="61"/>
        <v>N</v>
      </c>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row>
    <row r="79" spans="1:163" s="7" customFormat="1" ht="15" customHeight="1" x14ac:dyDescent="0.25">
      <c r="A79" s="31">
        <v>222</v>
      </c>
      <c r="B79" s="32" t="s">
        <v>887</v>
      </c>
      <c r="C79" s="187" t="s">
        <v>935</v>
      </c>
      <c r="D79" s="56" t="s">
        <v>426</v>
      </c>
      <c r="E79" s="57" t="s">
        <v>646</v>
      </c>
      <c r="F79" s="52" t="s">
        <v>890</v>
      </c>
      <c r="G79" s="57" t="s">
        <v>315</v>
      </c>
      <c r="H79" s="41" t="s">
        <v>368</v>
      </c>
      <c r="I79" s="78">
        <v>44372</v>
      </c>
      <c r="J79" s="78">
        <v>44537</v>
      </c>
      <c r="K79" s="85">
        <v>44553</v>
      </c>
      <c r="L79" s="194" t="s">
        <v>936</v>
      </c>
      <c r="M79" s="77" t="s">
        <v>637</v>
      </c>
      <c r="N79" s="77">
        <v>6</v>
      </c>
      <c r="O79" s="69" t="str">
        <f t="shared" si="43"/>
        <v>5年以上</v>
      </c>
      <c r="P79" s="69" t="s">
        <v>937</v>
      </c>
      <c r="Q79" s="45" t="s">
        <v>938</v>
      </c>
      <c r="R79" s="199">
        <v>36909</v>
      </c>
      <c r="S79" s="55" t="s">
        <v>750</v>
      </c>
      <c r="T79" s="160" t="s">
        <v>317</v>
      </c>
      <c r="U79" s="69" t="str">
        <f t="shared" si="24"/>
        <v>Y</v>
      </c>
      <c r="V79" s="56" t="s">
        <v>361</v>
      </c>
      <c r="W79" s="99" t="s">
        <v>361</v>
      </c>
      <c r="X79" s="99" t="s">
        <v>312</v>
      </c>
      <c r="Y79" s="134">
        <v>0</v>
      </c>
      <c r="Z79" s="135"/>
      <c r="AA79" s="135"/>
      <c r="AB79" s="155"/>
      <c r="AC79" s="135"/>
      <c r="AD79" s="128"/>
      <c r="AE79" s="135"/>
      <c r="AF79" s="135"/>
      <c r="AG79" s="100"/>
      <c r="AH79" s="149"/>
      <c r="AI79" s="128"/>
      <c r="AJ79" s="135"/>
      <c r="AK79" s="135"/>
      <c r="AL79" s="155"/>
      <c r="AM79" s="135"/>
      <c r="AN79" s="128"/>
      <c r="AO79" s="135"/>
      <c r="AP79" s="135"/>
      <c r="AQ79" s="56"/>
      <c r="AR79" s="135"/>
      <c r="AS79" s="128"/>
      <c r="AT79" s="135">
        <f>42207.6+99252.9+116033.25+126786.34+127110+6100.8</f>
        <v>517490.88999999996</v>
      </c>
      <c r="AU79" s="135">
        <v>127110</v>
      </c>
      <c r="AV79" s="155">
        <v>2020</v>
      </c>
      <c r="AW79" s="135">
        <v>704905.27</v>
      </c>
      <c r="AX79" s="128">
        <f>AU79/AW79</f>
        <v>0.18032210200386217</v>
      </c>
      <c r="AY79" s="68" t="s">
        <v>939</v>
      </c>
      <c r="AZ79" s="161" t="str">
        <f t="shared" si="44"/>
        <v>N</v>
      </c>
      <c r="BA79" s="161" t="str">
        <f t="shared" si="45"/>
        <v>N</v>
      </c>
      <c r="BB79" s="161" t="str">
        <f t="shared" si="46"/>
        <v>N</v>
      </c>
      <c r="BC79" s="161" t="str">
        <f t="shared" si="47"/>
        <v>N</v>
      </c>
      <c r="BD79" s="161" t="str">
        <f t="shared" si="48"/>
        <v>N</v>
      </c>
      <c r="BE79" s="161" t="str">
        <f t="shared" si="49"/>
        <v>N</v>
      </c>
      <c r="BF79" s="161" t="str">
        <f t="shared" si="50"/>
        <v>N</v>
      </c>
      <c r="BG79" s="161" t="str">
        <f t="shared" si="51"/>
        <v>N</v>
      </c>
      <c r="BH79" s="161" t="str">
        <f t="shared" si="52"/>
        <v>N</v>
      </c>
      <c r="BI79" s="161" t="str">
        <f t="shared" si="53"/>
        <v>N</v>
      </c>
      <c r="BJ79" s="161" t="str">
        <f t="shared" si="54"/>
        <v>Y</v>
      </c>
      <c r="BK79" s="161" t="str">
        <f t="shared" si="55"/>
        <v>N</v>
      </c>
      <c r="BL79" s="161" t="str">
        <f t="shared" si="56"/>
        <v>Y</v>
      </c>
      <c r="BM79" s="161" t="str">
        <f t="shared" si="57"/>
        <v>N</v>
      </c>
      <c r="BN79" s="176" t="str">
        <f t="shared" si="58"/>
        <v>N</v>
      </c>
      <c r="BO79" s="182" t="s">
        <v>895</v>
      </c>
      <c r="BP79" s="183" t="str">
        <f t="shared" si="59"/>
        <v>上交所主板</v>
      </c>
      <c r="BQ79" s="181" t="s">
        <v>317</v>
      </c>
      <c r="BR79" s="173">
        <f t="shared" si="60"/>
        <v>37986</v>
      </c>
      <c r="BS79" s="171" t="str">
        <f t="shared" si="61"/>
        <v>N</v>
      </c>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row>
    <row r="80" spans="1:163" s="7" customFormat="1" ht="15" customHeight="1" x14ac:dyDescent="0.25">
      <c r="A80" s="31">
        <v>221</v>
      </c>
      <c r="B80" s="32" t="s">
        <v>940</v>
      </c>
      <c r="C80" s="187" t="s">
        <v>941</v>
      </c>
      <c r="D80" s="56" t="s">
        <v>565</v>
      </c>
      <c r="E80" s="57" t="s">
        <v>942</v>
      </c>
      <c r="F80" s="52" t="s">
        <v>943</v>
      </c>
      <c r="G80" s="57" t="s">
        <v>315</v>
      </c>
      <c r="H80" s="41" t="s">
        <v>602</v>
      </c>
      <c r="I80" s="78">
        <v>43591</v>
      </c>
      <c r="J80" s="78">
        <v>44536</v>
      </c>
      <c r="K80" s="85">
        <v>44680</v>
      </c>
      <c r="L80" s="194" t="s">
        <v>944</v>
      </c>
      <c r="M80" s="77" t="s">
        <v>679</v>
      </c>
      <c r="N80" s="77">
        <v>3</v>
      </c>
      <c r="O80" s="69" t="str">
        <f t="shared" ref="O80:O111" si="62">IF(N80&lt;1,"1年以内",IF(N80&lt;2,"1-2年",IF(N80&lt;3,"2-3年",IF(N80&lt;5,"3-5年","5年以上"))))</f>
        <v>3-5年</v>
      </c>
      <c r="P80" s="69" t="s">
        <v>945</v>
      </c>
      <c r="Q80" s="45" t="s">
        <v>946</v>
      </c>
      <c r="R80" s="199">
        <v>39121</v>
      </c>
      <c r="S80" s="55" t="s">
        <v>822</v>
      </c>
      <c r="T80" s="160" t="s">
        <v>317</v>
      </c>
      <c r="U80" s="69" t="str">
        <f t="shared" ref="U80:U143" si="63">IF(OR(BL80="Y",BM80="Y",BN80="Y"),"Y","N")</f>
        <v>N</v>
      </c>
      <c r="V80" s="56" t="s">
        <v>361</v>
      </c>
      <c r="W80" s="99" t="s">
        <v>361</v>
      </c>
      <c r="X80" s="99" t="s">
        <v>334</v>
      </c>
      <c r="Y80" s="134">
        <v>60</v>
      </c>
      <c r="Z80" s="135"/>
      <c r="AA80" s="135"/>
      <c r="AB80" s="155"/>
      <c r="AC80" s="135"/>
      <c r="AD80" s="128"/>
      <c r="AE80" s="135"/>
      <c r="AF80" s="135"/>
      <c r="AG80" s="100"/>
      <c r="AH80" s="149"/>
      <c r="AI80" s="128"/>
      <c r="AJ80" s="135"/>
      <c r="AK80" s="135"/>
      <c r="AL80" s="155"/>
      <c r="AM80" s="135"/>
      <c r="AN80" s="128"/>
      <c r="AO80" s="135"/>
      <c r="AP80" s="135"/>
      <c r="AQ80" s="56"/>
      <c r="AR80" s="135"/>
      <c r="AS80" s="128"/>
      <c r="AT80" s="135">
        <v>50525.49</v>
      </c>
      <c r="AU80" s="135">
        <v>40525.49</v>
      </c>
      <c r="AV80" s="155">
        <v>2018</v>
      </c>
      <c r="AW80" s="135">
        <v>229541.92</v>
      </c>
      <c r="AX80" s="128">
        <f>AU80/AW80</f>
        <v>0.17654940762018542</v>
      </c>
      <c r="AY80" s="68" t="s">
        <v>947</v>
      </c>
      <c r="AZ80" s="161" t="str">
        <f t="shared" ref="AZ80:AZ111" si="64">IFERROR(IF(Z80&gt;100000,"Y","N"),"N")</f>
        <v>N</v>
      </c>
      <c r="BA80" s="161" t="str">
        <f t="shared" ref="BA80:BA111" si="65">IFERROR(IF(AD80&gt;0.5,"Y","N"),"N")</f>
        <v>N</v>
      </c>
      <c r="BB80" s="161" t="str">
        <f t="shared" ref="BB80:BB111" si="66">IFERROR(IF(AE80&gt;100000,"Y","N"),"N")</f>
        <v>N</v>
      </c>
      <c r="BC80" s="161" t="str">
        <f t="shared" ref="BC80:BC111" si="67">IFERROR(IF(AI80&gt;0.5,"Y","N"),"N")</f>
        <v>N</v>
      </c>
      <c r="BD80" s="161" t="str">
        <f t="shared" ref="BD80:BD111" si="68">IFERROR(IF(AJ80&gt;100000,"Y","N"),"N")</f>
        <v>N</v>
      </c>
      <c r="BE80" s="161" t="str">
        <f t="shared" ref="BE80:BE111" si="69">IFERROR(IF(AN80&gt;0.5,"Y","N"),"N")</f>
        <v>N</v>
      </c>
      <c r="BF80" s="161" t="str">
        <f t="shared" ref="BF80:BF111" si="70">IFERROR(IF(AND(AM80-AK80&lt;0,AM80&gt;0),"Y","N"),"N")</f>
        <v>N</v>
      </c>
      <c r="BG80" s="161" t="str">
        <f t="shared" ref="BG80:BG111" si="71">IFERROR(IF(AO80&gt;100000,"Y","N"),"N")</f>
        <v>N</v>
      </c>
      <c r="BH80" s="161" t="str">
        <f t="shared" ref="BH80:BH111" si="72">IFERROR(IF(AS80&gt;0.5,"Y","N"),"N")</f>
        <v>N</v>
      </c>
      <c r="BI80" s="161" t="str">
        <f t="shared" ref="BI80:BI111" si="73">IFERROR(IF(AND(AR80-AP80&lt;0,AR80&gt;0),"Y","N"),"N")</f>
        <v>N</v>
      </c>
      <c r="BJ80" s="161" t="str">
        <f t="shared" ref="BJ80:BJ111" si="74">IFERROR(IF(AT80&gt;100000,"Y","N"),"N")</f>
        <v>N</v>
      </c>
      <c r="BK80" s="161" t="str">
        <f t="shared" ref="BK80:BK111" si="75">IFERROR(IF(AX80&gt;0.5,"Y","N"),"N")</f>
        <v>N</v>
      </c>
      <c r="BL80" s="161" t="str">
        <f t="shared" ref="BL80:BL111" si="76">IF(OR(AZ80="Y",BB80="Y",BD80="Y",BG80="Y",BJ80="Y"),"Y","N")</f>
        <v>N</v>
      </c>
      <c r="BM80" s="161" t="str">
        <f t="shared" ref="BM80:BM111" si="77">IF(OR(BA80="Y",BC80="Y",BE80="Y",BH80="Y",BK80="Y"),"Y","N")</f>
        <v>N</v>
      </c>
      <c r="BN80" s="176" t="str">
        <f t="shared" ref="BN80:BN111" si="78">IF(OR(BF80="Y",BI80="Y"),"Y","N")</f>
        <v>N</v>
      </c>
      <c r="BO80" s="182" t="s">
        <v>520</v>
      </c>
      <c r="BP80" s="183" t="str">
        <f t="shared" ref="BP80:BP111" si="79">IF(LEFT(B80,2)="00","深交所主板",IF(LEFT(B80,2)="60","上交所主板",IF(LEFT(B80,2)="30","深交所创业板",IF(LEFT(B80,3)="688","上交所科创板",IF(RIGHT(B80,2)="BJ","北交所","")))))</f>
        <v>深交所主板</v>
      </c>
      <c r="BQ80" s="181" t="s">
        <v>317</v>
      </c>
      <c r="BR80" s="173">
        <f t="shared" ref="BR80:BR111" si="80">IF(OR(BP80="上交所主板",BP80="深交所主板"),DATE(YEAR(R80)+2,12,31),IF(OR(BP80="上交所科创板",BP80="深交所创业板",,BP80="北交所"),DATE(YEAR(R80)+3,12,31),""))</f>
        <v>40178</v>
      </c>
      <c r="BS80" s="171" t="str">
        <f t="shared" ref="BS80:BS111" si="81">IF(BQ80="是","N",IF(OR(R80="-",LEFT(R80)="A"),"Y",IF(OR(LEFT(M80,4)-YEAR(BR80)&gt;0,RIGHT(M80,4)-(YEAR(R80)-3)&lt;0),"N","Y")))</f>
        <v>N</v>
      </c>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row>
    <row r="81" spans="1:163" s="7" customFormat="1" ht="15" customHeight="1" x14ac:dyDescent="0.25">
      <c r="A81" s="31">
        <v>220</v>
      </c>
      <c r="B81" s="32" t="s">
        <v>948</v>
      </c>
      <c r="C81" s="187" t="s">
        <v>949</v>
      </c>
      <c r="D81" s="56" t="s">
        <v>426</v>
      </c>
      <c r="E81" s="57" t="s">
        <v>504</v>
      </c>
      <c r="F81" s="52" t="s">
        <v>950</v>
      </c>
      <c r="G81" s="57" t="s">
        <v>315</v>
      </c>
      <c r="H81" s="41" t="s">
        <v>602</v>
      </c>
      <c r="I81" s="78">
        <v>43921</v>
      </c>
      <c r="J81" s="78">
        <v>44533</v>
      </c>
      <c r="K81" s="85">
        <v>44578</v>
      </c>
      <c r="L81" s="194" t="s">
        <v>951</v>
      </c>
      <c r="M81" s="77" t="s">
        <v>690</v>
      </c>
      <c r="N81" s="77">
        <v>1.5</v>
      </c>
      <c r="O81" s="69" t="str">
        <f t="shared" si="62"/>
        <v>1-2年</v>
      </c>
      <c r="P81" s="69" t="s">
        <v>952</v>
      </c>
      <c r="Q81" s="45" t="s">
        <v>953</v>
      </c>
      <c r="R81" s="199">
        <v>40967</v>
      </c>
      <c r="S81" s="55" t="s">
        <v>344</v>
      </c>
      <c r="T81" s="160" t="s">
        <v>317</v>
      </c>
      <c r="U81" s="69" t="str">
        <f t="shared" si="63"/>
        <v>N</v>
      </c>
      <c r="V81" s="56" t="s">
        <v>361</v>
      </c>
      <c r="W81" s="99" t="s">
        <v>361</v>
      </c>
      <c r="X81" s="99" t="s">
        <v>320</v>
      </c>
      <c r="Y81" s="134">
        <v>40</v>
      </c>
      <c r="Z81" s="135"/>
      <c r="AA81" s="135"/>
      <c r="AB81" s="155"/>
      <c r="AC81" s="135"/>
      <c r="AD81" s="128"/>
      <c r="AE81" s="135"/>
      <c r="AF81" s="135"/>
      <c r="AG81" s="100"/>
      <c r="AH81" s="149"/>
      <c r="AI81" s="128"/>
      <c r="AJ81" s="135"/>
      <c r="AK81" s="135"/>
      <c r="AL81" s="155"/>
      <c r="AM81" s="135"/>
      <c r="AN81" s="128"/>
      <c r="AO81" s="135"/>
      <c r="AP81" s="135"/>
      <c r="AQ81" s="56"/>
      <c r="AR81" s="135"/>
      <c r="AS81" s="128"/>
      <c r="AT81" s="135">
        <f>15099.83+24379.1</f>
        <v>39478.93</v>
      </c>
      <c r="AU81" s="135">
        <v>24379.1</v>
      </c>
      <c r="AV81" s="155">
        <v>2019</v>
      </c>
      <c r="AW81" s="135">
        <v>75644.240000000005</v>
      </c>
      <c r="AX81" s="128">
        <f>AU81/AW81</f>
        <v>0.32228627057393922</v>
      </c>
      <c r="AY81" s="68" t="s">
        <v>954</v>
      </c>
      <c r="AZ81" s="161" t="str">
        <f t="shared" si="64"/>
        <v>N</v>
      </c>
      <c r="BA81" s="161" t="str">
        <f t="shared" si="65"/>
        <v>N</v>
      </c>
      <c r="BB81" s="161" t="str">
        <f t="shared" si="66"/>
        <v>N</v>
      </c>
      <c r="BC81" s="161" t="str">
        <f t="shared" si="67"/>
        <v>N</v>
      </c>
      <c r="BD81" s="161" t="str">
        <f t="shared" si="68"/>
        <v>N</v>
      </c>
      <c r="BE81" s="161" t="str">
        <f t="shared" si="69"/>
        <v>N</v>
      </c>
      <c r="BF81" s="161" t="str">
        <f t="shared" si="70"/>
        <v>N</v>
      </c>
      <c r="BG81" s="161" t="str">
        <f t="shared" si="71"/>
        <v>N</v>
      </c>
      <c r="BH81" s="161" t="str">
        <f t="shared" si="72"/>
        <v>N</v>
      </c>
      <c r="BI81" s="161" t="str">
        <f t="shared" si="73"/>
        <v>N</v>
      </c>
      <c r="BJ81" s="161" t="str">
        <f t="shared" si="74"/>
        <v>N</v>
      </c>
      <c r="BK81" s="161" t="str">
        <f t="shared" si="75"/>
        <v>N</v>
      </c>
      <c r="BL81" s="161" t="str">
        <f t="shared" si="76"/>
        <v>N</v>
      </c>
      <c r="BM81" s="161" t="str">
        <f t="shared" si="77"/>
        <v>N</v>
      </c>
      <c r="BN81" s="176" t="str">
        <f t="shared" si="78"/>
        <v>N</v>
      </c>
      <c r="BO81" s="182" t="s">
        <v>955</v>
      </c>
      <c r="BP81" s="183" t="str">
        <f t="shared" si="79"/>
        <v>深交所主板</v>
      </c>
      <c r="BQ81" s="181" t="s">
        <v>317</v>
      </c>
      <c r="BR81" s="173">
        <f t="shared" si="80"/>
        <v>42004</v>
      </c>
      <c r="BS81" s="171" t="str">
        <f t="shared" si="81"/>
        <v>N</v>
      </c>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row>
    <row r="82" spans="1:163" s="7" customFormat="1" ht="15" customHeight="1" x14ac:dyDescent="0.25">
      <c r="A82" s="31">
        <v>219</v>
      </c>
      <c r="B82" s="32" t="s">
        <v>956</v>
      </c>
      <c r="C82" s="187" t="s">
        <v>957</v>
      </c>
      <c r="D82" s="56" t="s">
        <v>389</v>
      </c>
      <c r="E82" s="57" t="s">
        <v>958</v>
      </c>
      <c r="F82" s="52" t="s">
        <v>959</v>
      </c>
      <c r="G82" s="57" t="s">
        <v>315</v>
      </c>
      <c r="H82" s="41" t="s">
        <v>368</v>
      </c>
      <c r="I82" s="78">
        <v>44152</v>
      </c>
      <c r="J82" s="78">
        <v>44531</v>
      </c>
      <c r="K82" s="85">
        <v>44725</v>
      </c>
      <c r="L82" s="194" t="s">
        <v>960</v>
      </c>
      <c r="M82" s="77" t="s">
        <v>748</v>
      </c>
      <c r="N82" s="77">
        <v>2</v>
      </c>
      <c r="O82" s="69" t="str">
        <f t="shared" si="62"/>
        <v>2-3年</v>
      </c>
      <c r="P82" s="69" t="s">
        <v>749</v>
      </c>
      <c r="Q82" s="45" t="s">
        <v>454</v>
      </c>
      <c r="R82" s="199">
        <v>35976</v>
      </c>
      <c r="S82" s="55" t="s">
        <v>628</v>
      </c>
      <c r="T82" s="160" t="s">
        <v>317</v>
      </c>
      <c r="U82" s="69" t="str">
        <f t="shared" si="63"/>
        <v>Y</v>
      </c>
      <c r="V82" s="56" t="s">
        <v>318</v>
      </c>
      <c r="W82" s="99" t="s">
        <v>346</v>
      </c>
      <c r="X82" s="197" t="s">
        <v>320</v>
      </c>
      <c r="Y82" s="134">
        <v>40</v>
      </c>
      <c r="Z82" s="135"/>
      <c r="AA82" s="135"/>
      <c r="AB82" s="155"/>
      <c r="AC82" s="135"/>
      <c r="AD82" s="128"/>
      <c r="AE82" s="135">
        <v>14100</v>
      </c>
      <c r="AF82" s="135">
        <v>14100</v>
      </c>
      <c r="AG82" s="100">
        <v>2017</v>
      </c>
      <c r="AH82" s="149">
        <v>88015.03</v>
      </c>
      <c r="AI82" s="128">
        <f>AF82/AH82</f>
        <v>0.16019991131060229</v>
      </c>
      <c r="AJ82" s="135">
        <f>9200+11600</f>
        <v>20800</v>
      </c>
      <c r="AK82" s="135">
        <v>11600</v>
      </c>
      <c r="AL82" s="155">
        <v>2016</v>
      </c>
      <c r="AM82" s="135">
        <v>16171.41</v>
      </c>
      <c r="AN82" s="128">
        <f>AK82/AM82</f>
        <v>0.71731531140450955</v>
      </c>
      <c r="AO82" s="135">
        <v>116000</v>
      </c>
      <c r="AP82" s="135">
        <v>11600</v>
      </c>
      <c r="AQ82" s="56">
        <v>2016</v>
      </c>
      <c r="AR82" s="135">
        <v>21749.45</v>
      </c>
      <c r="AS82" s="128">
        <f>AP82/AR82</f>
        <v>0.53334682026442048</v>
      </c>
      <c r="AT82" s="135"/>
      <c r="AU82" s="135"/>
      <c r="AV82" s="155"/>
      <c r="AW82" s="135"/>
      <c r="AX82" s="128"/>
      <c r="AY82" s="68" t="s">
        <v>961</v>
      </c>
      <c r="AZ82" s="161" t="str">
        <f t="shared" si="64"/>
        <v>N</v>
      </c>
      <c r="BA82" s="161" t="str">
        <f t="shared" si="65"/>
        <v>N</v>
      </c>
      <c r="BB82" s="161" t="str">
        <f t="shared" si="66"/>
        <v>N</v>
      </c>
      <c r="BC82" s="161" t="str">
        <f t="shared" si="67"/>
        <v>N</v>
      </c>
      <c r="BD82" s="161" t="str">
        <f t="shared" si="68"/>
        <v>N</v>
      </c>
      <c r="BE82" s="161" t="str">
        <f t="shared" si="69"/>
        <v>Y</v>
      </c>
      <c r="BF82" s="161" t="str">
        <f t="shared" si="70"/>
        <v>N</v>
      </c>
      <c r="BG82" s="161" t="str">
        <f t="shared" si="71"/>
        <v>Y</v>
      </c>
      <c r="BH82" s="161" t="str">
        <f t="shared" si="72"/>
        <v>Y</v>
      </c>
      <c r="BI82" s="161" t="str">
        <f t="shared" si="73"/>
        <v>N</v>
      </c>
      <c r="BJ82" s="161" t="str">
        <f t="shared" si="74"/>
        <v>N</v>
      </c>
      <c r="BK82" s="161" t="str">
        <f t="shared" si="75"/>
        <v>N</v>
      </c>
      <c r="BL82" s="161" t="str">
        <f t="shared" si="76"/>
        <v>Y</v>
      </c>
      <c r="BM82" s="161" t="str">
        <f t="shared" si="77"/>
        <v>Y</v>
      </c>
      <c r="BN82" s="176" t="str">
        <f t="shared" si="78"/>
        <v>N</v>
      </c>
      <c r="BO82" s="182" t="s">
        <v>962</v>
      </c>
      <c r="BP82" s="183" t="str">
        <f t="shared" si="79"/>
        <v>深交所主板</v>
      </c>
      <c r="BQ82" s="181" t="s">
        <v>345</v>
      </c>
      <c r="BR82" s="173">
        <f t="shared" si="80"/>
        <v>36891</v>
      </c>
      <c r="BS82" s="171" t="str">
        <f t="shared" si="81"/>
        <v>N</v>
      </c>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row>
    <row r="83" spans="1:163" s="7" customFormat="1" ht="15" customHeight="1" x14ac:dyDescent="0.25">
      <c r="A83" s="31">
        <v>218</v>
      </c>
      <c r="B83" s="32" t="s">
        <v>963</v>
      </c>
      <c r="C83" s="187" t="s">
        <v>964</v>
      </c>
      <c r="D83" s="57" t="s">
        <v>809</v>
      </c>
      <c r="E83" s="57" t="s">
        <v>965</v>
      </c>
      <c r="F83" s="52" t="s">
        <v>966</v>
      </c>
      <c r="G83" s="57" t="s">
        <v>315</v>
      </c>
      <c r="H83" s="41" t="s">
        <v>327</v>
      </c>
      <c r="I83" s="78">
        <v>44041</v>
      </c>
      <c r="J83" s="78">
        <v>44530</v>
      </c>
      <c r="K83" s="85">
        <v>44580</v>
      </c>
      <c r="L83" s="194" t="s">
        <v>967</v>
      </c>
      <c r="M83" s="77" t="s">
        <v>594</v>
      </c>
      <c r="N83" s="77">
        <v>1.25</v>
      </c>
      <c r="O83" s="69" t="str">
        <f t="shared" si="62"/>
        <v>1-2年</v>
      </c>
      <c r="P83" s="69" t="s">
        <v>968</v>
      </c>
      <c r="Q83" s="45" t="s">
        <v>969</v>
      </c>
      <c r="R83" s="199">
        <v>39049</v>
      </c>
      <c r="S83" s="55" t="s">
        <v>543</v>
      </c>
      <c r="T83" s="160" t="s">
        <v>345</v>
      </c>
      <c r="U83" s="69" t="str">
        <f t="shared" si="63"/>
        <v>Y</v>
      </c>
      <c r="V83" s="56" t="s">
        <v>361</v>
      </c>
      <c r="W83" s="99" t="s">
        <v>361</v>
      </c>
      <c r="X83" s="197" t="s">
        <v>334</v>
      </c>
      <c r="Y83" s="134">
        <v>120</v>
      </c>
      <c r="Z83" s="135"/>
      <c r="AA83" s="135"/>
      <c r="AB83" s="155"/>
      <c r="AC83" s="135"/>
      <c r="AD83" s="128"/>
      <c r="AE83" s="135"/>
      <c r="AF83" s="135"/>
      <c r="AG83" s="100"/>
      <c r="AH83" s="149"/>
      <c r="AI83" s="128"/>
      <c r="AJ83" s="135"/>
      <c r="AK83" s="135"/>
      <c r="AL83" s="155"/>
      <c r="AM83" s="135"/>
      <c r="AN83" s="128"/>
      <c r="AO83" s="135"/>
      <c r="AP83" s="135"/>
      <c r="AQ83" s="56"/>
      <c r="AR83" s="135"/>
      <c r="AS83" s="128"/>
      <c r="AT83" s="135">
        <f>1500+3000+6000+1000+400+500+1229.77+3776.47+1000+6000+19540+3060+82400</f>
        <v>129406.24</v>
      </c>
      <c r="AU83" s="135">
        <v>129406.24</v>
      </c>
      <c r="AV83" s="155">
        <v>2019</v>
      </c>
      <c r="AW83" s="135">
        <v>174821.72</v>
      </c>
      <c r="AX83" s="128">
        <f>AU83/AW83</f>
        <v>0.74021832069836635</v>
      </c>
      <c r="AY83" s="68" t="s">
        <v>970</v>
      </c>
      <c r="AZ83" s="161" t="str">
        <f t="shared" si="64"/>
        <v>N</v>
      </c>
      <c r="BA83" s="161" t="str">
        <f t="shared" si="65"/>
        <v>N</v>
      </c>
      <c r="BB83" s="161" t="str">
        <f t="shared" si="66"/>
        <v>N</v>
      </c>
      <c r="BC83" s="161" t="str">
        <f t="shared" si="67"/>
        <v>N</v>
      </c>
      <c r="BD83" s="161" t="str">
        <f t="shared" si="68"/>
        <v>N</v>
      </c>
      <c r="BE83" s="161" t="str">
        <f t="shared" si="69"/>
        <v>N</v>
      </c>
      <c r="BF83" s="161" t="str">
        <f t="shared" si="70"/>
        <v>N</v>
      </c>
      <c r="BG83" s="161" t="str">
        <f t="shared" si="71"/>
        <v>N</v>
      </c>
      <c r="BH83" s="161" t="str">
        <f t="shared" si="72"/>
        <v>N</v>
      </c>
      <c r="BI83" s="161" t="str">
        <f t="shared" si="73"/>
        <v>N</v>
      </c>
      <c r="BJ83" s="161" t="str">
        <f t="shared" si="74"/>
        <v>Y</v>
      </c>
      <c r="BK83" s="161" t="str">
        <f t="shared" si="75"/>
        <v>Y</v>
      </c>
      <c r="BL83" s="161" t="str">
        <f t="shared" si="76"/>
        <v>Y</v>
      </c>
      <c r="BM83" s="161" t="str">
        <f t="shared" si="77"/>
        <v>Y</v>
      </c>
      <c r="BN83" s="176" t="str">
        <f t="shared" si="78"/>
        <v>N</v>
      </c>
      <c r="BO83" s="182" t="s">
        <v>971</v>
      </c>
      <c r="BP83" s="183" t="str">
        <f t="shared" si="79"/>
        <v>深交所主板</v>
      </c>
      <c r="BQ83" s="181" t="s">
        <v>317</v>
      </c>
      <c r="BR83" s="173">
        <f t="shared" si="80"/>
        <v>39813</v>
      </c>
      <c r="BS83" s="171" t="str">
        <f t="shared" si="81"/>
        <v>N</v>
      </c>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row>
    <row r="84" spans="1:163" s="7" customFormat="1" ht="15" customHeight="1" x14ac:dyDescent="0.25">
      <c r="A84" s="31">
        <v>217</v>
      </c>
      <c r="B84" s="32" t="s">
        <v>972</v>
      </c>
      <c r="C84" s="188" t="s">
        <v>973</v>
      </c>
      <c r="D84" s="57" t="s">
        <v>313</v>
      </c>
      <c r="E84" s="57" t="s">
        <v>974</v>
      </c>
      <c r="F84" s="57" t="s">
        <v>975</v>
      </c>
      <c r="G84" s="57" t="s">
        <v>315</v>
      </c>
      <c r="H84" s="41" t="s">
        <v>327</v>
      </c>
      <c r="I84" s="78">
        <v>44172</v>
      </c>
      <c r="J84" s="78">
        <v>44517</v>
      </c>
      <c r="K84" s="85" t="s">
        <v>312</v>
      </c>
      <c r="L84" s="195" t="s">
        <v>976</v>
      </c>
      <c r="M84" s="77" t="s">
        <v>341</v>
      </c>
      <c r="N84" s="77">
        <v>2.75</v>
      </c>
      <c r="O84" s="69" t="str">
        <f t="shared" si="62"/>
        <v>2-3年</v>
      </c>
      <c r="P84" s="77" t="s">
        <v>977</v>
      </c>
      <c r="Q84" s="45" t="s">
        <v>813</v>
      </c>
      <c r="R84" s="199">
        <v>40815</v>
      </c>
      <c r="S84" s="55" t="s">
        <v>822</v>
      </c>
      <c r="T84" s="160" t="s">
        <v>317</v>
      </c>
      <c r="U84" s="69" t="str">
        <f t="shared" si="63"/>
        <v>Y</v>
      </c>
      <c r="V84" s="56" t="s">
        <v>978</v>
      </c>
      <c r="W84" s="99" t="s">
        <v>979</v>
      </c>
      <c r="X84" s="99" t="s">
        <v>334</v>
      </c>
      <c r="Y84" s="134">
        <v>500</v>
      </c>
      <c r="Z84" s="135">
        <v>140300</v>
      </c>
      <c r="AA84" s="135">
        <v>70300</v>
      </c>
      <c r="AB84" s="155">
        <v>2020</v>
      </c>
      <c r="AC84" s="135">
        <v>270616.15999999997</v>
      </c>
      <c r="AD84" s="128">
        <f>AA84/AC84</f>
        <v>0.25977753878408444</v>
      </c>
      <c r="AE84" s="135"/>
      <c r="AF84" s="135"/>
      <c r="AG84" s="100"/>
      <c r="AH84" s="149"/>
      <c r="AI84" s="128"/>
      <c r="AJ84" s="135">
        <v>469.41</v>
      </c>
      <c r="AK84" s="135">
        <v>369.83</v>
      </c>
      <c r="AL84" s="155">
        <v>2020</v>
      </c>
      <c r="AM84" s="135">
        <v>-125016.95</v>
      </c>
      <c r="AN84" s="128">
        <f>AK84/AM84</f>
        <v>-2.9582388628102028E-3</v>
      </c>
      <c r="AO84" s="135"/>
      <c r="AP84" s="135"/>
      <c r="AQ84" s="56"/>
      <c r="AR84" s="135"/>
      <c r="AS84" s="128"/>
      <c r="AT84" s="135">
        <v>90200</v>
      </c>
      <c r="AU84" s="135">
        <v>90200</v>
      </c>
      <c r="AV84" s="155">
        <v>2020</v>
      </c>
      <c r="AW84" s="135">
        <v>216670.66</v>
      </c>
      <c r="AX84" s="128">
        <f>AU84/AW84</f>
        <v>0.4163000195781007</v>
      </c>
      <c r="AY84" s="68" t="s">
        <v>980</v>
      </c>
      <c r="AZ84" s="161" t="str">
        <f t="shared" si="64"/>
        <v>Y</v>
      </c>
      <c r="BA84" s="161" t="str">
        <f t="shared" si="65"/>
        <v>N</v>
      </c>
      <c r="BB84" s="161" t="str">
        <f t="shared" si="66"/>
        <v>N</v>
      </c>
      <c r="BC84" s="161" t="str">
        <f t="shared" si="67"/>
        <v>N</v>
      </c>
      <c r="BD84" s="161" t="str">
        <f t="shared" si="68"/>
        <v>N</v>
      </c>
      <c r="BE84" s="161" t="str">
        <f t="shared" si="69"/>
        <v>N</v>
      </c>
      <c r="BF84" s="161" t="str">
        <f t="shared" si="70"/>
        <v>N</v>
      </c>
      <c r="BG84" s="161" t="str">
        <f t="shared" si="71"/>
        <v>N</v>
      </c>
      <c r="BH84" s="161" t="str">
        <f t="shared" si="72"/>
        <v>N</v>
      </c>
      <c r="BI84" s="161" t="str">
        <f t="shared" si="73"/>
        <v>N</v>
      </c>
      <c r="BJ84" s="161" t="str">
        <f t="shared" si="74"/>
        <v>N</v>
      </c>
      <c r="BK84" s="161" t="str">
        <f t="shared" si="75"/>
        <v>N</v>
      </c>
      <c r="BL84" s="161" t="str">
        <f t="shared" si="76"/>
        <v>Y</v>
      </c>
      <c r="BM84" s="161" t="str">
        <f t="shared" si="77"/>
        <v>N</v>
      </c>
      <c r="BN84" s="176" t="str">
        <f t="shared" si="78"/>
        <v>N</v>
      </c>
      <c r="BO84" s="182" t="s">
        <v>981</v>
      </c>
      <c r="BP84" s="183" t="str">
        <f t="shared" si="79"/>
        <v>深交所主板</v>
      </c>
      <c r="BQ84" s="181" t="s">
        <v>317</v>
      </c>
      <c r="BR84" s="173">
        <f t="shared" si="80"/>
        <v>41639</v>
      </c>
      <c r="BS84" s="171" t="str">
        <f t="shared" si="81"/>
        <v>N</v>
      </c>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row>
    <row r="85" spans="1:163" s="7" customFormat="1" ht="15" customHeight="1" x14ac:dyDescent="0.25">
      <c r="A85" s="31">
        <v>216</v>
      </c>
      <c r="B85" s="32" t="s">
        <v>982</v>
      </c>
      <c r="C85" s="188" t="s">
        <v>983</v>
      </c>
      <c r="D85" s="57" t="s">
        <v>313</v>
      </c>
      <c r="E85" s="57" t="s">
        <v>366</v>
      </c>
      <c r="F85" s="57" t="s">
        <v>984</v>
      </c>
      <c r="G85" s="56" t="s">
        <v>380</v>
      </c>
      <c r="H85" s="41" t="s">
        <v>327</v>
      </c>
      <c r="I85" s="78">
        <v>43942</v>
      </c>
      <c r="J85" s="78">
        <v>44515</v>
      </c>
      <c r="K85" s="85">
        <v>44671</v>
      </c>
      <c r="L85" s="79" t="s">
        <v>985</v>
      </c>
      <c r="M85" s="77" t="s">
        <v>341</v>
      </c>
      <c r="N85" s="77">
        <v>2.5</v>
      </c>
      <c r="O85" s="69" t="str">
        <f t="shared" si="62"/>
        <v>2-3年</v>
      </c>
      <c r="P85" s="77" t="s">
        <v>986</v>
      </c>
      <c r="Q85" s="45" t="s">
        <v>987</v>
      </c>
      <c r="R85" s="199">
        <v>34204</v>
      </c>
      <c r="S85" s="55" t="s">
        <v>421</v>
      </c>
      <c r="T85" s="160" t="s">
        <v>317</v>
      </c>
      <c r="U85" s="69" t="str">
        <f t="shared" si="63"/>
        <v>N</v>
      </c>
      <c r="V85" s="56" t="s">
        <v>988</v>
      </c>
      <c r="W85" s="99" t="s">
        <v>361</v>
      </c>
      <c r="X85" s="197" t="s">
        <v>334</v>
      </c>
      <c r="Y85" s="134">
        <v>100</v>
      </c>
      <c r="Z85" s="135"/>
      <c r="AA85" s="135"/>
      <c r="AB85" s="155"/>
      <c r="AC85" s="135"/>
      <c r="AD85" s="128"/>
      <c r="AE85" s="135"/>
      <c r="AF85" s="135"/>
      <c r="AG85" s="100"/>
      <c r="AH85" s="149"/>
      <c r="AI85" s="128"/>
      <c r="AJ85" s="135"/>
      <c r="AK85" s="135"/>
      <c r="AL85" s="155"/>
      <c r="AM85" s="135"/>
      <c r="AN85" s="128"/>
      <c r="AO85" s="135"/>
      <c r="AP85" s="135"/>
      <c r="AQ85" s="56"/>
      <c r="AR85" s="135"/>
      <c r="AS85" s="128"/>
      <c r="AT85" s="135">
        <v>8487.1200000000008</v>
      </c>
      <c r="AU85" s="135">
        <v>5787.12</v>
      </c>
      <c r="AV85" s="155">
        <v>2019</v>
      </c>
      <c r="AW85" s="135">
        <v>14070.71</v>
      </c>
      <c r="AX85" s="128">
        <f>AU85/AW85</f>
        <v>0.41128841401748739</v>
      </c>
      <c r="AY85" s="68" t="s">
        <v>989</v>
      </c>
      <c r="AZ85" s="161" t="str">
        <f t="shared" si="64"/>
        <v>N</v>
      </c>
      <c r="BA85" s="161" t="str">
        <f t="shared" si="65"/>
        <v>N</v>
      </c>
      <c r="BB85" s="161" t="str">
        <f t="shared" si="66"/>
        <v>N</v>
      </c>
      <c r="BC85" s="161" t="str">
        <f t="shared" si="67"/>
        <v>N</v>
      </c>
      <c r="BD85" s="161" t="str">
        <f t="shared" si="68"/>
        <v>N</v>
      </c>
      <c r="BE85" s="161" t="str">
        <f t="shared" si="69"/>
        <v>N</v>
      </c>
      <c r="BF85" s="161" t="str">
        <f t="shared" si="70"/>
        <v>N</v>
      </c>
      <c r="BG85" s="161" t="str">
        <f t="shared" si="71"/>
        <v>N</v>
      </c>
      <c r="BH85" s="161" t="str">
        <f t="shared" si="72"/>
        <v>N</v>
      </c>
      <c r="BI85" s="161" t="str">
        <f t="shared" si="73"/>
        <v>N</v>
      </c>
      <c r="BJ85" s="161" t="str">
        <f t="shared" si="74"/>
        <v>N</v>
      </c>
      <c r="BK85" s="161" t="str">
        <f t="shared" si="75"/>
        <v>N</v>
      </c>
      <c r="BL85" s="161" t="str">
        <f t="shared" si="76"/>
        <v>N</v>
      </c>
      <c r="BM85" s="161" t="str">
        <f t="shared" si="77"/>
        <v>N</v>
      </c>
      <c r="BN85" s="176" t="str">
        <f t="shared" si="78"/>
        <v>N</v>
      </c>
      <c r="BO85" s="182" t="s">
        <v>990</v>
      </c>
      <c r="BP85" s="183" t="str">
        <f t="shared" si="79"/>
        <v>上交所主板</v>
      </c>
      <c r="BQ85" s="181" t="s">
        <v>317</v>
      </c>
      <c r="BR85" s="173">
        <f t="shared" si="80"/>
        <v>35064</v>
      </c>
      <c r="BS85" s="171" t="str">
        <f t="shared" si="81"/>
        <v>N</v>
      </c>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row>
    <row r="86" spans="1:163" s="7" customFormat="1" ht="15" customHeight="1" x14ac:dyDescent="0.25">
      <c r="A86" s="31">
        <v>215</v>
      </c>
      <c r="B86" s="32" t="s">
        <v>991</v>
      </c>
      <c r="C86" s="188" t="s">
        <v>992</v>
      </c>
      <c r="D86" s="57" t="s">
        <v>426</v>
      </c>
      <c r="E86" s="57" t="s">
        <v>504</v>
      </c>
      <c r="F86" s="57" t="s">
        <v>993</v>
      </c>
      <c r="G86" s="56" t="s">
        <v>354</v>
      </c>
      <c r="H86" s="41" t="s">
        <v>327</v>
      </c>
      <c r="I86" s="78">
        <v>44204</v>
      </c>
      <c r="J86" s="78">
        <v>44512</v>
      </c>
      <c r="K86" s="85">
        <v>44558</v>
      </c>
      <c r="L86" s="194" t="s">
        <v>994</v>
      </c>
      <c r="M86" s="77" t="s">
        <v>690</v>
      </c>
      <c r="N86" s="77">
        <v>2</v>
      </c>
      <c r="O86" s="69" t="str">
        <f t="shared" si="62"/>
        <v>2-3年</v>
      </c>
      <c r="P86" s="77" t="s">
        <v>691</v>
      </c>
      <c r="Q86" s="45" t="s">
        <v>740</v>
      </c>
      <c r="R86" s="199">
        <v>34281</v>
      </c>
      <c r="S86" s="55" t="s">
        <v>995</v>
      </c>
      <c r="T86" s="160" t="s">
        <v>345</v>
      </c>
      <c r="U86" s="69" t="str">
        <f t="shared" si="63"/>
        <v>Y</v>
      </c>
      <c r="V86" s="56" t="s">
        <v>434</v>
      </c>
      <c r="W86" s="99" t="s">
        <v>996</v>
      </c>
      <c r="X86" s="197" t="s">
        <v>334</v>
      </c>
      <c r="Y86" s="134">
        <v>450</v>
      </c>
      <c r="Z86" s="135">
        <v>203865.52</v>
      </c>
      <c r="AA86" s="135">
        <v>108223.13</v>
      </c>
      <c r="AB86" s="155">
        <v>2019</v>
      </c>
      <c r="AC86" s="135">
        <v>190429.18</v>
      </c>
      <c r="AD86" s="128">
        <f>AA86/AC86</f>
        <v>0.56831169466780251</v>
      </c>
      <c r="AE86" s="135">
        <v>1288577.1499999999</v>
      </c>
      <c r="AF86" s="135">
        <v>665144.86</v>
      </c>
      <c r="AG86" s="100">
        <v>2019</v>
      </c>
      <c r="AH86" s="149">
        <v>1239750.77</v>
      </c>
      <c r="AI86" s="128">
        <f>AF86/AH86</f>
        <v>0.53651498034560607</v>
      </c>
      <c r="AJ86" s="135">
        <v>41192.660000000003</v>
      </c>
      <c r="AK86" s="135">
        <v>21048.73</v>
      </c>
      <c r="AL86" s="155">
        <v>2018</v>
      </c>
      <c r="AM86" s="135">
        <v>4062.91</v>
      </c>
      <c r="AN86" s="128">
        <f>AK86/AM86</f>
        <v>5.1807029936671007</v>
      </c>
      <c r="AO86" s="135"/>
      <c r="AP86" s="135"/>
      <c r="AQ86" s="56"/>
      <c r="AR86" s="135"/>
      <c r="AS86" s="128"/>
      <c r="AT86" s="135">
        <f>117779.43+244938.44+4190.15+5432.91</f>
        <v>372340.93</v>
      </c>
      <c r="AU86" s="135">
        <f>244938.44+5432.91</f>
        <v>250371.35</v>
      </c>
      <c r="AV86" s="155">
        <v>2019</v>
      </c>
      <c r="AW86" s="135">
        <v>190429.18</v>
      </c>
      <c r="AX86" s="128">
        <f>AU86/AW86</f>
        <v>1.3147740803168926</v>
      </c>
      <c r="AY86" s="68" t="s">
        <v>997</v>
      </c>
      <c r="AZ86" s="161" t="str">
        <f t="shared" si="64"/>
        <v>Y</v>
      </c>
      <c r="BA86" s="161" t="str">
        <f t="shared" si="65"/>
        <v>Y</v>
      </c>
      <c r="BB86" s="161" t="str">
        <f t="shared" si="66"/>
        <v>Y</v>
      </c>
      <c r="BC86" s="161" t="str">
        <f t="shared" si="67"/>
        <v>Y</v>
      </c>
      <c r="BD86" s="161" t="str">
        <f t="shared" si="68"/>
        <v>N</v>
      </c>
      <c r="BE86" s="161" t="str">
        <f t="shared" si="69"/>
        <v>Y</v>
      </c>
      <c r="BF86" s="161" t="str">
        <f t="shared" si="70"/>
        <v>Y</v>
      </c>
      <c r="BG86" s="161" t="str">
        <f t="shared" si="71"/>
        <v>N</v>
      </c>
      <c r="BH86" s="161" t="str">
        <f t="shared" si="72"/>
        <v>N</v>
      </c>
      <c r="BI86" s="161" t="str">
        <f t="shared" si="73"/>
        <v>N</v>
      </c>
      <c r="BJ86" s="161" t="str">
        <f t="shared" si="74"/>
        <v>Y</v>
      </c>
      <c r="BK86" s="161" t="str">
        <f t="shared" si="75"/>
        <v>Y</v>
      </c>
      <c r="BL86" s="161" t="str">
        <f t="shared" si="76"/>
        <v>Y</v>
      </c>
      <c r="BM86" s="161" t="str">
        <f t="shared" si="77"/>
        <v>Y</v>
      </c>
      <c r="BN86" s="176" t="str">
        <f t="shared" si="78"/>
        <v>Y</v>
      </c>
      <c r="BO86" s="220" t="s">
        <v>998</v>
      </c>
      <c r="BP86" s="171" t="str">
        <f t="shared" si="79"/>
        <v>深交所主板</v>
      </c>
      <c r="BQ86" s="221" t="s">
        <v>317</v>
      </c>
      <c r="BR86" s="173">
        <f t="shared" si="80"/>
        <v>35064</v>
      </c>
      <c r="BS86" s="171" t="str">
        <f t="shared" si="81"/>
        <v>N</v>
      </c>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row>
    <row r="87" spans="1:163" s="7" customFormat="1" ht="15" customHeight="1" x14ac:dyDescent="0.25">
      <c r="A87" s="31">
        <v>214</v>
      </c>
      <c r="B87" s="32" t="s">
        <v>999</v>
      </c>
      <c r="C87" s="187" t="s">
        <v>1000</v>
      </c>
      <c r="D87" s="56" t="s">
        <v>426</v>
      </c>
      <c r="E87" s="56" t="s">
        <v>1001</v>
      </c>
      <c r="F87" s="52" t="s">
        <v>1002</v>
      </c>
      <c r="G87" s="57" t="s">
        <v>354</v>
      </c>
      <c r="H87" s="41" t="s">
        <v>602</v>
      </c>
      <c r="I87" s="78">
        <v>44273</v>
      </c>
      <c r="J87" s="78">
        <v>44497</v>
      </c>
      <c r="K87" s="85">
        <v>44670</v>
      </c>
      <c r="L87" s="194" t="s">
        <v>1003</v>
      </c>
      <c r="M87" s="77" t="s">
        <v>1004</v>
      </c>
      <c r="N87" s="77">
        <v>8</v>
      </c>
      <c r="O87" s="69" t="str">
        <f t="shared" si="62"/>
        <v>5年以上</v>
      </c>
      <c r="P87" s="69" t="s">
        <v>1005</v>
      </c>
      <c r="Q87" s="45" t="s">
        <v>1006</v>
      </c>
      <c r="R87" s="199">
        <v>42181</v>
      </c>
      <c r="S87" s="55" t="s">
        <v>570</v>
      </c>
      <c r="T87" s="160" t="s">
        <v>345</v>
      </c>
      <c r="U87" s="69" t="str">
        <f t="shared" si="63"/>
        <v>Y</v>
      </c>
      <c r="V87" s="57" t="s">
        <v>1007</v>
      </c>
      <c r="W87" s="99" t="s">
        <v>708</v>
      </c>
      <c r="X87" s="99" t="s">
        <v>334</v>
      </c>
      <c r="Y87" s="134">
        <v>1000</v>
      </c>
      <c r="Z87" s="135">
        <v>293981.56</v>
      </c>
      <c r="AA87" s="135">
        <v>109755.5</v>
      </c>
      <c r="AB87" s="155">
        <v>2019</v>
      </c>
      <c r="AC87" s="135">
        <v>242719.66</v>
      </c>
      <c r="AD87" s="128">
        <f>AA87/AC87</f>
        <v>0.45219039940975525</v>
      </c>
      <c r="AE87" s="135">
        <v>127635.6</v>
      </c>
      <c r="AF87" s="135">
        <v>29407.14</v>
      </c>
      <c r="AG87" s="100">
        <v>2015</v>
      </c>
      <c r="AH87" s="149">
        <v>60667.39</v>
      </c>
      <c r="AI87" s="128">
        <f>AF87/AH87</f>
        <v>0.48472729748222232</v>
      </c>
      <c r="AJ87" s="135">
        <v>41027.78</v>
      </c>
      <c r="AK87" s="135">
        <v>9616.41</v>
      </c>
      <c r="AL87" s="155">
        <v>2015</v>
      </c>
      <c r="AM87" s="135">
        <v>14089.73</v>
      </c>
      <c r="AN87" s="128">
        <f>9616.41/14089.73</f>
        <v>0.68251201406982254</v>
      </c>
      <c r="AO87" s="135">
        <v>41082.400000000001</v>
      </c>
      <c r="AP87" s="135">
        <v>8281.1</v>
      </c>
      <c r="AQ87" s="56">
        <v>2014</v>
      </c>
      <c r="AR87" s="135">
        <v>12133.27</v>
      </c>
      <c r="AS87" s="128">
        <f>AP87/AR87</f>
        <v>0.6825118043198577</v>
      </c>
      <c r="AT87" s="135"/>
      <c r="AU87" s="135"/>
      <c r="AV87" s="155"/>
      <c r="AW87" s="135"/>
      <c r="AX87" s="128"/>
      <c r="AY87" s="68" t="s">
        <v>1008</v>
      </c>
      <c r="AZ87" s="161" t="str">
        <f t="shared" si="64"/>
        <v>Y</v>
      </c>
      <c r="BA87" s="161" t="str">
        <f t="shared" si="65"/>
        <v>N</v>
      </c>
      <c r="BB87" s="161" t="str">
        <f t="shared" si="66"/>
        <v>Y</v>
      </c>
      <c r="BC87" s="161" t="str">
        <f t="shared" si="67"/>
        <v>N</v>
      </c>
      <c r="BD87" s="161" t="str">
        <f t="shared" si="68"/>
        <v>N</v>
      </c>
      <c r="BE87" s="161" t="str">
        <f t="shared" si="69"/>
        <v>Y</v>
      </c>
      <c r="BF87" s="161" t="str">
        <f t="shared" si="70"/>
        <v>N</v>
      </c>
      <c r="BG87" s="161" t="str">
        <f t="shared" si="71"/>
        <v>N</v>
      </c>
      <c r="BH87" s="161" t="str">
        <f t="shared" si="72"/>
        <v>Y</v>
      </c>
      <c r="BI87" s="161" t="str">
        <f t="shared" si="73"/>
        <v>N</v>
      </c>
      <c r="BJ87" s="161" t="str">
        <f t="shared" si="74"/>
        <v>N</v>
      </c>
      <c r="BK87" s="161" t="str">
        <f t="shared" si="75"/>
        <v>N</v>
      </c>
      <c r="BL87" s="161" t="str">
        <f t="shared" si="76"/>
        <v>Y</v>
      </c>
      <c r="BM87" s="161" t="str">
        <f t="shared" si="77"/>
        <v>Y</v>
      </c>
      <c r="BN87" s="176" t="str">
        <f t="shared" si="78"/>
        <v>N</v>
      </c>
      <c r="BO87" s="222" t="s">
        <v>663</v>
      </c>
      <c r="BP87" s="174" t="str">
        <f t="shared" si="79"/>
        <v>深交所主板</v>
      </c>
      <c r="BQ87" s="219" t="s">
        <v>317</v>
      </c>
      <c r="BR87" s="173">
        <f t="shared" si="80"/>
        <v>43100</v>
      </c>
      <c r="BS87" s="171" t="str">
        <f t="shared" si="81"/>
        <v>Y</v>
      </c>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row>
    <row r="88" spans="1:163" s="7" customFormat="1" ht="15" customHeight="1" x14ac:dyDescent="0.25">
      <c r="A88" s="31">
        <v>213</v>
      </c>
      <c r="B88" s="32" t="s">
        <v>1009</v>
      </c>
      <c r="C88" s="187" t="s">
        <v>1010</v>
      </c>
      <c r="D88" s="56" t="s">
        <v>826</v>
      </c>
      <c r="E88" s="56" t="s">
        <v>827</v>
      </c>
      <c r="F88" s="56" t="s">
        <v>1011</v>
      </c>
      <c r="G88" s="56" t="s">
        <v>315</v>
      </c>
      <c r="H88" s="41" t="s">
        <v>327</v>
      </c>
      <c r="I88" s="78">
        <v>43948</v>
      </c>
      <c r="J88" s="78">
        <v>44493</v>
      </c>
      <c r="K88" s="85">
        <v>44663</v>
      </c>
      <c r="L88" s="79" t="s">
        <v>689</v>
      </c>
      <c r="M88" s="77" t="s">
        <v>487</v>
      </c>
      <c r="N88" s="77">
        <v>4</v>
      </c>
      <c r="O88" s="69" t="str">
        <f t="shared" si="62"/>
        <v>3-5年</v>
      </c>
      <c r="P88" s="69" t="s">
        <v>1012</v>
      </c>
      <c r="Q88" s="45" t="s">
        <v>454</v>
      </c>
      <c r="R88" s="199">
        <v>35597</v>
      </c>
      <c r="S88" s="55" t="s">
        <v>421</v>
      </c>
      <c r="T88" s="160" t="s">
        <v>345</v>
      </c>
      <c r="U88" s="69" t="str">
        <f t="shared" si="63"/>
        <v>Y</v>
      </c>
      <c r="V88" s="57" t="s">
        <v>988</v>
      </c>
      <c r="W88" s="99" t="s">
        <v>1013</v>
      </c>
      <c r="X88" s="99" t="s">
        <v>334</v>
      </c>
      <c r="Y88" s="134">
        <v>300</v>
      </c>
      <c r="Z88" s="135"/>
      <c r="AA88" s="135"/>
      <c r="AB88" s="155"/>
      <c r="AC88" s="135"/>
      <c r="AD88" s="128"/>
      <c r="AE88" s="135">
        <v>2112100</v>
      </c>
      <c r="AF88" s="135">
        <v>723200</v>
      </c>
      <c r="AG88" s="100">
        <v>2017</v>
      </c>
      <c r="AH88" s="149">
        <v>985534.65</v>
      </c>
      <c r="AI88" s="128">
        <f>AF88/AH88</f>
        <v>0.73381488920759907</v>
      </c>
      <c r="AJ88" s="135">
        <v>281600</v>
      </c>
      <c r="AK88" s="135">
        <v>92000</v>
      </c>
      <c r="AL88" s="155">
        <v>2017</v>
      </c>
      <c r="AM88" s="135">
        <v>79999.850000000006</v>
      </c>
      <c r="AN88" s="128">
        <f>AK88/AM88</f>
        <v>1.1500021562540428</v>
      </c>
      <c r="AO88" s="135">
        <v>160800</v>
      </c>
      <c r="AP88" s="135">
        <v>70300</v>
      </c>
      <c r="AQ88" s="56">
        <v>2017</v>
      </c>
      <c r="AR88" s="135">
        <v>58101.37</v>
      </c>
      <c r="AS88" s="128">
        <f>AP88/AR88</f>
        <v>1.2099542575329978</v>
      </c>
      <c r="AT88" s="135">
        <v>259235</v>
      </c>
      <c r="AU88" s="135">
        <v>156767</v>
      </c>
      <c r="AV88" s="155">
        <v>2018</v>
      </c>
      <c r="AW88" s="135">
        <v>631791.6</v>
      </c>
      <c r="AX88" s="128">
        <f>AU88/AW88</f>
        <v>0.24813087100240017</v>
      </c>
      <c r="AY88" s="68" t="s">
        <v>1014</v>
      </c>
      <c r="AZ88" s="161" t="str">
        <f t="shared" si="64"/>
        <v>N</v>
      </c>
      <c r="BA88" s="161" t="str">
        <f t="shared" si="65"/>
        <v>N</v>
      </c>
      <c r="BB88" s="161" t="str">
        <f t="shared" si="66"/>
        <v>Y</v>
      </c>
      <c r="BC88" s="161" t="str">
        <f t="shared" si="67"/>
        <v>Y</v>
      </c>
      <c r="BD88" s="161" t="str">
        <f t="shared" si="68"/>
        <v>Y</v>
      </c>
      <c r="BE88" s="161" t="str">
        <f t="shared" si="69"/>
        <v>Y</v>
      </c>
      <c r="BF88" s="161" t="str">
        <f t="shared" si="70"/>
        <v>Y</v>
      </c>
      <c r="BG88" s="161" t="str">
        <f t="shared" si="71"/>
        <v>Y</v>
      </c>
      <c r="BH88" s="161" t="str">
        <f t="shared" si="72"/>
        <v>Y</v>
      </c>
      <c r="BI88" s="161" t="str">
        <f t="shared" si="73"/>
        <v>Y</v>
      </c>
      <c r="BJ88" s="161" t="str">
        <f t="shared" si="74"/>
        <v>Y</v>
      </c>
      <c r="BK88" s="161" t="str">
        <f t="shared" si="75"/>
        <v>N</v>
      </c>
      <c r="BL88" s="161" t="str">
        <f t="shared" si="76"/>
        <v>Y</v>
      </c>
      <c r="BM88" s="161" t="str">
        <f t="shared" si="77"/>
        <v>Y</v>
      </c>
      <c r="BN88" s="176" t="str">
        <f t="shared" si="78"/>
        <v>Y</v>
      </c>
      <c r="BO88" s="222" t="s">
        <v>839</v>
      </c>
      <c r="BP88" s="174" t="str">
        <f t="shared" si="79"/>
        <v>上交所主板</v>
      </c>
      <c r="BQ88" s="219" t="s">
        <v>345</v>
      </c>
      <c r="BR88" s="173">
        <f t="shared" si="80"/>
        <v>36525</v>
      </c>
      <c r="BS88" s="171" t="str">
        <f t="shared" si="81"/>
        <v>N</v>
      </c>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row>
    <row r="89" spans="1:163" s="7" customFormat="1" ht="15" customHeight="1" x14ac:dyDescent="0.25">
      <c r="A89" s="31">
        <v>212</v>
      </c>
      <c r="B89" s="32" t="s">
        <v>1015</v>
      </c>
      <c r="C89" s="187" t="s">
        <v>1016</v>
      </c>
      <c r="D89" s="56" t="s">
        <v>826</v>
      </c>
      <c r="E89" s="56" t="s">
        <v>1017</v>
      </c>
      <c r="F89" s="56" t="s">
        <v>1018</v>
      </c>
      <c r="G89" s="56" t="s">
        <v>315</v>
      </c>
      <c r="H89" s="41" t="s">
        <v>368</v>
      </c>
      <c r="I89" s="78">
        <v>44214</v>
      </c>
      <c r="J89" s="78">
        <v>44477</v>
      </c>
      <c r="K89" s="85">
        <v>44622</v>
      </c>
      <c r="L89" s="194" t="s">
        <v>1019</v>
      </c>
      <c r="M89" s="77" t="s">
        <v>690</v>
      </c>
      <c r="N89" s="77">
        <v>2</v>
      </c>
      <c r="O89" s="69" t="str">
        <f t="shared" si="62"/>
        <v>2-3年</v>
      </c>
      <c r="P89" s="69" t="s">
        <v>691</v>
      </c>
      <c r="Q89" s="45" t="s">
        <v>1020</v>
      </c>
      <c r="R89" s="199">
        <v>36426</v>
      </c>
      <c r="S89" s="55" t="s">
        <v>1021</v>
      </c>
      <c r="T89" s="160" t="s">
        <v>317</v>
      </c>
      <c r="U89" s="69" t="str">
        <f t="shared" si="63"/>
        <v>Y</v>
      </c>
      <c r="V89" s="57" t="s">
        <v>1022</v>
      </c>
      <c r="W89" s="99" t="s">
        <v>1023</v>
      </c>
      <c r="X89" s="99" t="s">
        <v>334</v>
      </c>
      <c r="Y89" s="134">
        <v>800</v>
      </c>
      <c r="Z89" s="135"/>
      <c r="AA89" s="135"/>
      <c r="AB89" s="155"/>
      <c r="AC89" s="135"/>
      <c r="AD89" s="128"/>
      <c r="AE89" s="135">
        <v>1917.4</v>
      </c>
      <c r="AF89" s="135">
        <v>1338.54</v>
      </c>
      <c r="AG89" s="100">
        <v>2018</v>
      </c>
      <c r="AH89" s="149">
        <v>1338.54</v>
      </c>
      <c r="AI89" s="128">
        <f>AF89/AH89</f>
        <v>1</v>
      </c>
      <c r="AJ89" s="135">
        <v>8060.32</v>
      </c>
      <c r="AK89" s="135">
        <v>7931.21</v>
      </c>
      <c r="AL89" s="155">
        <v>2019</v>
      </c>
      <c r="AM89" s="135">
        <v>3122.67</v>
      </c>
      <c r="AN89" s="128">
        <f>AK89/AM89</f>
        <v>2.539880935225304</v>
      </c>
      <c r="AO89" s="135"/>
      <c r="AP89" s="135"/>
      <c r="AQ89" s="56"/>
      <c r="AR89" s="135"/>
      <c r="AS89" s="128"/>
      <c r="AT89" s="135"/>
      <c r="AU89" s="135"/>
      <c r="AV89" s="155"/>
      <c r="AW89" s="135"/>
      <c r="AX89" s="128"/>
      <c r="AY89" s="68" t="s">
        <v>1024</v>
      </c>
      <c r="AZ89" s="161" t="str">
        <f t="shared" si="64"/>
        <v>N</v>
      </c>
      <c r="BA89" s="161" t="str">
        <f t="shared" si="65"/>
        <v>N</v>
      </c>
      <c r="BB89" s="161" t="str">
        <f t="shared" si="66"/>
        <v>N</v>
      </c>
      <c r="BC89" s="161" t="str">
        <f t="shared" si="67"/>
        <v>Y</v>
      </c>
      <c r="BD89" s="161" t="str">
        <f t="shared" si="68"/>
        <v>N</v>
      </c>
      <c r="BE89" s="161" t="str">
        <f t="shared" si="69"/>
        <v>Y</v>
      </c>
      <c r="BF89" s="161" t="str">
        <f t="shared" si="70"/>
        <v>Y</v>
      </c>
      <c r="BG89" s="161" t="str">
        <f t="shared" si="71"/>
        <v>N</v>
      </c>
      <c r="BH89" s="161" t="str">
        <f t="shared" si="72"/>
        <v>N</v>
      </c>
      <c r="BI89" s="161" t="str">
        <f t="shared" si="73"/>
        <v>N</v>
      </c>
      <c r="BJ89" s="161" t="str">
        <f t="shared" si="74"/>
        <v>N</v>
      </c>
      <c r="BK89" s="161" t="str">
        <f t="shared" si="75"/>
        <v>N</v>
      </c>
      <c r="BL89" s="161" t="str">
        <f t="shared" si="76"/>
        <v>N</v>
      </c>
      <c r="BM89" s="161" t="str">
        <f t="shared" si="77"/>
        <v>Y</v>
      </c>
      <c r="BN89" s="176" t="str">
        <f t="shared" si="78"/>
        <v>Y</v>
      </c>
      <c r="BO89" s="222" t="s">
        <v>1025</v>
      </c>
      <c r="BP89" s="174" t="str">
        <f t="shared" si="79"/>
        <v>上交所主板</v>
      </c>
      <c r="BQ89" s="219" t="s">
        <v>317</v>
      </c>
      <c r="BR89" s="173">
        <f t="shared" si="80"/>
        <v>37256</v>
      </c>
      <c r="BS89" s="171" t="str">
        <f t="shared" si="81"/>
        <v>N</v>
      </c>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row>
    <row r="90" spans="1:163" s="7" customFormat="1" ht="15" customHeight="1" x14ac:dyDescent="0.25">
      <c r="A90" s="31">
        <v>211</v>
      </c>
      <c r="B90" s="32" t="s">
        <v>1026</v>
      </c>
      <c r="C90" s="187" t="s">
        <v>1027</v>
      </c>
      <c r="D90" s="56" t="s">
        <v>351</v>
      </c>
      <c r="E90" s="56" t="s">
        <v>1028</v>
      </c>
      <c r="F90" s="56" t="s">
        <v>1029</v>
      </c>
      <c r="G90" s="56" t="s">
        <v>315</v>
      </c>
      <c r="H90" s="41" t="s">
        <v>327</v>
      </c>
      <c r="I90" s="78">
        <v>44020</v>
      </c>
      <c r="J90" s="78">
        <v>44451</v>
      </c>
      <c r="K90" s="85">
        <v>44504</v>
      </c>
      <c r="L90" s="194" t="s">
        <v>1030</v>
      </c>
      <c r="M90" s="77" t="s">
        <v>341</v>
      </c>
      <c r="N90" s="77">
        <v>2.5</v>
      </c>
      <c r="O90" s="69" t="str">
        <f t="shared" si="62"/>
        <v>2-3年</v>
      </c>
      <c r="P90" s="191" t="s">
        <v>1031</v>
      </c>
      <c r="Q90" s="45" t="s">
        <v>507</v>
      </c>
      <c r="R90" s="199">
        <v>41061</v>
      </c>
      <c r="S90" s="55" t="s">
        <v>995</v>
      </c>
      <c r="T90" s="160" t="s">
        <v>317</v>
      </c>
      <c r="U90" s="69" t="str">
        <f t="shared" si="63"/>
        <v>Y</v>
      </c>
      <c r="V90" s="57" t="s">
        <v>978</v>
      </c>
      <c r="W90" s="99" t="s">
        <v>1032</v>
      </c>
      <c r="X90" s="99" t="s">
        <v>334</v>
      </c>
      <c r="Y90" s="134">
        <v>200</v>
      </c>
      <c r="Z90" s="135">
        <v>285959.7</v>
      </c>
      <c r="AA90" s="135">
        <v>110413.27</v>
      </c>
      <c r="AB90" s="155">
        <v>2020</v>
      </c>
      <c r="AC90" s="135">
        <v>98097.3</v>
      </c>
      <c r="AD90" s="128">
        <f>AA90/AC90</f>
        <v>1.1255485115288597</v>
      </c>
      <c r="AE90" s="135"/>
      <c r="AF90" s="135"/>
      <c r="AG90" s="100"/>
      <c r="AH90" s="149"/>
      <c r="AI90" s="128"/>
      <c r="AJ90" s="135"/>
      <c r="AK90" s="135"/>
      <c r="AL90" s="155"/>
      <c r="AM90" s="135"/>
      <c r="AN90" s="128"/>
      <c r="AO90" s="135"/>
      <c r="AP90" s="135"/>
      <c r="AQ90" s="56"/>
      <c r="AR90" s="135"/>
      <c r="AS90" s="128"/>
      <c r="AT90" s="135">
        <v>274200</v>
      </c>
      <c r="AU90" s="135">
        <v>97800</v>
      </c>
      <c r="AV90" s="155">
        <v>2020</v>
      </c>
      <c r="AW90" s="135">
        <v>26870.07</v>
      </c>
      <c r="AX90" s="128">
        <f>AU90/AW90</f>
        <v>3.6397374476508619</v>
      </c>
      <c r="AY90" s="68" t="s">
        <v>1033</v>
      </c>
      <c r="AZ90" s="161" t="str">
        <f t="shared" si="64"/>
        <v>Y</v>
      </c>
      <c r="BA90" s="161" t="str">
        <f t="shared" si="65"/>
        <v>Y</v>
      </c>
      <c r="BB90" s="161" t="str">
        <f t="shared" si="66"/>
        <v>N</v>
      </c>
      <c r="BC90" s="161" t="str">
        <f t="shared" si="67"/>
        <v>N</v>
      </c>
      <c r="BD90" s="161" t="str">
        <f t="shared" si="68"/>
        <v>N</v>
      </c>
      <c r="BE90" s="161" t="str">
        <f t="shared" si="69"/>
        <v>N</v>
      </c>
      <c r="BF90" s="161" t="str">
        <f t="shared" si="70"/>
        <v>N</v>
      </c>
      <c r="BG90" s="161" t="str">
        <f t="shared" si="71"/>
        <v>N</v>
      </c>
      <c r="BH90" s="161" t="str">
        <f t="shared" si="72"/>
        <v>N</v>
      </c>
      <c r="BI90" s="161" t="str">
        <f t="shared" si="73"/>
        <v>N</v>
      </c>
      <c r="BJ90" s="161" t="str">
        <f t="shared" si="74"/>
        <v>Y</v>
      </c>
      <c r="BK90" s="161" t="str">
        <f t="shared" si="75"/>
        <v>Y</v>
      </c>
      <c r="BL90" s="161" t="str">
        <f t="shared" si="76"/>
        <v>Y</v>
      </c>
      <c r="BM90" s="161" t="str">
        <f t="shared" si="77"/>
        <v>Y</v>
      </c>
      <c r="BN90" s="176" t="str">
        <f t="shared" si="78"/>
        <v>N</v>
      </c>
      <c r="BO90" s="222" t="s">
        <v>520</v>
      </c>
      <c r="BP90" s="174" t="str">
        <f t="shared" si="79"/>
        <v>深交所创业板</v>
      </c>
      <c r="BQ90" s="219" t="s">
        <v>317</v>
      </c>
      <c r="BR90" s="173">
        <f t="shared" si="80"/>
        <v>42369</v>
      </c>
      <c r="BS90" s="171" t="str">
        <f t="shared" si="81"/>
        <v>N</v>
      </c>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row>
    <row r="91" spans="1:163" s="7" customFormat="1" ht="15" customHeight="1" x14ac:dyDescent="0.25">
      <c r="A91" s="31">
        <v>210</v>
      </c>
      <c r="B91" s="57" t="s">
        <v>1034</v>
      </c>
      <c r="C91" s="56" t="s">
        <v>1035</v>
      </c>
      <c r="D91" s="56" t="s">
        <v>377</v>
      </c>
      <c r="E91" s="56" t="s">
        <v>1036</v>
      </c>
      <c r="F91" s="45" t="s">
        <v>1037</v>
      </c>
      <c r="G91" s="56" t="s">
        <v>315</v>
      </c>
      <c r="H91" s="189" t="s">
        <v>602</v>
      </c>
      <c r="I91" s="78">
        <v>43693</v>
      </c>
      <c r="J91" s="85">
        <v>44447</v>
      </c>
      <c r="K91" s="85">
        <v>44455</v>
      </c>
      <c r="L91" s="194" t="s">
        <v>1038</v>
      </c>
      <c r="M91" s="77" t="s">
        <v>487</v>
      </c>
      <c r="N91" s="77">
        <v>3.5</v>
      </c>
      <c r="O91" s="196" t="str">
        <f t="shared" si="62"/>
        <v>3-5年</v>
      </c>
      <c r="P91" s="191" t="s">
        <v>1039</v>
      </c>
      <c r="Q91" s="201" t="s">
        <v>1040</v>
      </c>
      <c r="R91" s="199">
        <v>42185</v>
      </c>
      <c r="S91" s="202" t="s">
        <v>1041</v>
      </c>
      <c r="T91" s="203" t="s">
        <v>317</v>
      </c>
      <c r="U91" s="69" t="str">
        <f t="shared" si="63"/>
        <v>Y</v>
      </c>
      <c r="V91" s="102" t="s">
        <v>607</v>
      </c>
      <c r="W91" s="99" t="s">
        <v>499</v>
      </c>
      <c r="X91" s="197" t="s">
        <v>334</v>
      </c>
      <c r="Y91" s="134">
        <v>60</v>
      </c>
      <c r="Z91" s="135"/>
      <c r="AA91" s="135"/>
      <c r="AB91" s="155"/>
      <c r="AC91" s="135"/>
      <c r="AD91" s="128"/>
      <c r="AE91" s="135">
        <v>84344.47</v>
      </c>
      <c r="AF91" s="135">
        <v>33619.769999999997</v>
      </c>
      <c r="AG91" s="100">
        <v>2016</v>
      </c>
      <c r="AH91" s="149">
        <v>46856.09</v>
      </c>
      <c r="AI91" s="128">
        <f>AF91/AH91</f>
        <v>0.7175112135903785</v>
      </c>
      <c r="AJ91" s="135">
        <v>29982.97</v>
      </c>
      <c r="AK91" s="135">
        <v>11843.35</v>
      </c>
      <c r="AL91" s="155">
        <v>2016</v>
      </c>
      <c r="AM91" s="135">
        <v>190.09</v>
      </c>
      <c r="AN91" s="128">
        <f>AK91/AM91</f>
        <v>62.303908674838233</v>
      </c>
      <c r="AO91" s="135"/>
      <c r="AP91" s="135"/>
      <c r="AQ91" s="56"/>
      <c r="AR91" s="135"/>
      <c r="AS91" s="128"/>
      <c r="AT91" s="135">
        <v>1344158.14</v>
      </c>
      <c r="AU91" s="135">
        <v>676691.74</v>
      </c>
      <c r="AV91" s="155">
        <v>2019</v>
      </c>
      <c r="AW91" s="135">
        <v>157700.28</v>
      </c>
      <c r="AX91" s="128">
        <f>AU91/AW91</f>
        <v>4.290998976032256</v>
      </c>
      <c r="AY91" s="77" t="s">
        <v>1042</v>
      </c>
      <c r="AZ91" s="161" t="str">
        <f t="shared" si="64"/>
        <v>N</v>
      </c>
      <c r="BA91" s="161" t="str">
        <f t="shared" si="65"/>
        <v>N</v>
      </c>
      <c r="BB91" s="161" t="str">
        <f t="shared" si="66"/>
        <v>N</v>
      </c>
      <c r="BC91" s="161" t="str">
        <f t="shared" si="67"/>
        <v>Y</v>
      </c>
      <c r="BD91" s="161" t="str">
        <f t="shared" si="68"/>
        <v>N</v>
      </c>
      <c r="BE91" s="161" t="str">
        <f t="shared" si="69"/>
        <v>Y</v>
      </c>
      <c r="BF91" s="161" t="str">
        <f t="shared" si="70"/>
        <v>Y</v>
      </c>
      <c r="BG91" s="161" t="str">
        <f t="shared" si="71"/>
        <v>N</v>
      </c>
      <c r="BH91" s="161" t="str">
        <f t="shared" si="72"/>
        <v>N</v>
      </c>
      <c r="BI91" s="161" t="str">
        <f t="shared" si="73"/>
        <v>N</v>
      </c>
      <c r="BJ91" s="161" t="str">
        <f t="shared" si="74"/>
        <v>Y</v>
      </c>
      <c r="BK91" s="161" t="str">
        <f t="shared" si="75"/>
        <v>Y</v>
      </c>
      <c r="BL91" s="161" t="str">
        <f t="shared" si="76"/>
        <v>Y</v>
      </c>
      <c r="BM91" s="161" t="str">
        <f t="shared" si="77"/>
        <v>Y</v>
      </c>
      <c r="BN91" s="176" t="str">
        <f t="shared" si="78"/>
        <v>Y</v>
      </c>
      <c r="BO91" s="222" t="s">
        <v>527</v>
      </c>
      <c r="BP91" s="174" t="str">
        <f t="shared" si="79"/>
        <v>深交所主板</v>
      </c>
      <c r="BQ91" s="219" t="s">
        <v>317</v>
      </c>
      <c r="BR91" s="173">
        <f t="shared" si="80"/>
        <v>43100</v>
      </c>
      <c r="BS91" s="171" t="str">
        <f t="shared" si="81"/>
        <v>Y</v>
      </c>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row>
    <row r="92" spans="1:163" s="7" customFormat="1" ht="15" customHeight="1" x14ac:dyDescent="0.25">
      <c r="A92" s="31">
        <v>209</v>
      </c>
      <c r="B92" s="32" t="s">
        <v>1043</v>
      </c>
      <c r="C92" s="187" t="s">
        <v>1044</v>
      </c>
      <c r="D92" s="56" t="s">
        <v>612</v>
      </c>
      <c r="E92" s="56" t="s">
        <v>613</v>
      </c>
      <c r="F92" s="56" t="s">
        <v>1045</v>
      </c>
      <c r="G92" s="56" t="s">
        <v>354</v>
      </c>
      <c r="H92" s="41" t="s">
        <v>368</v>
      </c>
      <c r="I92" s="78">
        <v>43971</v>
      </c>
      <c r="J92" s="78">
        <v>44439</v>
      </c>
      <c r="K92" s="85">
        <v>44511</v>
      </c>
      <c r="L92" s="79" t="s">
        <v>1046</v>
      </c>
      <c r="M92" s="77" t="s">
        <v>729</v>
      </c>
      <c r="N92" s="77">
        <v>4</v>
      </c>
      <c r="O92" s="69" t="str">
        <f t="shared" si="62"/>
        <v>3-5年</v>
      </c>
      <c r="P92" s="69" t="s">
        <v>730</v>
      </c>
      <c r="Q92" s="45" t="s">
        <v>1047</v>
      </c>
      <c r="R92" s="199">
        <v>40268</v>
      </c>
      <c r="S92" s="55" t="s">
        <v>1048</v>
      </c>
      <c r="T92" s="160" t="s">
        <v>345</v>
      </c>
      <c r="U92" s="69" t="str">
        <f t="shared" si="63"/>
        <v>Y</v>
      </c>
      <c r="V92" s="56" t="s">
        <v>318</v>
      </c>
      <c r="W92" s="99" t="s">
        <v>1049</v>
      </c>
      <c r="X92" s="197" t="s">
        <v>334</v>
      </c>
      <c r="Y92" s="134">
        <v>60</v>
      </c>
      <c r="Z92" s="135">
        <v>282500</v>
      </c>
      <c r="AA92" s="135">
        <v>258566.72</v>
      </c>
      <c r="AB92" s="155">
        <v>2018</v>
      </c>
      <c r="AC92" s="135">
        <v>1904025.92</v>
      </c>
      <c r="AD92" s="128">
        <f>AA92/AC92</f>
        <v>0.13580000003361301</v>
      </c>
      <c r="AE92" s="135"/>
      <c r="AF92" s="135"/>
      <c r="AG92" s="100"/>
      <c r="AH92" s="135"/>
      <c r="AI92" s="128"/>
      <c r="AJ92" s="135"/>
      <c r="AK92" s="135"/>
      <c r="AL92" s="155"/>
      <c r="AM92" s="135"/>
      <c r="AN92" s="128"/>
      <c r="AO92" s="135"/>
      <c r="AP92" s="135"/>
      <c r="AQ92" s="56"/>
      <c r="AR92" s="135"/>
      <c r="AS92" s="128"/>
      <c r="AT92" s="135"/>
      <c r="AU92" s="135"/>
      <c r="AV92" s="155"/>
      <c r="AW92" s="135"/>
      <c r="AX92" s="128"/>
      <c r="AY92" s="68" t="s">
        <v>1050</v>
      </c>
      <c r="AZ92" s="161" t="str">
        <f t="shared" si="64"/>
        <v>Y</v>
      </c>
      <c r="BA92" s="161" t="str">
        <f t="shared" si="65"/>
        <v>N</v>
      </c>
      <c r="BB92" s="161" t="str">
        <f t="shared" si="66"/>
        <v>N</v>
      </c>
      <c r="BC92" s="161" t="str">
        <f t="shared" si="67"/>
        <v>N</v>
      </c>
      <c r="BD92" s="161" t="str">
        <f t="shared" si="68"/>
        <v>N</v>
      </c>
      <c r="BE92" s="161" t="str">
        <f t="shared" si="69"/>
        <v>N</v>
      </c>
      <c r="BF92" s="161" t="str">
        <f t="shared" si="70"/>
        <v>N</v>
      </c>
      <c r="BG92" s="161" t="str">
        <f t="shared" si="71"/>
        <v>N</v>
      </c>
      <c r="BH92" s="161" t="str">
        <f t="shared" si="72"/>
        <v>N</v>
      </c>
      <c r="BI92" s="161" t="str">
        <f t="shared" si="73"/>
        <v>N</v>
      </c>
      <c r="BJ92" s="161" t="str">
        <f t="shared" si="74"/>
        <v>N</v>
      </c>
      <c r="BK92" s="161" t="str">
        <f t="shared" si="75"/>
        <v>N</v>
      </c>
      <c r="BL92" s="161" t="str">
        <f t="shared" si="76"/>
        <v>Y</v>
      </c>
      <c r="BM92" s="161" t="str">
        <f t="shared" si="77"/>
        <v>N</v>
      </c>
      <c r="BN92" s="176" t="str">
        <f t="shared" si="78"/>
        <v>N</v>
      </c>
      <c r="BO92" s="222" t="s">
        <v>423</v>
      </c>
      <c r="BP92" s="174" t="str">
        <f t="shared" si="79"/>
        <v>上交所主板</v>
      </c>
      <c r="BQ92" s="219" t="s">
        <v>317</v>
      </c>
      <c r="BR92" s="173">
        <f t="shared" si="80"/>
        <v>41274</v>
      </c>
      <c r="BS92" s="171" t="str">
        <f t="shared" si="81"/>
        <v>N</v>
      </c>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row>
    <row r="93" spans="1:163" s="7" customFormat="1" ht="15" customHeight="1" x14ac:dyDescent="0.25">
      <c r="A93" s="31">
        <v>208</v>
      </c>
      <c r="B93" s="32" t="s">
        <v>1051</v>
      </c>
      <c r="C93" s="187" t="s">
        <v>1052</v>
      </c>
      <c r="D93" s="56" t="s">
        <v>612</v>
      </c>
      <c r="E93" s="57" t="s">
        <v>613</v>
      </c>
      <c r="F93" s="52" t="s">
        <v>1053</v>
      </c>
      <c r="G93" s="57" t="s">
        <v>380</v>
      </c>
      <c r="H93" s="41" t="s">
        <v>368</v>
      </c>
      <c r="I93" s="78">
        <v>44196</v>
      </c>
      <c r="J93" s="78">
        <v>44435</v>
      </c>
      <c r="K93" s="85">
        <v>44502</v>
      </c>
      <c r="L93" s="194" t="s">
        <v>1054</v>
      </c>
      <c r="M93" s="77">
        <v>2018</v>
      </c>
      <c r="N93" s="77">
        <v>1</v>
      </c>
      <c r="O93" s="69" t="str">
        <f t="shared" si="62"/>
        <v>1-2年</v>
      </c>
      <c r="P93" s="69" t="s">
        <v>382</v>
      </c>
      <c r="Q93" s="45" t="s">
        <v>1055</v>
      </c>
      <c r="R93" s="199">
        <v>35803</v>
      </c>
      <c r="S93" s="55" t="s">
        <v>822</v>
      </c>
      <c r="T93" s="160" t="s">
        <v>345</v>
      </c>
      <c r="U93" s="69" t="str">
        <f t="shared" si="63"/>
        <v>Y</v>
      </c>
      <c r="V93" s="56" t="s">
        <v>333</v>
      </c>
      <c r="W93" s="99" t="s">
        <v>319</v>
      </c>
      <c r="X93" s="197" t="s">
        <v>334</v>
      </c>
      <c r="Y93" s="134">
        <v>60</v>
      </c>
      <c r="Z93" s="135"/>
      <c r="AA93" s="135"/>
      <c r="AB93" s="155"/>
      <c r="AC93" s="135"/>
      <c r="AD93" s="128"/>
      <c r="AE93" s="135">
        <v>46037.74</v>
      </c>
      <c r="AF93" s="135">
        <v>46037.74</v>
      </c>
      <c r="AG93" s="100">
        <v>2018</v>
      </c>
      <c r="AH93" s="135">
        <v>74135.509999999995</v>
      </c>
      <c r="AI93" s="128">
        <f>AF93/AH93</f>
        <v>0.62099444652097224</v>
      </c>
      <c r="AJ93" s="135"/>
      <c r="AK93" s="135"/>
      <c r="AL93" s="155"/>
      <c r="AM93" s="135"/>
      <c r="AN93" s="128"/>
      <c r="AO93" s="135">
        <v>19108.02</v>
      </c>
      <c r="AP93" s="135">
        <v>19108.02</v>
      </c>
      <c r="AQ93" s="56">
        <v>2018</v>
      </c>
      <c r="AR93" s="135">
        <v>12140.36</v>
      </c>
      <c r="AS93" s="128">
        <f>AP93/AR93</f>
        <v>1.5739253201717247</v>
      </c>
      <c r="AT93" s="135"/>
      <c r="AU93" s="135"/>
      <c r="AV93" s="155"/>
      <c r="AW93" s="135"/>
      <c r="AX93" s="128"/>
      <c r="AY93" s="68" t="s">
        <v>1056</v>
      </c>
      <c r="AZ93" s="161" t="str">
        <f t="shared" si="64"/>
        <v>N</v>
      </c>
      <c r="BA93" s="161" t="str">
        <f t="shared" si="65"/>
        <v>N</v>
      </c>
      <c r="BB93" s="161" t="str">
        <f t="shared" si="66"/>
        <v>N</v>
      </c>
      <c r="BC93" s="161" t="str">
        <f t="shared" si="67"/>
        <v>Y</v>
      </c>
      <c r="BD93" s="161" t="str">
        <f t="shared" si="68"/>
        <v>N</v>
      </c>
      <c r="BE93" s="161" t="str">
        <f t="shared" si="69"/>
        <v>N</v>
      </c>
      <c r="BF93" s="161" t="str">
        <f t="shared" si="70"/>
        <v>N</v>
      </c>
      <c r="BG93" s="161" t="str">
        <f t="shared" si="71"/>
        <v>N</v>
      </c>
      <c r="BH93" s="161" t="str">
        <f t="shared" si="72"/>
        <v>Y</v>
      </c>
      <c r="BI93" s="161" t="str">
        <f t="shared" si="73"/>
        <v>Y</v>
      </c>
      <c r="BJ93" s="161" t="str">
        <f t="shared" si="74"/>
        <v>N</v>
      </c>
      <c r="BK93" s="161" t="str">
        <f t="shared" si="75"/>
        <v>N</v>
      </c>
      <c r="BL93" s="161" t="str">
        <f t="shared" si="76"/>
        <v>N</v>
      </c>
      <c r="BM93" s="161" t="str">
        <f t="shared" si="77"/>
        <v>Y</v>
      </c>
      <c r="BN93" s="176" t="str">
        <f t="shared" si="78"/>
        <v>Y</v>
      </c>
      <c r="BO93" s="222" t="s">
        <v>1057</v>
      </c>
      <c r="BP93" s="174" t="str">
        <f t="shared" si="79"/>
        <v>深交所主板</v>
      </c>
      <c r="BQ93" s="219" t="s">
        <v>317</v>
      </c>
      <c r="BR93" s="173">
        <f t="shared" si="80"/>
        <v>36891</v>
      </c>
      <c r="BS93" s="171" t="str">
        <f t="shared" si="81"/>
        <v>N</v>
      </c>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row>
    <row r="94" spans="1:163" ht="15" customHeight="1" x14ac:dyDescent="0.25">
      <c r="A94" s="31">
        <v>207</v>
      </c>
      <c r="B94" s="32" t="s">
        <v>1058</v>
      </c>
      <c r="C94" s="187" t="s">
        <v>1059</v>
      </c>
      <c r="D94" s="57" t="s">
        <v>377</v>
      </c>
      <c r="E94" s="57" t="s">
        <v>378</v>
      </c>
      <c r="F94" s="57" t="s">
        <v>1060</v>
      </c>
      <c r="G94" s="57" t="s">
        <v>315</v>
      </c>
      <c r="H94" s="32" t="s">
        <v>327</v>
      </c>
      <c r="I94" s="78">
        <v>43928</v>
      </c>
      <c r="J94" s="78">
        <v>44421</v>
      </c>
      <c r="K94" s="85">
        <v>44848</v>
      </c>
      <c r="L94" s="79" t="s">
        <v>1061</v>
      </c>
      <c r="M94" s="69" t="s">
        <v>487</v>
      </c>
      <c r="N94" s="69">
        <v>4</v>
      </c>
      <c r="O94" s="69" t="str">
        <f t="shared" si="62"/>
        <v>3-5年</v>
      </c>
      <c r="P94" s="69" t="s">
        <v>1012</v>
      </c>
      <c r="Q94" s="32" t="s">
        <v>1040</v>
      </c>
      <c r="R94" s="199">
        <v>40262</v>
      </c>
      <c r="S94" s="55" t="s">
        <v>332</v>
      </c>
      <c r="T94" s="161" t="s">
        <v>317</v>
      </c>
      <c r="U94" s="69" t="str">
        <f t="shared" si="63"/>
        <v>Y</v>
      </c>
      <c r="V94" s="57" t="s">
        <v>988</v>
      </c>
      <c r="W94" s="197" t="s">
        <v>1062</v>
      </c>
      <c r="X94" s="197" t="s">
        <v>334</v>
      </c>
      <c r="Y94" s="213">
        <v>500</v>
      </c>
      <c r="Z94" s="149">
        <v>167179.01999999999</v>
      </c>
      <c r="AA94" s="149">
        <v>78987.199999999997</v>
      </c>
      <c r="AB94" s="214">
        <v>2019</v>
      </c>
      <c r="AC94" s="149">
        <v>695545</v>
      </c>
      <c r="AD94" s="128">
        <f>AA94/AC94</f>
        <v>0.11356159558331955</v>
      </c>
      <c r="AE94" s="149">
        <v>21947.4</v>
      </c>
      <c r="AF94" s="149">
        <v>10413.64</v>
      </c>
      <c r="AG94" s="100">
        <v>2018</v>
      </c>
      <c r="AH94" s="149">
        <v>124018.08</v>
      </c>
      <c r="AI94" s="128">
        <f>AF94/AH94</f>
        <v>8.3968724560160898E-2</v>
      </c>
      <c r="AJ94" s="149">
        <v>5561.03</v>
      </c>
      <c r="AK94" s="149">
        <v>2827.43</v>
      </c>
      <c r="AL94" s="155">
        <v>2017</v>
      </c>
      <c r="AM94" s="149">
        <v>25237.29</v>
      </c>
      <c r="AN94" s="128">
        <f>AK94/AM94</f>
        <v>0.11203381979602405</v>
      </c>
      <c r="AO94" s="149"/>
      <c r="AP94" s="149"/>
      <c r="AQ94" s="57"/>
      <c r="AR94" s="149"/>
      <c r="AS94" s="128"/>
      <c r="AT94" s="149">
        <v>316948.59999999998</v>
      </c>
      <c r="AU94" s="149">
        <v>216208.52</v>
      </c>
      <c r="AV94" s="214">
        <v>2018</v>
      </c>
      <c r="AW94" s="149">
        <v>695545</v>
      </c>
      <c r="AX94" s="128">
        <f>AU94/AW94</f>
        <v>0.31084763746414679</v>
      </c>
      <c r="AY94" s="191" t="s">
        <v>1063</v>
      </c>
      <c r="AZ94" s="161" t="str">
        <f t="shared" si="64"/>
        <v>Y</v>
      </c>
      <c r="BA94" s="161" t="str">
        <f t="shared" si="65"/>
        <v>N</v>
      </c>
      <c r="BB94" s="161" t="str">
        <f t="shared" si="66"/>
        <v>N</v>
      </c>
      <c r="BC94" s="161" t="str">
        <f t="shared" si="67"/>
        <v>N</v>
      </c>
      <c r="BD94" s="161" t="str">
        <f t="shared" si="68"/>
        <v>N</v>
      </c>
      <c r="BE94" s="161" t="str">
        <f t="shared" si="69"/>
        <v>N</v>
      </c>
      <c r="BF94" s="161" t="str">
        <f t="shared" si="70"/>
        <v>N</v>
      </c>
      <c r="BG94" s="161" t="str">
        <f t="shared" si="71"/>
        <v>N</v>
      </c>
      <c r="BH94" s="161" t="str">
        <f t="shared" si="72"/>
        <v>N</v>
      </c>
      <c r="BI94" s="161" t="str">
        <f t="shared" si="73"/>
        <v>N</v>
      </c>
      <c r="BJ94" s="161" t="str">
        <f t="shared" si="74"/>
        <v>Y</v>
      </c>
      <c r="BK94" s="161" t="str">
        <f t="shared" si="75"/>
        <v>N</v>
      </c>
      <c r="BL94" s="161" t="str">
        <f t="shared" si="76"/>
        <v>Y</v>
      </c>
      <c r="BM94" s="161" t="str">
        <f t="shared" si="77"/>
        <v>N</v>
      </c>
      <c r="BN94" s="176" t="str">
        <f t="shared" si="78"/>
        <v>N</v>
      </c>
      <c r="BO94" s="222" t="s">
        <v>363</v>
      </c>
      <c r="BP94" s="174" t="str">
        <f t="shared" si="79"/>
        <v>深交所创业板</v>
      </c>
      <c r="BQ94" s="219" t="s">
        <v>317</v>
      </c>
      <c r="BR94" s="173">
        <f t="shared" si="80"/>
        <v>41639</v>
      </c>
      <c r="BS94" s="171" t="str">
        <f t="shared" si="81"/>
        <v>N</v>
      </c>
    </row>
    <row r="95" spans="1:163" s="11" customFormat="1" ht="15" customHeight="1" x14ac:dyDescent="0.25">
      <c r="A95" s="31">
        <v>206</v>
      </c>
      <c r="B95" s="32" t="s">
        <v>1064</v>
      </c>
      <c r="C95" s="187" t="s">
        <v>1065</v>
      </c>
      <c r="D95" s="57" t="s">
        <v>1066</v>
      </c>
      <c r="E95" s="57" t="s">
        <v>1067</v>
      </c>
      <c r="F95" s="52" t="s">
        <v>1068</v>
      </c>
      <c r="G95" s="57" t="s">
        <v>354</v>
      </c>
      <c r="H95" s="189" t="s">
        <v>327</v>
      </c>
      <c r="I95" s="78">
        <v>44020</v>
      </c>
      <c r="J95" s="78">
        <v>44420</v>
      </c>
      <c r="K95" s="85">
        <v>44547</v>
      </c>
      <c r="L95" s="194" t="s">
        <v>1069</v>
      </c>
      <c r="M95" s="77" t="s">
        <v>804</v>
      </c>
      <c r="N95" s="77">
        <v>2.5</v>
      </c>
      <c r="O95" s="69" t="str">
        <f t="shared" si="62"/>
        <v>2-3年</v>
      </c>
      <c r="P95" s="77" t="s">
        <v>1070</v>
      </c>
      <c r="Q95" s="45" t="s">
        <v>946</v>
      </c>
      <c r="R95" s="199">
        <v>35761</v>
      </c>
      <c r="S95" s="55" t="s">
        <v>863</v>
      </c>
      <c r="T95" s="160" t="s">
        <v>345</v>
      </c>
      <c r="U95" s="69" t="str">
        <f t="shared" si="63"/>
        <v>N</v>
      </c>
      <c r="V95" s="57" t="s">
        <v>361</v>
      </c>
      <c r="W95" s="99" t="s">
        <v>361</v>
      </c>
      <c r="X95" s="197" t="s">
        <v>334</v>
      </c>
      <c r="Y95" s="134">
        <v>60</v>
      </c>
      <c r="Z95" s="135"/>
      <c r="AA95" s="135"/>
      <c r="AB95" s="155"/>
      <c r="AC95" s="135"/>
      <c r="AD95" s="128"/>
      <c r="AE95" s="135"/>
      <c r="AF95" s="149"/>
      <c r="AG95" s="100"/>
      <c r="AH95" s="149"/>
      <c r="AI95" s="128"/>
      <c r="AJ95" s="135"/>
      <c r="AK95" s="135"/>
      <c r="AL95" s="155"/>
      <c r="AM95" s="149"/>
      <c r="AN95" s="128"/>
      <c r="AO95" s="135"/>
      <c r="AP95" s="135"/>
      <c r="AQ95" s="56"/>
      <c r="AR95" s="135"/>
      <c r="AS95" s="128"/>
      <c r="AT95" s="135">
        <v>46933.42</v>
      </c>
      <c r="AU95" s="135">
        <v>20492.349999999999</v>
      </c>
      <c r="AV95" s="155">
        <v>2018</v>
      </c>
      <c r="AW95" s="135">
        <v>121326.91</v>
      </c>
      <c r="AX95" s="128">
        <f>AU95/AW95</f>
        <v>0.16890193609974899</v>
      </c>
      <c r="AY95" s="68" t="s">
        <v>1071</v>
      </c>
      <c r="AZ95" s="161" t="str">
        <f t="shared" si="64"/>
        <v>N</v>
      </c>
      <c r="BA95" s="161" t="str">
        <f t="shared" si="65"/>
        <v>N</v>
      </c>
      <c r="BB95" s="161" t="str">
        <f t="shared" si="66"/>
        <v>N</v>
      </c>
      <c r="BC95" s="161" t="str">
        <f t="shared" si="67"/>
        <v>N</v>
      </c>
      <c r="BD95" s="161" t="str">
        <f t="shared" si="68"/>
        <v>N</v>
      </c>
      <c r="BE95" s="161" t="str">
        <f t="shared" si="69"/>
        <v>N</v>
      </c>
      <c r="BF95" s="161" t="str">
        <f t="shared" si="70"/>
        <v>N</v>
      </c>
      <c r="BG95" s="161" t="str">
        <f t="shared" si="71"/>
        <v>N</v>
      </c>
      <c r="BH95" s="161" t="str">
        <f t="shared" si="72"/>
        <v>N</v>
      </c>
      <c r="BI95" s="161" t="str">
        <f t="shared" si="73"/>
        <v>N</v>
      </c>
      <c r="BJ95" s="161" t="str">
        <f t="shared" si="74"/>
        <v>N</v>
      </c>
      <c r="BK95" s="161" t="str">
        <f t="shared" si="75"/>
        <v>N</v>
      </c>
      <c r="BL95" s="161" t="str">
        <f t="shared" si="76"/>
        <v>N</v>
      </c>
      <c r="BM95" s="161" t="str">
        <f t="shared" si="77"/>
        <v>N</v>
      </c>
      <c r="BN95" s="176" t="str">
        <f t="shared" si="78"/>
        <v>N</v>
      </c>
      <c r="BO95" s="222" t="s">
        <v>1072</v>
      </c>
      <c r="BP95" s="174" t="str">
        <f t="shared" si="79"/>
        <v>上交所主板</v>
      </c>
      <c r="BQ95" s="219" t="s">
        <v>317</v>
      </c>
      <c r="BR95" s="173">
        <f t="shared" si="80"/>
        <v>36525</v>
      </c>
      <c r="BS95" s="171" t="str">
        <f t="shared" si="81"/>
        <v>N</v>
      </c>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row>
    <row r="96" spans="1:163" s="11" customFormat="1" ht="15" customHeight="1" x14ac:dyDescent="0.25">
      <c r="A96" s="31">
        <v>205</v>
      </c>
      <c r="B96" s="32" t="s">
        <v>1073</v>
      </c>
      <c r="C96" s="187" t="s">
        <v>1074</v>
      </c>
      <c r="D96" s="57" t="s">
        <v>686</v>
      </c>
      <c r="E96" s="57" t="s">
        <v>1075</v>
      </c>
      <c r="F96" s="52" t="s">
        <v>1076</v>
      </c>
      <c r="G96" s="57" t="s">
        <v>326</v>
      </c>
      <c r="H96" s="189" t="s">
        <v>368</v>
      </c>
      <c r="I96" s="78">
        <v>44246</v>
      </c>
      <c r="J96" s="78">
        <v>44417</v>
      </c>
      <c r="K96" s="85">
        <v>44429</v>
      </c>
      <c r="L96" s="194" t="s">
        <v>1077</v>
      </c>
      <c r="M96" s="77" t="s">
        <v>748</v>
      </c>
      <c r="N96" s="77">
        <v>2</v>
      </c>
      <c r="O96" s="69" t="str">
        <f t="shared" si="62"/>
        <v>2-3年</v>
      </c>
      <c r="P96" s="77" t="s">
        <v>749</v>
      </c>
      <c r="Q96" s="45" t="s">
        <v>1078</v>
      </c>
      <c r="R96" s="199">
        <v>35405</v>
      </c>
      <c r="S96" s="55" t="s">
        <v>1079</v>
      </c>
      <c r="T96" s="160" t="s">
        <v>317</v>
      </c>
      <c r="U96" s="69" t="str">
        <f t="shared" si="63"/>
        <v>N</v>
      </c>
      <c r="V96" s="57" t="s">
        <v>318</v>
      </c>
      <c r="W96" s="99" t="s">
        <v>346</v>
      </c>
      <c r="X96" s="197" t="s">
        <v>320</v>
      </c>
      <c r="Y96" s="134">
        <v>50</v>
      </c>
      <c r="Z96" s="135"/>
      <c r="AA96" s="135"/>
      <c r="AB96" s="155"/>
      <c r="AC96" s="135"/>
      <c r="AD96" s="128"/>
      <c r="AE96" s="135">
        <v>5681.72</v>
      </c>
      <c r="AF96" s="149">
        <v>5681.72</v>
      </c>
      <c r="AG96" s="100">
        <v>2017</v>
      </c>
      <c r="AH96" s="149">
        <v>124003.41</v>
      </c>
      <c r="AI96" s="128">
        <f>AF96/AH96</f>
        <v>4.5819062556424858E-2</v>
      </c>
      <c r="AJ96" s="217">
        <v>4306.8900000000003</v>
      </c>
      <c r="AK96" s="135">
        <v>4306.8900000000003</v>
      </c>
      <c r="AL96" s="155">
        <v>2017</v>
      </c>
      <c r="AM96" s="149">
        <v>11779.81</v>
      </c>
      <c r="AN96" s="128">
        <f>AK96/AM96</f>
        <v>0.36561625357285055</v>
      </c>
      <c r="AO96" s="135">
        <v>301.52</v>
      </c>
      <c r="AP96" s="135">
        <v>788.01</v>
      </c>
      <c r="AQ96" s="56">
        <v>2016</v>
      </c>
      <c r="AR96" s="135">
        <v>12911.79</v>
      </c>
      <c r="AS96" s="128">
        <f>AP96/AR96</f>
        <v>6.1030267685580383E-2</v>
      </c>
      <c r="AT96" s="135"/>
      <c r="AU96" s="135"/>
      <c r="AV96" s="155"/>
      <c r="AW96" s="135"/>
      <c r="AX96" s="128"/>
      <c r="AY96" s="68" t="s">
        <v>1080</v>
      </c>
      <c r="AZ96" s="161" t="str">
        <f t="shared" si="64"/>
        <v>N</v>
      </c>
      <c r="BA96" s="161" t="str">
        <f t="shared" si="65"/>
        <v>N</v>
      </c>
      <c r="BB96" s="161" t="str">
        <f t="shared" si="66"/>
        <v>N</v>
      </c>
      <c r="BC96" s="161" t="str">
        <f t="shared" si="67"/>
        <v>N</v>
      </c>
      <c r="BD96" s="161" t="str">
        <f t="shared" si="68"/>
        <v>N</v>
      </c>
      <c r="BE96" s="161" t="str">
        <f t="shared" si="69"/>
        <v>N</v>
      </c>
      <c r="BF96" s="161" t="str">
        <f t="shared" si="70"/>
        <v>N</v>
      </c>
      <c r="BG96" s="161" t="str">
        <f t="shared" si="71"/>
        <v>N</v>
      </c>
      <c r="BH96" s="161" t="str">
        <f t="shared" si="72"/>
        <v>N</v>
      </c>
      <c r="BI96" s="161" t="str">
        <f t="shared" si="73"/>
        <v>N</v>
      </c>
      <c r="BJ96" s="161" t="str">
        <f t="shared" si="74"/>
        <v>N</v>
      </c>
      <c r="BK96" s="161" t="str">
        <f t="shared" si="75"/>
        <v>N</v>
      </c>
      <c r="BL96" s="161" t="str">
        <f t="shared" si="76"/>
        <v>N</v>
      </c>
      <c r="BM96" s="161" t="str">
        <f t="shared" si="77"/>
        <v>N</v>
      </c>
      <c r="BN96" s="176" t="str">
        <f t="shared" si="78"/>
        <v>N</v>
      </c>
      <c r="BO96" s="222" t="s">
        <v>1081</v>
      </c>
      <c r="BP96" s="174" t="str">
        <f t="shared" si="79"/>
        <v>深交所主板</v>
      </c>
      <c r="BQ96" s="219" t="s">
        <v>317</v>
      </c>
      <c r="BR96" s="173">
        <f t="shared" si="80"/>
        <v>36160</v>
      </c>
      <c r="BS96" s="171" t="str">
        <f t="shared" si="81"/>
        <v>N</v>
      </c>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row>
    <row r="97" spans="1:163" s="11" customFormat="1" ht="15" customHeight="1" x14ac:dyDescent="0.25">
      <c r="A97" s="31">
        <v>204</v>
      </c>
      <c r="B97" s="32" t="s">
        <v>1082</v>
      </c>
      <c r="C97" s="187" t="s">
        <v>1083</v>
      </c>
      <c r="D97" s="57" t="s">
        <v>313</v>
      </c>
      <c r="E97" s="57" t="s">
        <v>366</v>
      </c>
      <c r="F97" s="52" t="s">
        <v>1084</v>
      </c>
      <c r="G97" s="57" t="s">
        <v>326</v>
      </c>
      <c r="H97" s="41" t="s">
        <v>327</v>
      </c>
      <c r="I97" s="78">
        <v>43769</v>
      </c>
      <c r="J97" s="78">
        <v>44407</v>
      </c>
      <c r="K97" s="85" t="s">
        <v>312</v>
      </c>
      <c r="L97" s="194" t="s">
        <v>1085</v>
      </c>
      <c r="M97" s="77" t="s">
        <v>679</v>
      </c>
      <c r="N97" s="77">
        <v>3</v>
      </c>
      <c r="O97" s="69" t="str">
        <f t="shared" si="62"/>
        <v>3-5年</v>
      </c>
      <c r="P97" s="77" t="s">
        <v>680</v>
      </c>
      <c r="Q97" s="45" t="s">
        <v>1086</v>
      </c>
      <c r="R97" s="199">
        <v>34240</v>
      </c>
      <c r="S97" s="55" t="s">
        <v>619</v>
      </c>
      <c r="T97" s="160" t="s">
        <v>317</v>
      </c>
      <c r="U97" s="69" t="str">
        <f t="shared" si="63"/>
        <v>Y</v>
      </c>
      <c r="V97" s="57" t="s">
        <v>333</v>
      </c>
      <c r="W97" s="99" t="s">
        <v>1023</v>
      </c>
      <c r="X97" s="197" t="s">
        <v>334</v>
      </c>
      <c r="Y97" s="134">
        <v>60</v>
      </c>
      <c r="Z97" s="135"/>
      <c r="AA97" s="135"/>
      <c r="AB97" s="155"/>
      <c r="AC97" s="135"/>
      <c r="AD97" s="128"/>
      <c r="AE97" s="149">
        <f>657400+32800+40365.84</f>
        <v>730565.84</v>
      </c>
      <c r="AF97" s="149">
        <v>280602.55</v>
      </c>
      <c r="AG97" s="100">
        <v>2018</v>
      </c>
      <c r="AH97" s="149">
        <v>969563.53</v>
      </c>
      <c r="AI97" s="128">
        <f>AF97/AH97</f>
        <v>0.28941120547304411</v>
      </c>
      <c r="AJ97" s="135">
        <f>224600+32800+40365.84</f>
        <v>297765.83999999997</v>
      </c>
      <c r="AK97" s="135">
        <v>118782.42</v>
      </c>
      <c r="AL97" s="155">
        <v>2018</v>
      </c>
      <c r="AM97" s="149">
        <v>-243913.03</v>
      </c>
      <c r="AN97" s="128">
        <f>AK97/AM97</f>
        <v>-0.48698677557324427</v>
      </c>
      <c r="AO97" s="135"/>
      <c r="AP97" s="135"/>
      <c r="AQ97" s="56"/>
      <c r="AR97" s="135"/>
      <c r="AS97" s="128"/>
      <c r="AT97" s="135"/>
      <c r="AU97" s="135"/>
      <c r="AV97" s="155"/>
      <c r="AW97" s="135"/>
      <c r="AX97" s="128"/>
      <c r="AY97" s="68" t="s">
        <v>1087</v>
      </c>
      <c r="AZ97" s="161" t="str">
        <f t="shared" si="64"/>
        <v>N</v>
      </c>
      <c r="BA97" s="161" t="str">
        <f t="shared" si="65"/>
        <v>N</v>
      </c>
      <c r="BB97" s="161" t="str">
        <f t="shared" si="66"/>
        <v>Y</v>
      </c>
      <c r="BC97" s="161" t="str">
        <f t="shared" si="67"/>
        <v>N</v>
      </c>
      <c r="BD97" s="161" t="str">
        <f t="shared" si="68"/>
        <v>Y</v>
      </c>
      <c r="BE97" s="161" t="str">
        <f t="shared" si="69"/>
        <v>N</v>
      </c>
      <c r="BF97" s="161" t="str">
        <f t="shared" si="70"/>
        <v>N</v>
      </c>
      <c r="BG97" s="161" t="str">
        <f t="shared" si="71"/>
        <v>N</v>
      </c>
      <c r="BH97" s="161" t="str">
        <f t="shared" si="72"/>
        <v>N</v>
      </c>
      <c r="BI97" s="161" t="str">
        <f t="shared" si="73"/>
        <v>N</v>
      </c>
      <c r="BJ97" s="161" t="str">
        <f t="shared" si="74"/>
        <v>N</v>
      </c>
      <c r="BK97" s="161" t="str">
        <f t="shared" si="75"/>
        <v>N</v>
      </c>
      <c r="BL97" s="161" t="str">
        <f t="shared" si="76"/>
        <v>Y</v>
      </c>
      <c r="BM97" s="161" t="str">
        <f t="shared" si="77"/>
        <v>N</v>
      </c>
      <c r="BN97" s="176" t="str">
        <f t="shared" si="78"/>
        <v>N</v>
      </c>
      <c r="BO97" s="222" t="s">
        <v>374</v>
      </c>
      <c r="BP97" s="174" t="str">
        <f t="shared" si="79"/>
        <v>上交所主板</v>
      </c>
      <c r="BQ97" s="219" t="s">
        <v>317</v>
      </c>
      <c r="BR97" s="173">
        <f t="shared" si="80"/>
        <v>35064</v>
      </c>
      <c r="BS97" s="171" t="str">
        <f t="shared" si="81"/>
        <v>N</v>
      </c>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row>
    <row r="98" spans="1:163" s="11" customFormat="1" ht="15" customHeight="1" x14ac:dyDescent="0.25">
      <c r="A98" s="31">
        <v>203</v>
      </c>
      <c r="B98" s="32" t="s">
        <v>1088</v>
      </c>
      <c r="C98" s="187" t="s">
        <v>1089</v>
      </c>
      <c r="D98" s="57" t="s">
        <v>675</v>
      </c>
      <c r="E98" s="57" t="s">
        <v>1090</v>
      </c>
      <c r="F98" s="52" t="s">
        <v>1091</v>
      </c>
      <c r="G98" s="57" t="s">
        <v>315</v>
      </c>
      <c r="H98" s="41" t="s">
        <v>327</v>
      </c>
      <c r="I98" s="78">
        <v>43075</v>
      </c>
      <c r="J98" s="78">
        <v>44404</v>
      </c>
      <c r="K98" s="85">
        <v>44559</v>
      </c>
      <c r="L98" s="194" t="s">
        <v>1092</v>
      </c>
      <c r="M98" s="77" t="s">
        <v>748</v>
      </c>
      <c r="N98" s="77">
        <v>1.5</v>
      </c>
      <c r="O98" s="69" t="str">
        <f t="shared" si="62"/>
        <v>1-2年</v>
      </c>
      <c r="P98" s="77" t="s">
        <v>1093</v>
      </c>
      <c r="Q98" s="32" t="s">
        <v>1078</v>
      </c>
      <c r="R98" s="199">
        <v>36727</v>
      </c>
      <c r="S98" s="55" t="s">
        <v>508</v>
      </c>
      <c r="T98" s="160" t="s">
        <v>317</v>
      </c>
      <c r="U98" s="69" t="str">
        <f t="shared" si="63"/>
        <v>Y</v>
      </c>
      <c r="V98" s="57" t="s">
        <v>361</v>
      </c>
      <c r="W98" s="99" t="s">
        <v>361</v>
      </c>
      <c r="X98" s="99" t="s">
        <v>334</v>
      </c>
      <c r="Y98" s="134">
        <v>60</v>
      </c>
      <c r="Z98" s="135"/>
      <c r="AA98" s="135"/>
      <c r="AB98" s="155"/>
      <c r="AC98" s="135"/>
      <c r="AD98" s="128"/>
      <c r="AE98" s="135"/>
      <c r="AF98" s="135"/>
      <c r="AG98" s="100"/>
      <c r="AH98" s="135"/>
      <c r="AI98" s="128"/>
      <c r="AJ98" s="135"/>
      <c r="AK98" s="135"/>
      <c r="AL98" s="155"/>
      <c r="AM98" s="135"/>
      <c r="AN98" s="128"/>
      <c r="AO98" s="135"/>
      <c r="AP98" s="135"/>
      <c r="AQ98" s="56"/>
      <c r="AR98" s="135"/>
      <c r="AS98" s="128"/>
      <c r="AT98" s="135">
        <f>46900+89500</f>
        <v>136400</v>
      </c>
      <c r="AU98" s="135">
        <v>89500</v>
      </c>
      <c r="AV98" s="155">
        <v>2018</v>
      </c>
      <c r="AW98" s="135">
        <v>-77395.63</v>
      </c>
      <c r="AX98" s="128">
        <f>AU98/AW98</f>
        <v>-1.1563960394146284</v>
      </c>
      <c r="AY98" s="68" t="s">
        <v>1094</v>
      </c>
      <c r="AZ98" s="161" t="str">
        <f t="shared" si="64"/>
        <v>N</v>
      </c>
      <c r="BA98" s="161" t="str">
        <f t="shared" si="65"/>
        <v>N</v>
      </c>
      <c r="BB98" s="161" t="str">
        <f t="shared" si="66"/>
        <v>N</v>
      </c>
      <c r="BC98" s="161" t="str">
        <f t="shared" si="67"/>
        <v>N</v>
      </c>
      <c r="BD98" s="161" t="str">
        <f t="shared" si="68"/>
        <v>N</v>
      </c>
      <c r="BE98" s="161" t="str">
        <f t="shared" si="69"/>
        <v>N</v>
      </c>
      <c r="BF98" s="161" t="str">
        <f t="shared" si="70"/>
        <v>N</v>
      </c>
      <c r="BG98" s="161" t="str">
        <f t="shared" si="71"/>
        <v>N</v>
      </c>
      <c r="BH98" s="161" t="str">
        <f t="shared" si="72"/>
        <v>N</v>
      </c>
      <c r="BI98" s="161" t="str">
        <f t="shared" si="73"/>
        <v>N</v>
      </c>
      <c r="BJ98" s="161" t="str">
        <f t="shared" si="74"/>
        <v>Y</v>
      </c>
      <c r="BK98" s="161" t="str">
        <f t="shared" si="75"/>
        <v>N</v>
      </c>
      <c r="BL98" s="161" t="str">
        <f t="shared" si="76"/>
        <v>Y</v>
      </c>
      <c r="BM98" s="161" t="str">
        <f t="shared" si="77"/>
        <v>N</v>
      </c>
      <c r="BN98" s="176" t="str">
        <f t="shared" si="78"/>
        <v>N</v>
      </c>
      <c r="BO98" s="222" t="s">
        <v>1095</v>
      </c>
      <c r="BP98" s="174" t="str">
        <f t="shared" si="79"/>
        <v>上交所主板</v>
      </c>
      <c r="BQ98" s="219" t="s">
        <v>317</v>
      </c>
      <c r="BR98" s="173">
        <f t="shared" si="80"/>
        <v>37621</v>
      </c>
      <c r="BS98" s="171" t="str">
        <f t="shared" si="81"/>
        <v>N</v>
      </c>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row>
    <row r="99" spans="1:163" s="11" customFormat="1" ht="15" customHeight="1" x14ac:dyDescent="0.25">
      <c r="A99" s="31">
        <v>202</v>
      </c>
      <c r="B99" s="32" t="s">
        <v>1096</v>
      </c>
      <c r="C99" s="187" t="s">
        <v>1097</v>
      </c>
      <c r="D99" s="57" t="s">
        <v>313</v>
      </c>
      <c r="E99" s="57" t="s">
        <v>366</v>
      </c>
      <c r="F99" s="52" t="s">
        <v>1098</v>
      </c>
      <c r="G99" s="57" t="s">
        <v>315</v>
      </c>
      <c r="H99" s="41" t="s">
        <v>368</v>
      </c>
      <c r="I99" s="78">
        <v>44337</v>
      </c>
      <c r="J99" s="78">
        <v>44403</v>
      </c>
      <c r="K99" s="85">
        <v>44487</v>
      </c>
      <c r="L99" s="194" t="s">
        <v>1099</v>
      </c>
      <c r="M99" s="77" t="s">
        <v>594</v>
      </c>
      <c r="N99" s="77">
        <v>1.75</v>
      </c>
      <c r="O99" s="69" t="str">
        <f t="shared" si="62"/>
        <v>1-2年</v>
      </c>
      <c r="P99" s="77" t="s">
        <v>1100</v>
      </c>
      <c r="Q99" s="32" t="s">
        <v>371</v>
      </c>
      <c r="R99" s="199">
        <v>43549</v>
      </c>
      <c r="S99" s="55" t="s">
        <v>639</v>
      </c>
      <c r="T99" s="160" t="s">
        <v>317</v>
      </c>
      <c r="U99" s="69" t="str">
        <f t="shared" si="63"/>
        <v>N</v>
      </c>
      <c r="V99" s="57" t="s">
        <v>398</v>
      </c>
      <c r="W99" s="99" t="s">
        <v>319</v>
      </c>
      <c r="X99" s="99" t="s">
        <v>320</v>
      </c>
      <c r="Y99" s="134">
        <v>200</v>
      </c>
      <c r="Z99" s="135"/>
      <c r="AA99" s="135"/>
      <c r="AB99" s="155"/>
      <c r="AC99" s="135"/>
      <c r="AD99" s="128"/>
      <c r="AE99" s="135">
        <f>3521.04+2858.19</f>
        <v>6379.23</v>
      </c>
      <c r="AF99" s="135">
        <v>3521.04</v>
      </c>
      <c r="AG99" s="100">
        <v>2019</v>
      </c>
      <c r="AH99" s="135">
        <v>50087.1</v>
      </c>
      <c r="AI99" s="128">
        <f>AF99/AH99</f>
        <v>7.0298340291212708E-2</v>
      </c>
      <c r="AJ99" s="135">
        <f>2201.39+2534.74</f>
        <v>4736.1299999999992</v>
      </c>
      <c r="AK99" s="135">
        <v>2534.7399999999998</v>
      </c>
      <c r="AL99" s="155">
        <v>2020</v>
      </c>
      <c r="AM99" s="135">
        <v>6978.69</v>
      </c>
      <c r="AN99" s="128">
        <f>AK99/AM99</f>
        <v>0.36321143366448427</v>
      </c>
      <c r="AO99" s="135"/>
      <c r="AP99" s="135"/>
      <c r="AQ99" s="56"/>
      <c r="AR99" s="135"/>
      <c r="AS99" s="128"/>
      <c r="AT99" s="135"/>
      <c r="AU99" s="135"/>
      <c r="AV99" s="155"/>
      <c r="AW99" s="135"/>
      <c r="AX99" s="128"/>
      <c r="AY99" s="68" t="s">
        <v>1101</v>
      </c>
      <c r="AZ99" s="161" t="str">
        <f t="shared" si="64"/>
        <v>N</v>
      </c>
      <c r="BA99" s="161" t="str">
        <f t="shared" si="65"/>
        <v>N</v>
      </c>
      <c r="BB99" s="161" t="str">
        <f t="shared" si="66"/>
        <v>N</v>
      </c>
      <c r="BC99" s="161" t="str">
        <f t="shared" si="67"/>
        <v>N</v>
      </c>
      <c r="BD99" s="161" t="str">
        <f t="shared" si="68"/>
        <v>N</v>
      </c>
      <c r="BE99" s="161" t="str">
        <f t="shared" si="69"/>
        <v>N</v>
      </c>
      <c r="BF99" s="161" t="str">
        <f t="shared" si="70"/>
        <v>N</v>
      </c>
      <c r="BG99" s="161" t="str">
        <f t="shared" si="71"/>
        <v>N</v>
      </c>
      <c r="BH99" s="161" t="str">
        <f t="shared" si="72"/>
        <v>N</v>
      </c>
      <c r="BI99" s="161" t="str">
        <f t="shared" si="73"/>
        <v>N</v>
      </c>
      <c r="BJ99" s="161" t="str">
        <f t="shared" si="74"/>
        <v>N</v>
      </c>
      <c r="BK99" s="161" t="str">
        <f t="shared" si="75"/>
        <v>N</v>
      </c>
      <c r="BL99" s="161" t="str">
        <f t="shared" si="76"/>
        <v>N</v>
      </c>
      <c r="BM99" s="161" t="str">
        <f t="shared" si="77"/>
        <v>N</v>
      </c>
      <c r="BN99" s="176" t="str">
        <f t="shared" si="78"/>
        <v>N</v>
      </c>
      <c r="BO99" s="222" t="s">
        <v>1102</v>
      </c>
      <c r="BP99" s="174" t="str">
        <f t="shared" si="79"/>
        <v>深交所创业板</v>
      </c>
      <c r="BQ99" s="219" t="s">
        <v>317</v>
      </c>
      <c r="BR99" s="173">
        <f t="shared" si="80"/>
        <v>44926</v>
      </c>
      <c r="BS99" s="171" t="str">
        <f t="shared" si="81"/>
        <v>Y</v>
      </c>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row>
    <row r="100" spans="1:163" s="11" customFormat="1" ht="15" customHeight="1" x14ac:dyDescent="0.25">
      <c r="A100" s="31">
        <v>201</v>
      </c>
      <c r="B100" s="32" t="s">
        <v>1103</v>
      </c>
      <c r="C100" s="187" t="s">
        <v>1104</v>
      </c>
      <c r="D100" s="57" t="s">
        <v>623</v>
      </c>
      <c r="E100" s="57" t="s">
        <v>1105</v>
      </c>
      <c r="F100" s="52" t="s">
        <v>1106</v>
      </c>
      <c r="G100" s="57" t="s">
        <v>315</v>
      </c>
      <c r="H100" s="41" t="s">
        <v>602</v>
      </c>
      <c r="I100" s="78">
        <v>44047</v>
      </c>
      <c r="J100" s="78">
        <v>44386</v>
      </c>
      <c r="K100" s="85">
        <v>44441</v>
      </c>
      <c r="L100" s="194" t="s">
        <v>1107</v>
      </c>
      <c r="M100" s="77" t="s">
        <v>594</v>
      </c>
      <c r="N100" s="77">
        <v>1.25</v>
      </c>
      <c r="O100" s="69" t="str">
        <f t="shared" si="62"/>
        <v>1-2年</v>
      </c>
      <c r="P100" s="77" t="s">
        <v>1108</v>
      </c>
      <c r="Q100" s="32" t="s">
        <v>1109</v>
      </c>
      <c r="R100" s="199">
        <v>40858</v>
      </c>
      <c r="S100" s="55" t="s">
        <v>555</v>
      </c>
      <c r="T100" s="160" t="s">
        <v>317</v>
      </c>
      <c r="U100" s="69" t="str">
        <f t="shared" si="63"/>
        <v>Y</v>
      </c>
      <c r="V100" s="57" t="s">
        <v>361</v>
      </c>
      <c r="W100" s="99" t="s">
        <v>361</v>
      </c>
      <c r="X100" s="99" t="s">
        <v>320</v>
      </c>
      <c r="Y100" s="134">
        <v>200</v>
      </c>
      <c r="Z100" s="135"/>
      <c r="AA100" s="135"/>
      <c r="AB100" s="155"/>
      <c r="AC100" s="135"/>
      <c r="AD100" s="128"/>
      <c r="AE100" s="135"/>
      <c r="AF100" s="135"/>
      <c r="AG100" s="100"/>
      <c r="AH100" s="135"/>
      <c r="AI100" s="128"/>
      <c r="AJ100" s="135"/>
      <c r="AK100" s="135"/>
      <c r="AL100" s="155"/>
      <c r="AM100" s="135"/>
      <c r="AN100" s="128"/>
      <c r="AO100" s="135"/>
      <c r="AP100" s="135"/>
      <c r="AQ100" s="56"/>
      <c r="AR100" s="135"/>
      <c r="AS100" s="128"/>
      <c r="AT100" s="135">
        <v>46600</v>
      </c>
      <c r="AU100" s="135">
        <v>46600</v>
      </c>
      <c r="AV100" s="155">
        <v>2020</v>
      </c>
      <c r="AW100" s="135">
        <v>76968.91</v>
      </c>
      <c r="AX100" s="128">
        <f>AU100/AW100</f>
        <v>0.60543926112504387</v>
      </c>
      <c r="AY100" s="68" t="s">
        <v>1110</v>
      </c>
      <c r="AZ100" s="161" t="str">
        <f t="shared" si="64"/>
        <v>N</v>
      </c>
      <c r="BA100" s="161" t="str">
        <f t="shared" si="65"/>
        <v>N</v>
      </c>
      <c r="BB100" s="161" t="str">
        <f t="shared" si="66"/>
        <v>N</v>
      </c>
      <c r="BC100" s="161" t="str">
        <f t="shared" si="67"/>
        <v>N</v>
      </c>
      <c r="BD100" s="161" t="str">
        <f t="shared" si="68"/>
        <v>N</v>
      </c>
      <c r="BE100" s="161" t="str">
        <f t="shared" si="69"/>
        <v>N</v>
      </c>
      <c r="BF100" s="161" t="str">
        <f t="shared" si="70"/>
        <v>N</v>
      </c>
      <c r="BG100" s="161" t="str">
        <f t="shared" si="71"/>
        <v>N</v>
      </c>
      <c r="BH100" s="161" t="str">
        <f t="shared" si="72"/>
        <v>N</v>
      </c>
      <c r="BI100" s="161" t="str">
        <f t="shared" si="73"/>
        <v>N</v>
      </c>
      <c r="BJ100" s="161" t="str">
        <f t="shared" si="74"/>
        <v>N</v>
      </c>
      <c r="BK100" s="161" t="str">
        <f t="shared" si="75"/>
        <v>Y</v>
      </c>
      <c r="BL100" s="161" t="str">
        <f t="shared" si="76"/>
        <v>N</v>
      </c>
      <c r="BM100" s="161" t="str">
        <f t="shared" si="77"/>
        <v>Y</v>
      </c>
      <c r="BN100" s="176" t="str">
        <f t="shared" si="78"/>
        <v>N</v>
      </c>
      <c r="BO100" s="222" t="s">
        <v>490</v>
      </c>
      <c r="BP100" s="174" t="str">
        <f t="shared" si="79"/>
        <v>深交所主板</v>
      </c>
      <c r="BQ100" s="219" t="s">
        <v>317</v>
      </c>
      <c r="BR100" s="173">
        <f t="shared" si="80"/>
        <v>41639</v>
      </c>
      <c r="BS100" s="171" t="str">
        <f t="shared" si="81"/>
        <v>N</v>
      </c>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row>
    <row r="101" spans="1:163" s="11" customFormat="1" ht="15" customHeight="1" x14ac:dyDescent="0.25">
      <c r="A101" s="31">
        <v>200</v>
      </c>
      <c r="B101" s="32" t="s">
        <v>1111</v>
      </c>
      <c r="C101" s="187" t="s">
        <v>1112</v>
      </c>
      <c r="D101" s="57" t="s">
        <v>426</v>
      </c>
      <c r="E101" s="57" t="s">
        <v>1113</v>
      </c>
      <c r="F101" s="52" t="s">
        <v>1114</v>
      </c>
      <c r="G101" s="57" t="s">
        <v>315</v>
      </c>
      <c r="H101" s="41" t="s">
        <v>327</v>
      </c>
      <c r="I101" s="78">
        <v>43773</v>
      </c>
      <c r="J101" s="78">
        <v>44381</v>
      </c>
      <c r="K101" s="85">
        <v>44441</v>
      </c>
      <c r="L101" s="194" t="s">
        <v>1115</v>
      </c>
      <c r="M101" s="77" t="s">
        <v>679</v>
      </c>
      <c r="N101" s="77">
        <v>3</v>
      </c>
      <c r="O101" s="69" t="str">
        <f t="shared" si="62"/>
        <v>3-5年</v>
      </c>
      <c r="P101" s="77" t="s">
        <v>1116</v>
      </c>
      <c r="Q101" s="32" t="s">
        <v>1117</v>
      </c>
      <c r="R101" s="199">
        <v>40354</v>
      </c>
      <c r="S101" s="55" t="s">
        <v>822</v>
      </c>
      <c r="T101" s="160" t="s">
        <v>345</v>
      </c>
      <c r="U101" s="69" t="str">
        <f t="shared" si="63"/>
        <v>Y</v>
      </c>
      <c r="V101" s="57" t="s">
        <v>1118</v>
      </c>
      <c r="W101" s="99" t="s">
        <v>1119</v>
      </c>
      <c r="X101" s="99" t="s">
        <v>334</v>
      </c>
      <c r="Y101" s="134">
        <v>60</v>
      </c>
      <c r="Z101" s="135"/>
      <c r="AA101" s="135"/>
      <c r="AB101" s="155"/>
      <c r="AC101" s="135"/>
      <c r="AD101" s="128"/>
      <c r="AE101" s="135">
        <v>6467</v>
      </c>
      <c r="AF101" s="135">
        <v>6467</v>
      </c>
      <c r="AG101" s="100">
        <v>2018</v>
      </c>
      <c r="AH101" s="135">
        <v>37692.519999999997</v>
      </c>
      <c r="AI101" s="128">
        <f>AF101/AH101</f>
        <v>0.17157250297937099</v>
      </c>
      <c r="AJ101" s="135">
        <v>5939</v>
      </c>
      <c r="AK101" s="135">
        <v>5939</v>
      </c>
      <c r="AL101" s="155">
        <v>2020</v>
      </c>
      <c r="AM101" s="135">
        <v>-166215.56</v>
      </c>
      <c r="AN101" s="128">
        <f>AK101/AM101</f>
        <v>-3.5730710169372834E-2</v>
      </c>
      <c r="AO101" s="135"/>
      <c r="AP101" s="135"/>
      <c r="AQ101" s="56"/>
      <c r="AR101" s="135"/>
      <c r="AS101" s="128"/>
      <c r="AT101" s="135">
        <v>45382.7</v>
      </c>
      <c r="AU101" s="135">
        <v>24842</v>
      </c>
      <c r="AV101" s="155">
        <v>2017</v>
      </c>
      <c r="AW101" s="135">
        <v>48105.69</v>
      </c>
      <c r="AX101" s="128">
        <f>AU101/AW101</f>
        <v>0.51640460826983248</v>
      </c>
      <c r="AY101" s="68" t="s">
        <v>1120</v>
      </c>
      <c r="AZ101" s="161" t="str">
        <f t="shared" si="64"/>
        <v>N</v>
      </c>
      <c r="BA101" s="161" t="str">
        <f t="shared" si="65"/>
        <v>N</v>
      </c>
      <c r="BB101" s="161" t="str">
        <f t="shared" si="66"/>
        <v>N</v>
      </c>
      <c r="BC101" s="161" t="str">
        <f t="shared" si="67"/>
        <v>N</v>
      </c>
      <c r="BD101" s="161" t="str">
        <f t="shared" si="68"/>
        <v>N</v>
      </c>
      <c r="BE101" s="161" t="str">
        <f t="shared" si="69"/>
        <v>N</v>
      </c>
      <c r="BF101" s="161" t="str">
        <f t="shared" si="70"/>
        <v>N</v>
      </c>
      <c r="BG101" s="161" t="str">
        <f t="shared" si="71"/>
        <v>N</v>
      </c>
      <c r="BH101" s="161" t="str">
        <f t="shared" si="72"/>
        <v>N</v>
      </c>
      <c r="BI101" s="161" t="str">
        <f t="shared" si="73"/>
        <v>N</v>
      </c>
      <c r="BJ101" s="161" t="str">
        <f t="shared" si="74"/>
        <v>N</v>
      </c>
      <c r="BK101" s="161" t="str">
        <f t="shared" si="75"/>
        <v>Y</v>
      </c>
      <c r="BL101" s="161" t="str">
        <f t="shared" si="76"/>
        <v>N</v>
      </c>
      <c r="BM101" s="161" t="str">
        <f t="shared" si="77"/>
        <v>Y</v>
      </c>
      <c r="BN101" s="176" t="str">
        <f t="shared" si="78"/>
        <v>N</v>
      </c>
      <c r="BO101" s="222" t="s">
        <v>348</v>
      </c>
      <c r="BP101" s="174" t="str">
        <f t="shared" si="79"/>
        <v>深交所创业板</v>
      </c>
      <c r="BQ101" s="219" t="s">
        <v>317</v>
      </c>
      <c r="BR101" s="173">
        <f t="shared" si="80"/>
        <v>41639</v>
      </c>
      <c r="BS101" s="171" t="str">
        <f t="shared" si="81"/>
        <v>N</v>
      </c>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row>
    <row r="102" spans="1:163" s="11" customFormat="1" ht="15" customHeight="1" x14ac:dyDescent="0.25">
      <c r="A102" s="31">
        <v>199</v>
      </c>
      <c r="B102" s="32" t="s">
        <v>1121</v>
      </c>
      <c r="C102" s="187" t="s">
        <v>1122</v>
      </c>
      <c r="D102" s="57" t="s">
        <v>313</v>
      </c>
      <c r="E102" s="57" t="s">
        <v>1123</v>
      </c>
      <c r="F102" s="52" t="s">
        <v>1124</v>
      </c>
      <c r="G102" s="57" t="s">
        <v>315</v>
      </c>
      <c r="H102" s="41" t="s">
        <v>602</v>
      </c>
      <c r="I102" s="78">
        <v>43986</v>
      </c>
      <c r="J102" s="78">
        <v>44375</v>
      </c>
      <c r="K102" s="85">
        <v>44494</v>
      </c>
      <c r="L102" s="79" t="s">
        <v>667</v>
      </c>
      <c r="M102" s="77" t="s">
        <v>690</v>
      </c>
      <c r="N102" s="77">
        <v>2</v>
      </c>
      <c r="O102" s="69" t="str">
        <f t="shared" si="62"/>
        <v>2-3年</v>
      </c>
      <c r="P102" s="77" t="s">
        <v>1125</v>
      </c>
      <c r="Q102" s="45" t="s">
        <v>1126</v>
      </c>
      <c r="R102" s="199">
        <v>42360</v>
      </c>
      <c r="S102" s="55" t="s">
        <v>1127</v>
      </c>
      <c r="T102" s="160" t="s">
        <v>317</v>
      </c>
      <c r="U102" s="69" t="str">
        <f t="shared" si="63"/>
        <v>Y</v>
      </c>
      <c r="V102" s="57" t="s">
        <v>361</v>
      </c>
      <c r="W102" s="97" t="s">
        <v>361</v>
      </c>
      <c r="X102" s="99" t="s">
        <v>334</v>
      </c>
      <c r="Y102" s="134">
        <v>100</v>
      </c>
      <c r="Z102" s="135"/>
      <c r="AA102" s="135"/>
      <c r="AB102" s="155"/>
      <c r="AC102" s="135"/>
      <c r="AD102" s="128"/>
      <c r="AE102" s="135"/>
      <c r="AF102" s="135"/>
      <c r="AG102" s="100"/>
      <c r="AH102" s="135"/>
      <c r="AI102" s="128"/>
      <c r="AJ102" s="135"/>
      <c r="AK102" s="135"/>
      <c r="AL102" s="155"/>
      <c r="AM102" s="135"/>
      <c r="AN102" s="128"/>
      <c r="AO102" s="135"/>
      <c r="AP102" s="135"/>
      <c r="AQ102" s="56"/>
      <c r="AR102" s="135"/>
      <c r="AS102" s="128"/>
      <c r="AT102" s="135">
        <v>105700</v>
      </c>
      <c r="AU102" s="135">
        <v>63700</v>
      </c>
      <c r="AV102" s="155">
        <v>2018</v>
      </c>
      <c r="AW102" s="135">
        <v>140289.07</v>
      </c>
      <c r="AX102" s="128">
        <f>AU102/AW102</f>
        <v>0.4540624583226619</v>
      </c>
      <c r="AY102" s="68" t="s">
        <v>1128</v>
      </c>
      <c r="AZ102" s="161" t="str">
        <f t="shared" si="64"/>
        <v>N</v>
      </c>
      <c r="BA102" s="161" t="str">
        <f t="shared" si="65"/>
        <v>N</v>
      </c>
      <c r="BB102" s="161" t="str">
        <f t="shared" si="66"/>
        <v>N</v>
      </c>
      <c r="BC102" s="161" t="str">
        <f t="shared" si="67"/>
        <v>N</v>
      </c>
      <c r="BD102" s="161" t="str">
        <f t="shared" si="68"/>
        <v>N</v>
      </c>
      <c r="BE102" s="161" t="str">
        <f t="shared" si="69"/>
        <v>N</v>
      </c>
      <c r="BF102" s="161" t="str">
        <f t="shared" si="70"/>
        <v>N</v>
      </c>
      <c r="BG102" s="161" t="str">
        <f t="shared" si="71"/>
        <v>N</v>
      </c>
      <c r="BH102" s="161" t="str">
        <f t="shared" si="72"/>
        <v>N</v>
      </c>
      <c r="BI102" s="161" t="str">
        <f t="shared" si="73"/>
        <v>N</v>
      </c>
      <c r="BJ102" s="161" t="str">
        <f t="shared" si="74"/>
        <v>Y</v>
      </c>
      <c r="BK102" s="161" t="str">
        <f t="shared" si="75"/>
        <v>N</v>
      </c>
      <c r="BL102" s="161" t="str">
        <f t="shared" si="76"/>
        <v>Y</v>
      </c>
      <c r="BM102" s="161" t="str">
        <f t="shared" si="77"/>
        <v>N</v>
      </c>
      <c r="BN102" s="176" t="str">
        <f t="shared" si="78"/>
        <v>N</v>
      </c>
      <c r="BO102" s="222" t="s">
        <v>663</v>
      </c>
      <c r="BP102" s="174" t="str">
        <f t="shared" si="79"/>
        <v>上交所主板</v>
      </c>
      <c r="BQ102" s="219" t="s">
        <v>317</v>
      </c>
      <c r="BR102" s="173">
        <f t="shared" si="80"/>
        <v>43100</v>
      </c>
      <c r="BS102" s="171" t="str">
        <f t="shared" si="81"/>
        <v>N</v>
      </c>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row>
    <row r="103" spans="1:163" s="11" customFormat="1" ht="15" customHeight="1" x14ac:dyDescent="0.25">
      <c r="A103" s="31">
        <v>198</v>
      </c>
      <c r="B103" s="32" t="s">
        <v>1129</v>
      </c>
      <c r="C103" s="187" t="s">
        <v>1130</v>
      </c>
      <c r="D103" s="57" t="s">
        <v>313</v>
      </c>
      <c r="E103" s="57" t="s">
        <v>1131</v>
      </c>
      <c r="F103" s="52" t="s">
        <v>1132</v>
      </c>
      <c r="G103" s="57" t="s">
        <v>315</v>
      </c>
      <c r="H103" s="41" t="s">
        <v>327</v>
      </c>
      <c r="I103" s="78">
        <v>43825</v>
      </c>
      <c r="J103" s="78">
        <v>44375</v>
      </c>
      <c r="K103" s="85">
        <v>44481</v>
      </c>
      <c r="L103" s="194" t="s">
        <v>1133</v>
      </c>
      <c r="M103" s="77" t="s">
        <v>690</v>
      </c>
      <c r="N103" s="77">
        <v>1.5</v>
      </c>
      <c r="O103" s="69" t="str">
        <f t="shared" si="62"/>
        <v>1-2年</v>
      </c>
      <c r="P103" s="77" t="s">
        <v>1134</v>
      </c>
      <c r="Q103" s="32" t="s">
        <v>1135</v>
      </c>
      <c r="R103" s="199">
        <v>40672</v>
      </c>
      <c r="S103" s="55" t="s">
        <v>1021</v>
      </c>
      <c r="T103" s="160" t="s">
        <v>317</v>
      </c>
      <c r="U103" s="69" t="str">
        <f t="shared" si="63"/>
        <v>Y</v>
      </c>
      <c r="V103" s="57" t="s">
        <v>361</v>
      </c>
      <c r="W103" s="99" t="s">
        <v>361</v>
      </c>
      <c r="X103" s="99" t="s">
        <v>334</v>
      </c>
      <c r="Y103" s="134">
        <v>60</v>
      </c>
      <c r="Z103" s="135"/>
      <c r="AA103" s="135"/>
      <c r="AB103" s="155"/>
      <c r="AC103" s="135"/>
      <c r="AD103" s="128"/>
      <c r="AE103" s="135"/>
      <c r="AF103" s="135"/>
      <c r="AG103" s="100"/>
      <c r="AH103" s="135"/>
      <c r="AI103" s="128"/>
      <c r="AJ103" s="135"/>
      <c r="AK103" s="135"/>
      <c r="AL103" s="155"/>
      <c r="AM103" s="135"/>
      <c r="AN103" s="128"/>
      <c r="AO103" s="135"/>
      <c r="AP103" s="135"/>
      <c r="AQ103" s="56"/>
      <c r="AR103" s="135"/>
      <c r="AS103" s="132"/>
      <c r="AT103" s="135">
        <v>149700</v>
      </c>
      <c r="AU103" s="135">
        <v>91900</v>
      </c>
      <c r="AV103" s="155">
        <v>2018</v>
      </c>
      <c r="AW103" s="135">
        <v>111382.85</v>
      </c>
      <c r="AX103" s="128">
        <f>AU103/AW103</f>
        <v>0.82508213786951934</v>
      </c>
      <c r="AY103" s="68" t="s">
        <v>1136</v>
      </c>
      <c r="AZ103" s="161" t="str">
        <f t="shared" si="64"/>
        <v>N</v>
      </c>
      <c r="BA103" s="161" t="str">
        <f t="shared" si="65"/>
        <v>N</v>
      </c>
      <c r="BB103" s="161" t="str">
        <f t="shared" si="66"/>
        <v>N</v>
      </c>
      <c r="BC103" s="161" t="str">
        <f t="shared" si="67"/>
        <v>N</v>
      </c>
      <c r="BD103" s="161" t="str">
        <f t="shared" si="68"/>
        <v>N</v>
      </c>
      <c r="BE103" s="161" t="str">
        <f t="shared" si="69"/>
        <v>N</v>
      </c>
      <c r="BF103" s="161" t="str">
        <f t="shared" si="70"/>
        <v>N</v>
      </c>
      <c r="BG103" s="161" t="str">
        <f t="shared" si="71"/>
        <v>N</v>
      </c>
      <c r="BH103" s="161" t="str">
        <f t="shared" si="72"/>
        <v>N</v>
      </c>
      <c r="BI103" s="161" t="str">
        <f t="shared" si="73"/>
        <v>N</v>
      </c>
      <c r="BJ103" s="161" t="str">
        <f t="shared" si="74"/>
        <v>Y</v>
      </c>
      <c r="BK103" s="161" t="str">
        <f t="shared" si="75"/>
        <v>Y</v>
      </c>
      <c r="BL103" s="161" t="str">
        <f t="shared" si="76"/>
        <v>Y</v>
      </c>
      <c r="BM103" s="161" t="str">
        <f t="shared" si="77"/>
        <v>Y</v>
      </c>
      <c r="BN103" s="176" t="str">
        <f t="shared" si="78"/>
        <v>N</v>
      </c>
      <c r="BO103" s="222" t="s">
        <v>401</v>
      </c>
      <c r="BP103" s="174" t="str">
        <f t="shared" si="79"/>
        <v>上交所主板</v>
      </c>
      <c r="BQ103" s="219" t="s">
        <v>317</v>
      </c>
      <c r="BR103" s="173">
        <f t="shared" si="80"/>
        <v>41639</v>
      </c>
      <c r="BS103" s="171" t="str">
        <f t="shared" si="81"/>
        <v>N</v>
      </c>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row>
    <row r="104" spans="1:163" s="11" customFormat="1" ht="15" customHeight="1" x14ac:dyDescent="0.25">
      <c r="A104" s="31">
        <v>197</v>
      </c>
      <c r="B104" s="32" t="s">
        <v>1137</v>
      </c>
      <c r="C104" s="187" t="s">
        <v>1138</v>
      </c>
      <c r="D104" s="57" t="s">
        <v>826</v>
      </c>
      <c r="E104" s="57" t="s">
        <v>1139</v>
      </c>
      <c r="F104" s="52" t="s">
        <v>1140</v>
      </c>
      <c r="G104" s="57" t="s">
        <v>315</v>
      </c>
      <c r="H104" s="41" t="s">
        <v>327</v>
      </c>
      <c r="I104" s="78">
        <v>43934</v>
      </c>
      <c r="J104" s="78">
        <v>44356</v>
      </c>
      <c r="K104" s="85">
        <v>44410</v>
      </c>
      <c r="L104" s="79" t="s">
        <v>1141</v>
      </c>
      <c r="M104" s="77" t="s">
        <v>594</v>
      </c>
      <c r="N104" s="77">
        <v>1</v>
      </c>
      <c r="O104" s="69" t="str">
        <f t="shared" si="62"/>
        <v>1-2年</v>
      </c>
      <c r="P104" s="77" t="s">
        <v>1142</v>
      </c>
      <c r="Q104" s="32" t="s">
        <v>1143</v>
      </c>
      <c r="R104" s="199">
        <v>41173</v>
      </c>
      <c r="S104" s="55" t="s">
        <v>628</v>
      </c>
      <c r="T104" s="160" t="s">
        <v>317</v>
      </c>
      <c r="U104" s="69" t="str">
        <f t="shared" si="63"/>
        <v>Y</v>
      </c>
      <c r="V104" s="57" t="s">
        <v>361</v>
      </c>
      <c r="W104" s="99" t="s">
        <v>361</v>
      </c>
      <c r="X104" s="99" t="s">
        <v>334</v>
      </c>
      <c r="Y104" s="134">
        <v>60</v>
      </c>
      <c r="Z104" s="135"/>
      <c r="AA104" s="135"/>
      <c r="AB104" s="155"/>
      <c r="AC104" s="135"/>
      <c r="AD104" s="128"/>
      <c r="AE104" s="135"/>
      <c r="AF104" s="135"/>
      <c r="AG104" s="100"/>
      <c r="AH104" s="135"/>
      <c r="AI104" s="128"/>
      <c r="AJ104" s="135"/>
      <c r="AK104" s="135"/>
      <c r="AL104" s="155"/>
      <c r="AM104" s="135"/>
      <c r="AN104" s="128"/>
      <c r="AO104" s="135"/>
      <c r="AP104" s="135"/>
      <c r="AQ104" s="56"/>
      <c r="AR104" s="135"/>
      <c r="AS104" s="132"/>
      <c r="AT104" s="135">
        <f>6007.5079+53710</f>
        <v>59717.507899999997</v>
      </c>
      <c r="AU104" s="135">
        <v>59717.51</v>
      </c>
      <c r="AV104" s="155">
        <v>2019</v>
      </c>
      <c r="AW104" s="135">
        <v>113221.09</v>
      </c>
      <c r="AX104" s="128">
        <f>AU104/AW104</f>
        <v>0.5274415747101534</v>
      </c>
      <c r="AY104" s="68" t="s">
        <v>1144</v>
      </c>
      <c r="AZ104" s="161" t="str">
        <f t="shared" si="64"/>
        <v>N</v>
      </c>
      <c r="BA104" s="161" t="str">
        <f t="shared" si="65"/>
        <v>N</v>
      </c>
      <c r="BB104" s="161" t="str">
        <f t="shared" si="66"/>
        <v>N</v>
      </c>
      <c r="BC104" s="161" t="str">
        <f t="shared" si="67"/>
        <v>N</v>
      </c>
      <c r="BD104" s="161" t="str">
        <f t="shared" si="68"/>
        <v>N</v>
      </c>
      <c r="BE104" s="161" t="str">
        <f t="shared" si="69"/>
        <v>N</v>
      </c>
      <c r="BF104" s="161" t="str">
        <f t="shared" si="70"/>
        <v>N</v>
      </c>
      <c r="BG104" s="161" t="str">
        <f t="shared" si="71"/>
        <v>N</v>
      </c>
      <c r="BH104" s="161" t="str">
        <f t="shared" si="72"/>
        <v>N</v>
      </c>
      <c r="BI104" s="161" t="str">
        <f t="shared" si="73"/>
        <v>N</v>
      </c>
      <c r="BJ104" s="161" t="str">
        <f t="shared" si="74"/>
        <v>N</v>
      </c>
      <c r="BK104" s="161" t="str">
        <f t="shared" si="75"/>
        <v>Y</v>
      </c>
      <c r="BL104" s="161" t="str">
        <f t="shared" si="76"/>
        <v>N</v>
      </c>
      <c r="BM104" s="161" t="str">
        <f t="shared" si="77"/>
        <v>Y</v>
      </c>
      <c r="BN104" s="176" t="str">
        <f t="shared" si="78"/>
        <v>N</v>
      </c>
      <c r="BO104" s="222" t="s">
        <v>363</v>
      </c>
      <c r="BP104" s="174" t="str">
        <f t="shared" si="79"/>
        <v>深交所主板</v>
      </c>
      <c r="BQ104" s="219" t="s">
        <v>317</v>
      </c>
      <c r="BR104" s="173">
        <f t="shared" si="80"/>
        <v>42004</v>
      </c>
      <c r="BS104" s="171" t="str">
        <f t="shared" si="81"/>
        <v>N</v>
      </c>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row>
    <row r="105" spans="1:163" s="7" customFormat="1" ht="15" customHeight="1" x14ac:dyDescent="0.25">
      <c r="A105" s="31">
        <v>196</v>
      </c>
      <c r="B105" s="32" t="s">
        <v>1145</v>
      </c>
      <c r="C105" s="187" t="s">
        <v>1146</v>
      </c>
      <c r="D105" s="56" t="s">
        <v>426</v>
      </c>
      <c r="E105" s="56" t="s">
        <v>1147</v>
      </c>
      <c r="F105" s="52" t="s">
        <v>1148</v>
      </c>
      <c r="G105" s="57" t="s">
        <v>315</v>
      </c>
      <c r="H105" s="41" t="s">
        <v>368</v>
      </c>
      <c r="I105" s="78">
        <v>43945</v>
      </c>
      <c r="J105" s="78">
        <v>44350</v>
      </c>
      <c r="K105" s="85">
        <v>44487</v>
      </c>
      <c r="L105" s="91" t="s">
        <v>1149</v>
      </c>
      <c r="M105" s="77" t="s">
        <v>487</v>
      </c>
      <c r="N105" s="77">
        <v>4</v>
      </c>
      <c r="O105" s="69" t="str">
        <f t="shared" si="62"/>
        <v>3-5年</v>
      </c>
      <c r="P105" s="69" t="s">
        <v>1150</v>
      </c>
      <c r="Q105" s="45" t="s">
        <v>1151</v>
      </c>
      <c r="R105" s="199">
        <v>38223</v>
      </c>
      <c r="S105" s="55" t="s">
        <v>1079</v>
      </c>
      <c r="T105" s="160" t="s">
        <v>345</v>
      </c>
      <c r="U105" s="69" t="str">
        <f t="shared" si="63"/>
        <v>Y</v>
      </c>
      <c r="V105" s="57" t="s">
        <v>1022</v>
      </c>
      <c r="W105" s="99" t="s">
        <v>708</v>
      </c>
      <c r="X105" s="99" t="s">
        <v>334</v>
      </c>
      <c r="Y105" s="134">
        <v>600</v>
      </c>
      <c r="Z105" s="135">
        <f>243983.54+159809.81+260677.67+201463.83</f>
        <v>865934.85</v>
      </c>
      <c r="AA105" s="135">
        <v>260677.67</v>
      </c>
      <c r="AB105" s="155">
        <v>2018</v>
      </c>
      <c r="AC105" s="135">
        <v>836324.98</v>
      </c>
      <c r="AD105" s="128">
        <f>AA105/AC105</f>
        <v>0.31169422919784129</v>
      </c>
      <c r="AE105" s="135">
        <f>229810.57+214029+201210.05+64103.66</f>
        <v>709153.28000000003</v>
      </c>
      <c r="AF105" s="135">
        <v>229810.57</v>
      </c>
      <c r="AG105" s="100">
        <v>2016</v>
      </c>
      <c r="AH105" s="149">
        <v>570016.88</v>
      </c>
      <c r="AI105" s="128">
        <f t="shared" ref="AI105:AI110" si="82">AF105/AH105</f>
        <v>0.40316449926886377</v>
      </c>
      <c r="AJ105" s="135">
        <f>77308.28+86874.17+90633.24+23059.1</f>
        <v>277874.78999999998</v>
      </c>
      <c r="AK105" s="135">
        <v>90633.24</v>
      </c>
      <c r="AL105" s="155">
        <v>2018</v>
      </c>
      <c r="AM105" s="135">
        <v>47013.88</v>
      </c>
      <c r="AN105" s="128">
        <f>AK105/AM105</f>
        <v>1.9277974929956858</v>
      </c>
      <c r="AO105" s="135"/>
      <c r="AP105" s="135"/>
      <c r="AQ105" s="56"/>
      <c r="AR105" s="135"/>
      <c r="AS105" s="132"/>
      <c r="AT105" s="135"/>
      <c r="AU105" s="135"/>
      <c r="AV105" s="155"/>
      <c r="AW105" s="135"/>
      <c r="AX105" s="128"/>
      <c r="AY105" s="68" t="s">
        <v>1152</v>
      </c>
      <c r="AZ105" s="161" t="str">
        <f t="shared" si="64"/>
        <v>Y</v>
      </c>
      <c r="BA105" s="161" t="str">
        <f t="shared" si="65"/>
        <v>N</v>
      </c>
      <c r="BB105" s="161" t="str">
        <f t="shared" si="66"/>
        <v>Y</v>
      </c>
      <c r="BC105" s="161" t="str">
        <f t="shared" si="67"/>
        <v>N</v>
      </c>
      <c r="BD105" s="161" t="str">
        <f t="shared" si="68"/>
        <v>Y</v>
      </c>
      <c r="BE105" s="161" t="str">
        <f t="shared" si="69"/>
        <v>Y</v>
      </c>
      <c r="BF105" s="161" t="str">
        <f t="shared" si="70"/>
        <v>Y</v>
      </c>
      <c r="BG105" s="161" t="str">
        <f t="shared" si="71"/>
        <v>N</v>
      </c>
      <c r="BH105" s="161" t="str">
        <f t="shared" si="72"/>
        <v>N</v>
      </c>
      <c r="BI105" s="161" t="str">
        <f t="shared" si="73"/>
        <v>N</v>
      </c>
      <c r="BJ105" s="161" t="str">
        <f t="shared" si="74"/>
        <v>N</v>
      </c>
      <c r="BK105" s="161" t="str">
        <f t="shared" si="75"/>
        <v>N</v>
      </c>
      <c r="BL105" s="161" t="str">
        <f t="shared" si="76"/>
        <v>Y</v>
      </c>
      <c r="BM105" s="161" t="str">
        <f t="shared" si="77"/>
        <v>Y</v>
      </c>
      <c r="BN105" s="176" t="str">
        <f t="shared" si="78"/>
        <v>Y</v>
      </c>
      <c r="BO105" s="222" t="s">
        <v>348</v>
      </c>
      <c r="BP105" s="174" t="str">
        <f t="shared" si="79"/>
        <v>上交所主板</v>
      </c>
      <c r="BQ105" s="219" t="s">
        <v>317</v>
      </c>
      <c r="BR105" s="173">
        <f t="shared" si="80"/>
        <v>39082</v>
      </c>
      <c r="BS105" s="171" t="str">
        <f t="shared" si="81"/>
        <v>N</v>
      </c>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row>
    <row r="106" spans="1:163" s="7" customFormat="1" ht="15" customHeight="1" x14ac:dyDescent="0.25">
      <c r="A106" s="31">
        <v>195</v>
      </c>
      <c r="B106" s="32" t="s">
        <v>1153</v>
      </c>
      <c r="C106" s="187" t="s">
        <v>1154</v>
      </c>
      <c r="D106" s="56" t="s">
        <v>426</v>
      </c>
      <c r="E106" s="56" t="s">
        <v>1155</v>
      </c>
      <c r="F106" s="52" t="s">
        <v>1156</v>
      </c>
      <c r="G106" s="57" t="s">
        <v>315</v>
      </c>
      <c r="H106" s="41" t="s">
        <v>327</v>
      </c>
      <c r="I106" s="78">
        <v>44124</v>
      </c>
      <c r="J106" s="78">
        <v>44344</v>
      </c>
      <c r="K106" s="85">
        <v>44439</v>
      </c>
      <c r="L106" s="194" t="s">
        <v>1157</v>
      </c>
      <c r="M106" s="77">
        <v>2019</v>
      </c>
      <c r="N106" s="77">
        <v>1</v>
      </c>
      <c r="O106" s="69" t="str">
        <f t="shared" si="62"/>
        <v>1-2年</v>
      </c>
      <c r="P106" s="69" t="s">
        <v>442</v>
      </c>
      <c r="Q106" s="45" t="s">
        <v>1158</v>
      </c>
      <c r="R106" s="199">
        <v>42584</v>
      </c>
      <c r="S106" s="55" t="s">
        <v>570</v>
      </c>
      <c r="T106" s="160" t="s">
        <v>317</v>
      </c>
      <c r="U106" s="69" t="str">
        <f t="shared" si="63"/>
        <v>Y</v>
      </c>
      <c r="V106" s="57" t="s">
        <v>318</v>
      </c>
      <c r="W106" s="99" t="s">
        <v>346</v>
      </c>
      <c r="X106" s="99" t="s">
        <v>320</v>
      </c>
      <c r="Y106" s="134">
        <v>350</v>
      </c>
      <c r="Z106" s="135"/>
      <c r="AA106" s="135"/>
      <c r="AB106" s="155"/>
      <c r="AC106" s="135"/>
      <c r="AD106" s="128"/>
      <c r="AE106" s="135">
        <v>3728.71</v>
      </c>
      <c r="AF106" s="135">
        <v>3728.71</v>
      </c>
      <c r="AG106" s="100">
        <v>2019</v>
      </c>
      <c r="AH106" s="149">
        <v>49029.42</v>
      </c>
      <c r="AI106" s="128">
        <f t="shared" si="82"/>
        <v>7.6050461131296279E-2</v>
      </c>
      <c r="AJ106" s="135">
        <v>2574.4299999999998</v>
      </c>
      <c r="AK106" s="135">
        <v>2574.4299999999998</v>
      </c>
      <c r="AL106" s="155">
        <v>2019</v>
      </c>
      <c r="AM106" s="135">
        <v>1572.34</v>
      </c>
      <c r="AN106" s="128">
        <f>AK106/AM106</f>
        <v>1.6373239884503352</v>
      </c>
      <c r="AO106" s="135"/>
      <c r="AP106" s="135"/>
      <c r="AQ106" s="56"/>
      <c r="AR106" s="135"/>
      <c r="AS106" s="132"/>
      <c r="AT106" s="135"/>
      <c r="AU106" s="135"/>
      <c r="AV106" s="155"/>
      <c r="AW106" s="135"/>
      <c r="AX106" s="128"/>
      <c r="AY106" s="68" t="s">
        <v>1159</v>
      </c>
      <c r="AZ106" s="161" t="str">
        <f t="shared" si="64"/>
        <v>N</v>
      </c>
      <c r="BA106" s="161" t="str">
        <f t="shared" si="65"/>
        <v>N</v>
      </c>
      <c r="BB106" s="161" t="str">
        <f t="shared" si="66"/>
        <v>N</v>
      </c>
      <c r="BC106" s="161" t="str">
        <f t="shared" si="67"/>
        <v>N</v>
      </c>
      <c r="BD106" s="161" t="str">
        <f t="shared" si="68"/>
        <v>N</v>
      </c>
      <c r="BE106" s="161" t="str">
        <f t="shared" si="69"/>
        <v>Y</v>
      </c>
      <c r="BF106" s="161" t="str">
        <f t="shared" si="70"/>
        <v>Y</v>
      </c>
      <c r="BG106" s="161" t="str">
        <f t="shared" si="71"/>
        <v>N</v>
      </c>
      <c r="BH106" s="161" t="str">
        <f t="shared" si="72"/>
        <v>N</v>
      </c>
      <c r="BI106" s="161" t="str">
        <f t="shared" si="73"/>
        <v>N</v>
      </c>
      <c r="BJ106" s="161" t="str">
        <f t="shared" si="74"/>
        <v>N</v>
      </c>
      <c r="BK106" s="161" t="str">
        <f t="shared" si="75"/>
        <v>N</v>
      </c>
      <c r="BL106" s="161" t="str">
        <f t="shared" si="76"/>
        <v>N</v>
      </c>
      <c r="BM106" s="161" t="str">
        <f t="shared" si="77"/>
        <v>Y</v>
      </c>
      <c r="BN106" s="176" t="str">
        <f t="shared" si="78"/>
        <v>Y</v>
      </c>
      <c r="BO106" s="222" t="s">
        <v>536</v>
      </c>
      <c r="BP106" s="174" t="str">
        <f t="shared" si="79"/>
        <v>深交所创业板</v>
      </c>
      <c r="BQ106" s="219" t="s">
        <v>317</v>
      </c>
      <c r="BR106" s="173">
        <f t="shared" si="80"/>
        <v>43830</v>
      </c>
      <c r="BS106" s="171" t="str">
        <f t="shared" si="81"/>
        <v>Y</v>
      </c>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row>
    <row r="107" spans="1:163" s="7" customFormat="1" ht="15" customHeight="1" x14ac:dyDescent="0.25">
      <c r="A107" s="31">
        <v>194</v>
      </c>
      <c r="B107" s="55" t="s">
        <v>1160</v>
      </c>
      <c r="C107" s="56" t="s">
        <v>1161</v>
      </c>
      <c r="D107" s="56" t="s">
        <v>809</v>
      </c>
      <c r="E107" s="57" t="s">
        <v>1162</v>
      </c>
      <c r="F107" s="52" t="s">
        <v>1163</v>
      </c>
      <c r="G107" s="57" t="s">
        <v>315</v>
      </c>
      <c r="H107" s="41" t="s">
        <v>327</v>
      </c>
      <c r="I107" s="78">
        <v>44088</v>
      </c>
      <c r="J107" s="78">
        <v>44336</v>
      </c>
      <c r="K107" s="85">
        <v>44579</v>
      </c>
      <c r="L107" s="194" t="s">
        <v>1164</v>
      </c>
      <c r="M107" s="77" t="s">
        <v>830</v>
      </c>
      <c r="N107" s="77">
        <v>5</v>
      </c>
      <c r="O107" s="69" t="str">
        <f t="shared" si="62"/>
        <v>5年以上</v>
      </c>
      <c r="P107" s="69" t="s">
        <v>1165</v>
      </c>
      <c r="Q107" s="45" t="s">
        <v>454</v>
      </c>
      <c r="R107" s="199">
        <v>40429</v>
      </c>
      <c r="S107" s="197" t="s">
        <v>1166</v>
      </c>
      <c r="T107" s="160" t="s">
        <v>345</v>
      </c>
      <c r="U107" s="69" t="str">
        <f t="shared" si="63"/>
        <v>Y</v>
      </c>
      <c r="V107" s="56" t="s">
        <v>1118</v>
      </c>
      <c r="W107" s="99" t="s">
        <v>1167</v>
      </c>
      <c r="X107" s="99" t="s">
        <v>334</v>
      </c>
      <c r="Y107" s="134">
        <v>150</v>
      </c>
      <c r="Z107" s="135">
        <f>(92800+102800)*2+319715.17+1435.84</f>
        <v>712351.00999999989</v>
      </c>
      <c r="AA107" s="135">
        <f>102800*2+319715.17+1435.84</f>
        <v>526751.00999999989</v>
      </c>
      <c r="AB107" s="155">
        <v>2019</v>
      </c>
      <c r="AC107" s="135">
        <v>1171744.77</v>
      </c>
      <c r="AD107" s="128">
        <f>AA107/AC107</f>
        <v>0.44954415286188976</v>
      </c>
      <c r="AE107" s="135">
        <v>2307345.06</v>
      </c>
      <c r="AF107" s="135">
        <v>847299.36</v>
      </c>
      <c r="AG107" s="100">
        <v>2016</v>
      </c>
      <c r="AH107" s="135">
        <v>1873645.52</v>
      </c>
      <c r="AI107" s="128">
        <f t="shared" si="82"/>
        <v>0.45221967066641294</v>
      </c>
      <c r="AJ107" s="135">
        <v>198960.18</v>
      </c>
      <c r="AK107" s="135">
        <v>104519.13</v>
      </c>
      <c r="AL107" s="155">
        <v>2016</v>
      </c>
      <c r="AM107" s="135">
        <v>105344.29</v>
      </c>
      <c r="AN107" s="128">
        <f>AK107/AM107</f>
        <v>0.99216701731057289</v>
      </c>
      <c r="AO107" s="135"/>
      <c r="AP107" s="135"/>
      <c r="AQ107" s="56"/>
      <c r="AR107" s="135"/>
      <c r="AS107" s="132"/>
      <c r="AT107" s="135">
        <v>807407.42</v>
      </c>
      <c r="AU107" s="135">
        <v>554505.43999999994</v>
      </c>
      <c r="AV107" s="155">
        <v>2018</v>
      </c>
      <c r="AW107" s="135">
        <v>1249953.43</v>
      </c>
      <c r="AX107" s="128">
        <f>AU107/AW107</f>
        <v>0.44362087953948809</v>
      </c>
      <c r="AY107" s="68" t="s">
        <v>1168</v>
      </c>
      <c r="AZ107" s="161" t="str">
        <f t="shared" si="64"/>
        <v>Y</v>
      </c>
      <c r="BA107" s="161" t="str">
        <f t="shared" si="65"/>
        <v>N</v>
      </c>
      <c r="BB107" s="161" t="str">
        <f t="shared" si="66"/>
        <v>Y</v>
      </c>
      <c r="BC107" s="161" t="str">
        <f t="shared" si="67"/>
        <v>N</v>
      </c>
      <c r="BD107" s="161" t="str">
        <f t="shared" si="68"/>
        <v>Y</v>
      </c>
      <c r="BE107" s="161" t="str">
        <f t="shared" si="69"/>
        <v>Y</v>
      </c>
      <c r="BF107" s="161" t="str">
        <f t="shared" si="70"/>
        <v>N</v>
      </c>
      <c r="BG107" s="161" t="str">
        <f t="shared" si="71"/>
        <v>N</v>
      </c>
      <c r="BH107" s="161" t="str">
        <f t="shared" si="72"/>
        <v>N</v>
      </c>
      <c r="BI107" s="161" t="str">
        <f t="shared" si="73"/>
        <v>N</v>
      </c>
      <c r="BJ107" s="161" t="str">
        <f t="shared" si="74"/>
        <v>Y</v>
      </c>
      <c r="BK107" s="161" t="str">
        <f t="shared" si="75"/>
        <v>N</v>
      </c>
      <c r="BL107" s="161" t="str">
        <f t="shared" si="76"/>
        <v>Y</v>
      </c>
      <c r="BM107" s="161" t="str">
        <f t="shared" si="77"/>
        <v>Y</v>
      </c>
      <c r="BN107" s="176" t="str">
        <f t="shared" si="78"/>
        <v>N</v>
      </c>
      <c r="BO107" s="222" t="s">
        <v>520</v>
      </c>
      <c r="BP107" s="174" t="str">
        <f t="shared" si="79"/>
        <v>深交所主板</v>
      </c>
      <c r="BQ107" s="219" t="s">
        <v>317</v>
      </c>
      <c r="BR107" s="173">
        <f t="shared" si="80"/>
        <v>41274</v>
      </c>
      <c r="BS107" s="171" t="str">
        <f t="shared" si="81"/>
        <v>N</v>
      </c>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row>
    <row r="108" spans="1:163" s="7" customFormat="1" ht="15" customHeight="1" x14ac:dyDescent="0.25">
      <c r="A108" s="31">
        <v>193</v>
      </c>
      <c r="B108" s="55" t="s">
        <v>1169</v>
      </c>
      <c r="C108" s="56" t="s">
        <v>1170</v>
      </c>
      <c r="D108" s="56" t="s">
        <v>351</v>
      </c>
      <c r="E108" s="56" t="s">
        <v>512</v>
      </c>
      <c r="F108" s="52" t="s">
        <v>1171</v>
      </c>
      <c r="G108" s="57" t="s">
        <v>315</v>
      </c>
      <c r="H108" s="41" t="s">
        <v>368</v>
      </c>
      <c r="I108" s="78">
        <v>44050</v>
      </c>
      <c r="J108" s="78">
        <v>44334</v>
      </c>
      <c r="K108" s="85">
        <v>44825</v>
      </c>
      <c r="L108" s="194" t="s">
        <v>1172</v>
      </c>
      <c r="M108" s="77" t="s">
        <v>679</v>
      </c>
      <c r="N108" s="77">
        <v>3</v>
      </c>
      <c r="O108" s="69" t="str">
        <f t="shared" si="62"/>
        <v>3-5年</v>
      </c>
      <c r="P108" s="77" t="s">
        <v>680</v>
      </c>
      <c r="Q108" s="45" t="s">
        <v>1173</v>
      </c>
      <c r="R108" s="199">
        <v>40337</v>
      </c>
      <c r="S108" s="197" t="s">
        <v>332</v>
      </c>
      <c r="T108" s="160" t="s">
        <v>317</v>
      </c>
      <c r="U108" s="69" t="str">
        <f t="shared" si="63"/>
        <v>Y</v>
      </c>
      <c r="V108" s="56" t="s">
        <v>398</v>
      </c>
      <c r="W108" s="99" t="s">
        <v>346</v>
      </c>
      <c r="X108" s="99" t="s">
        <v>334</v>
      </c>
      <c r="Y108" s="134">
        <v>60</v>
      </c>
      <c r="Z108" s="135"/>
      <c r="AA108" s="135"/>
      <c r="AB108" s="155"/>
      <c r="AC108" s="135"/>
      <c r="AD108" s="128"/>
      <c r="AE108" s="135">
        <v>43694.09</v>
      </c>
      <c r="AF108" s="135">
        <v>17452.509999999998</v>
      </c>
      <c r="AG108" s="100">
        <v>2016</v>
      </c>
      <c r="AH108" s="135">
        <v>1347686.47</v>
      </c>
      <c r="AI108" s="128">
        <f t="shared" si="82"/>
        <v>1.2949977898049239E-2</v>
      </c>
      <c r="AJ108" s="135">
        <v>65408.44</v>
      </c>
      <c r="AK108" s="135">
        <v>30803.73</v>
      </c>
      <c r="AL108" s="155">
        <v>2016</v>
      </c>
      <c r="AM108" s="135">
        <v>56609.51</v>
      </c>
      <c r="AN108" s="128">
        <f>AK108/AM108</f>
        <v>0.54414408462465047</v>
      </c>
      <c r="AO108" s="135"/>
      <c r="AP108" s="135"/>
      <c r="AQ108" s="56"/>
      <c r="AR108" s="135"/>
      <c r="AS108" s="132"/>
      <c r="AT108" s="135"/>
      <c r="AU108" s="135"/>
      <c r="AV108" s="155"/>
      <c r="AW108" s="135"/>
      <c r="AX108" s="128"/>
      <c r="AY108" s="99" t="s">
        <v>1174</v>
      </c>
      <c r="AZ108" s="161" t="str">
        <f t="shared" si="64"/>
        <v>N</v>
      </c>
      <c r="BA108" s="161" t="str">
        <f t="shared" si="65"/>
        <v>N</v>
      </c>
      <c r="BB108" s="161" t="str">
        <f t="shared" si="66"/>
        <v>N</v>
      </c>
      <c r="BC108" s="161" t="str">
        <f t="shared" si="67"/>
        <v>N</v>
      </c>
      <c r="BD108" s="161" t="str">
        <f t="shared" si="68"/>
        <v>N</v>
      </c>
      <c r="BE108" s="161" t="str">
        <f t="shared" si="69"/>
        <v>Y</v>
      </c>
      <c r="BF108" s="161" t="str">
        <f t="shared" si="70"/>
        <v>N</v>
      </c>
      <c r="BG108" s="161" t="str">
        <f t="shared" si="71"/>
        <v>N</v>
      </c>
      <c r="BH108" s="161" t="str">
        <f t="shared" si="72"/>
        <v>N</v>
      </c>
      <c r="BI108" s="161" t="str">
        <f t="shared" si="73"/>
        <v>N</v>
      </c>
      <c r="BJ108" s="161" t="str">
        <f t="shared" si="74"/>
        <v>N</v>
      </c>
      <c r="BK108" s="161" t="str">
        <f t="shared" si="75"/>
        <v>N</v>
      </c>
      <c r="BL108" s="161" t="str">
        <f t="shared" si="76"/>
        <v>N</v>
      </c>
      <c r="BM108" s="161" t="str">
        <f t="shared" si="77"/>
        <v>Y</v>
      </c>
      <c r="BN108" s="176" t="str">
        <f t="shared" si="78"/>
        <v>N</v>
      </c>
      <c r="BO108" s="222" t="s">
        <v>386</v>
      </c>
      <c r="BP108" s="174" t="str">
        <f t="shared" si="79"/>
        <v>深交所主板</v>
      </c>
      <c r="BQ108" s="219" t="s">
        <v>317</v>
      </c>
      <c r="BR108" s="173">
        <f t="shared" si="80"/>
        <v>41274</v>
      </c>
      <c r="BS108" s="171" t="str">
        <f t="shared" si="81"/>
        <v>N</v>
      </c>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row>
    <row r="109" spans="1:163" s="7" customFormat="1" ht="15" customHeight="1" x14ac:dyDescent="0.25">
      <c r="A109" s="31">
        <v>192</v>
      </c>
      <c r="B109" s="55" t="s">
        <v>1175</v>
      </c>
      <c r="C109" s="56" t="s">
        <v>1176</v>
      </c>
      <c r="D109" s="57" t="s">
        <v>313</v>
      </c>
      <c r="E109" s="57" t="s">
        <v>1177</v>
      </c>
      <c r="F109" s="52" t="s">
        <v>1178</v>
      </c>
      <c r="G109" s="57" t="s">
        <v>315</v>
      </c>
      <c r="H109" s="41" t="s">
        <v>368</v>
      </c>
      <c r="I109" s="78">
        <v>44188</v>
      </c>
      <c r="J109" s="78">
        <v>44330</v>
      </c>
      <c r="K109" s="85">
        <v>44342</v>
      </c>
      <c r="L109" s="194" t="s">
        <v>1179</v>
      </c>
      <c r="M109" s="77" t="s">
        <v>594</v>
      </c>
      <c r="N109" s="77">
        <v>1.75</v>
      </c>
      <c r="O109" s="69" t="str">
        <f t="shared" si="62"/>
        <v>1-2年</v>
      </c>
      <c r="P109" s="77" t="s">
        <v>1180</v>
      </c>
      <c r="Q109" s="45" t="s">
        <v>1181</v>
      </c>
      <c r="R109" s="199">
        <v>42488</v>
      </c>
      <c r="S109" s="204" t="s">
        <v>995</v>
      </c>
      <c r="T109" s="160" t="s">
        <v>345</v>
      </c>
      <c r="U109" s="69" t="str">
        <f t="shared" si="63"/>
        <v>N</v>
      </c>
      <c r="V109" s="57" t="s">
        <v>318</v>
      </c>
      <c r="W109" s="99" t="s">
        <v>346</v>
      </c>
      <c r="X109" s="197" t="s">
        <v>320</v>
      </c>
      <c r="Y109" s="134">
        <v>100</v>
      </c>
      <c r="Z109" s="135"/>
      <c r="AA109" s="135"/>
      <c r="AB109" s="155"/>
      <c r="AC109" s="135"/>
      <c r="AD109" s="128"/>
      <c r="AE109" s="135">
        <f>(178543449.83+148721660.64)/10000</f>
        <v>32726.511047000004</v>
      </c>
      <c r="AF109" s="135">
        <v>17854.34</v>
      </c>
      <c r="AG109" s="100">
        <v>2019</v>
      </c>
      <c r="AH109" s="149">
        <v>125398.37</v>
      </c>
      <c r="AI109" s="128">
        <f t="shared" si="82"/>
        <v>0.14238095758341995</v>
      </c>
      <c r="AJ109" s="135"/>
      <c r="AK109" s="149"/>
      <c r="AL109" s="155"/>
      <c r="AM109" s="149"/>
      <c r="AN109" s="128"/>
      <c r="AO109" s="135">
        <v>198.65</v>
      </c>
      <c r="AP109" s="135">
        <v>105.04</v>
      </c>
      <c r="AQ109" s="56">
        <v>2019</v>
      </c>
      <c r="AR109" s="135">
        <v>6382.73</v>
      </c>
      <c r="AS109" s="132">
        <f>AP109/AR109</f>
        <v>1.6456907937512633E-2</v>
      </c>
      <c r="AT109" s="135"/>
      <c r="AU109" s="135"/>
      <c r="AV109" s="155"/>
      <c r="AW109" s="135"/>
      <c r="AX109" s="128"/>
      <c r="AY109" s="197" t="s">
        <v>1182</v>
      </c>
      <c r="AZ109" s="161" t="str">
        <f t="shared" si="64"/>
        <v>N</v>
      </c>
      <c r="BA109" s="161" t="str">
        <f t="shared" si="65"/>
        <v>N</v>
      </c>
      <c r="BB109" s="161" t="str">
        <f t="shared" si="66"/>
        <v>N</v>
      </c>
      <c r="BC109" s="161" t="str">
        <f t="shared" si="67"/>
        <v>N</v>
      </c>
      <c r="BD109" s="161" t="str">
        <f t="shared" si="68"/>
        <v>N</v>
      </c>
      <c r="BE109" s="161" t="str">
        <f t="shared" si="69"/>
        <v>N</v>
      </c>
      <c r="BF109" s="161" t="str">
        <f t="shared" si="70"/>
        <v>N</v>
      </c>
      <c r="BG109" s="161" t="str">
        <f t="shared" si="71"/>
        <v>N</v>
      </c>
      <c r="BH109" s="161" t="str">
        <f t="shared" si="72"/>
        <v>N</v>
      </c>
      <c r="BI109" s="161" t="str">
        <f t="shared" si="73"/>
        <v>N</v>
      </c>
      <c r="BJ109" s="161" t="str">
        <f t="shared" si="74"/>
        <v>N</v>
      </c>
      <c r="BK109" s="161" t="str">
        <f t="shared" si="75"/>
        <v>N</v>
      </c>
      <c r="BL109" s="161" t="str">
        <f t="shared" si="76"/>
        <v>N</v>
      </c>
      <c r="BM109" s="161" t="str">
        <f t="shared" si="77"/>
        <v>N</v>
      </c>
      <c r="BN109" s="176" t="str">
        <f t="shared" si="78"/>
        <v>N</v>
      </c>
      <c r="BO109" s="222" t="s">
        <v>401</v>
      </c>
      <c r="BP109" s="174" t="str">
        <f t="shared" si="79"/>
        <v>上交所主板</v>
      </c>
      <c r="BQ109" s="219" t="s">
        <v>317</v>
      </c>
      <c r="BR109" s="173">
        <f t="shared" si="80"/>
        <v>43465</v>
      </c>
      <c r="BS109" s="171" t="str">
        <f t="shared" si="81"/>
        <v>N</v>
      </c>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row>
    <row r="110" spans="1:163" s="7" customFormat="1" ht="15" customHeight="1" x14ac:dyDescent="0.25">
      <c r="A110" s="31">
        <v>191</v>
      </c>
      <c r="B110" s="55" t="s">
        <v>1183</v>
      </c>
      <c r="C110" s="56" t="s">
        <v>1184</v>
      </c>
      <c r="D110" s="56" t="s">
        <v>313</v>
      </c>
      <c r="E110" s="56" t="s">
        <v>1185</v>
      </c>
      <c r="F110" s="52" t="s">
        <v>1186</v>
      </c>
      <c r="G110" s="57" t="s">
        <v>315</v>
      </c>
      <c r="H110" s="41" t="s">
        <v>368</v>
      </c>
      <c r="I110" s="78">
        <v>43609</v>
      </c>
      <c r="J110" s="78">
        <v>44313</v>
      </c>
      <c r="K110" s="85">
        <v>44410</v>
      </c>
      <c r="L110" s="194" t="s">
        <v>1187</v>
      </c>
      <c r="M110" s="77" t="s">
        <v>679</v>
      </c>
      <c r="N110" s="77">
        <v>3</v>
      </c>
      <c r="O110" s="69" t="str">
        <f t="shared" si="62"/>
        <v>3-5年</v>
      </c>
      <c r="P110" s="77" t="s">
        <v>680</v>
      </c>
      <c r="Q110" s="45" t="s">
        <v>371</v>
      </c>
      <c r="R110" s="199">
        <v>39611</v>
      </c>
      <c r="S110" s="197" t="s">
        <v>822</v>
      </c>
      <c r="T110" s="160" t="s">
        <v>317</v>
      </c>
      <c r="U110" s="69" t="str">
        <f t="shared" si="63"/>
        <v>N</v>
      </c>
      <c r="V110" s="56" t="s">
        <v>333</v>
      </c>
      <c r="W110" s="99" t="s">
        <v>708</v>
      </c>
      <c r="X110" s="99" t="s">
        <v>334</v>
      </c>
      <c r="Y110" s="134">
        <v>60</v>
      </c>
      <c r="Z110" s="135">
        <f>16123.93+41935.3+38369.48</f>
        <v>96428.71</v>
      </c>
      <c r="AA110" s="135">
        <v>41935.300000000003</v>
      </c>
      <c r="AB110" s="155">
        <v>2017</v>
      </c>
      <c r="AC110" s="135">
        <v>505340.89</v>
      </c>
      <c r="AD110" s="128">
        <f>AA110/AC110</f>
        <v>8.298418123259331E-2</v>
      </c>
      <c r="AE110" s="135">
        <f>21148.53+49763.11+18774.53</f>
        <v>89686.17</v>
      </c>
      <c r="AF110" s="135">
        <v>49763.11</v>
      </c>
      <c r="AG110" s="100">
        <v>2017</v>
      </c>
      <c r="AH110" s="135">
        <v>306276.67</v>
      </c>
      <c r="AI110" s="128">
        <f t="shared" si="82"/>
        <v>0.16247763827391751</v>
      </c>
      <c r="AJ110" s="135">
        <f>12357.88+26244.12+12176.77</f>
        <v>50778.770000000004</v>
      </c>
      <c r="AK110" s="135">
        <v>26244.12</v>
      </c>
      <c r="AL110" s="155">
        <v>2017</v>
      </c>
      <c r="AM110" s="135">
        <f>AK110/AN110</f>
        <v>61075.447986967643</v>
      </c>
      <c r="AN110" s="128">
        <v>0.42970000000000003</v>
      </c>
      <c r="AO110" s="135"/>
      <c r="AP110" s="135"/>
      <c r="AQ110" s="56"/>
      <c r="AR110" s="135"/>
      <c r="AS110" s="132"/>
      <c r="AT110" s="135"/>
      <c r="AU110" s="135"/>
      <c r="AV110" s="155"/>
      <c r="AW110" s="135"/>
      <c r="AX110" s="128"/>
      <c r="AY110" s="99" t="s">
        <v>1188</v>
      </c>
      <c r="AZ110" s="161" t="str">
        <f t="shared" si="64"/>
        <v>N</v>
      </c>
      <c r="BA110" s="161" t="str">
        <f t="shared" si="65"/>
        <v>N</v>
      </c>
      <c r="BB110" s="161" t="str">
        <f t="shared" si="66"/>
        <v>N</v>
      </c>
      <c r="BC110" s="161" t="str">
        <f t="shared" si="67"/>
        <v>N</v>
      </c>
      <c r="BD110" s="161" t="str">
        <f t="shared" si="68"/>
        <v>N</v>
      </c>
      <c r="BE110" s="161" t="str">
        <f t="shared" si="69"/>
        <v>N</v>
      </c>
      <c r="BF110" s="161" t="str">
        <f t="shared" si="70"/>
        <v>N</v>
      </c>
      <c r="BG110" s="161" t="str">
        <f t="shared" si="71"/>
        <v>N</v>
      </c>
      <c r="BH110" s="161" t="str">
        <f t="shared" si="72"/>
        <v>N</v>
      </c>
      <c r="BI110" s="161" t="str">
        <f t="shared" si="73"/>
        <v>N</v>
      </c>
      <c r="BJ110" s="161" t="str">
        <f t="shared" si="74"/>
        <v>N</v>
      </c>
      <c r="BK110" s="161" t="str">
        <f t="shared" si="75"/>
        <v>N</v>
      </c>
      <c r="BL110" s="161" t="str">
        <f t="shared" si="76"/>
        <v>N</v>
      </c>
      <c r="BM110" s="161" t="str">
        <f t="shared" si="77"/>
        <v>N</v>
      </c>
      <c r="BN110" s="176" t="str">
        <f t="shared" si="78"/>
        <v>N</v>
      </c>
      <c r="BO110" s="222" t="s">
        <v>1189</v>
      </c>
      <c r="BP110" s="174" t="str">
        <f t="shared" si="79"/>
        <v>深交所主板</v>
      </c>
      <c r="BQ110" s="219" t="s">
        <v>317</v>
      </c>
      <c r="BR110" s="173">
        <f t="shared" si="80"/>
        <v>40543</v>
      </c>
      <c r="BS110" s="171" t="str">
        <f t="shared" si="81"/>
        <v>N</v>
      </c>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row>
    <row r="111" spans="1:163" s="7" customFormat="1" ht="15" customHeight="1" x14ac:dyDescent="0.25">
      <c r="A111" s="31">
        <v>190</v>
      </c>
      <c r="B111" s="55" t="s">
        <v>1190</v>
      </c>
      <c r="C111" s="56" t="s">
        <v>1191</v>
      </c>
      <c r="D111" s="56" t="s">
        <v>426</v>
      </c>
      <c r="E111" s="56" t="s">
        <v>493</v>
      </c>
      <c r="F111" s="52" t="s">
        <v>1192</v>
      </c>
      <c r="G111" s="57" t="s">
        <v>315</v>
      </c>
      <c r="H111" s="41" t="s">
        <v>327</v>
      </c>
      <c r="I111" s="78">
        <v>44004</v>
      </c>
      <c r="J111" s="78">
        <v>44293</v>
      </c>
      <c r="K111" s="85">
        <v>44452</v>
      </c>
      <c r="L111" s="194" t="s">
        <v>1193</v>
      </c>
      <c r="M111" s="77">
        <v>2018</v>
      </c>
      <c r="N111" s="77">
        <v>1</v>
      </c>
      <c r="O111" s="69" t="str">
        <f t="shared" si="62"/>
        <v>1-2年</v>
      </c>
      <c r="P111" s="77" t="s">
        <v>382</v>
      </c>
      <c r="Q111" s="45" t="s">
        <v>507</v>
      </c>
      <c r="R111" s="199">
        <v>38163</v>
      </c>
      <c r="S111" s="197" t="s">
        <v>660</v>
      </c>
      <c r="T111" s="160" t="s">
        <v>345</v>
      </c>
      <c r="U111" s="69" t="str">
        <f t="shared" si="63"/>
        <v>Y</v>
      </c>
      <c r="V111" s="56" t="s">
        <v>318</v>
      </c>
      <c r="W111" s="99" t="s">
        <v>544</v>
      </c>
      <c r="X111" s="99" t="s">
        <v>320</v>
      </c>
      <c r="Y111" s="134">
        <v>60</v>
      </c>
      <c r="Z111" s="135"/>
      <c r="AA111" s="135"/>
      <c r="AB111" s="155"/>
      <c r="AC111" s="135"/>
      <c r="AD111" s="128"/>
      <c r="AE111" s="135"/>
      <c r="AF111" s="135"/>
      <c r="AG111" s="100"/>
      <c r="AH111" s="135"/>
      <c r="AI111" s="128"/>
      <c r="AJ111" s="135">
        <v>345855.76</v>
      </c>
      <c r="AK111" s="135">
        <v>345855.76</v>
      </c>
      <c r="AL111" s="155">
        <v>2018</v>
      </c>
      <c r="AM111" s="135">
        <v>-59361.55</v>
      </c>
      <c r="AN111" s="128">
        <f>AK111/AM111</f>
        <v>-5.8262589167567223</v>
      </c>
      <c r="AO111" s="135"/>
      <c r="AP111" s="135"/>
      <c r="AQ111" s="56"/>
      <c r="AR111" s="135"/>
      <c r="AS111" s="132"/>
      <c r="AT111" s="135"/>
      <c r="AU111" s="135"/>
      <c r="AV111" s="155"/>
      <c r="AW111" s="135"/>
      <c r="AX111" s="128"/>
      <c r="AY111" s="68" t="s">
        <v>1194</v>
      </c>
      <c r="AZ111" s="161" t="str">
        <f t="shared" si="64"/>
        <v>N</v>
      </c>
      <c r="BA111" s="161" t="str">
        <f t="shared" si="65"/>
        <v>N</v>
      </c>
      <c r="BB111" s="161" t="str">
        <f t="shared" si="66"/>
        <v>N</v>
      </c>
      <c r="BC111" s="161" t="str">
        <f t="shared" si="67"/>
        <v>N</v>
      </c>
      <c r="BD111" s="161" t="str">
        <f t="shared" si="68"/>
        <v>Y</v>
      </c>
      <c r="BE111" s="161" t="str">
        <f t="shared" si="69"/>
        <v>N</v>
      </c>
      <c r="BF111" s="161" t="str">
        <f t="shared" si="70"/>
        <v>N</v>
      </c>
      <c r="BG111" s="161" t="str">
        <f t="shared" si="71"/>
        <v>N</v>
      </c>
      <c r="BH111" s="161" t="str">
        <f t="shared" si="72"/>
        <v>N</v>
      </c>
      <c r="BI111" s="161" t="str">
        <f t="shared" si="73"/>
        <v>N</v>
      </c>
      <c r="BJ111" s="161" t="str">
        <f t="shared" si="74"/>
        <v>N</v>
      </c>
      <c r="BK111" s="161" t="str">
        <f t="shared" si="75"/>
        <v>N</v>
      </c>
      <c r="BL111" s="161" t="str">
        <f t="shared" si="76"/>
        <v>Y</v>
      </c>
      <c r="BM111" s="161" t="str">
        <f t="shared" si="77"/>
        <v>N</v>
      </c>
      <c r="BN111" s="176" t="str">
        <f t="shared" si="78"/>
        <v>N</v>
      </c>
      <c r="BO111" s="222" t="s">
        <v>743</v>
      </c>
      <c r="BP111" s="174" t="str">
        <f t="shared" si="79"/>
        <v>深交所主板</v>
      </c>
      <c r="BQ111" s="219" t="s">
        <v>317</v>
      </c>
      <c r="BR111" s="173">
        <f t="shared" si="80"/>
        <v>39082</v>
      </c>
      <c r="BS111" s="171" t="str">
        <f t="shared" si="81"/>
        <v>N</v>
      </c>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row>
    <row r="112" spans="1:163" s="7" customFormat="1" ht="15" customHeight="1" x14ac:dyDescent="0.25">
      <c r="A112" s="31">
        <v>189</v>
      </c>
      <c r="B112" s="55" t="s">
        <v>1195</v>
      </c>
      <c r="C112" s="57" t="s">
        <v>1196</v>
      </c>
      <c r="D112" s="56" t="s">
        <v>426</v>
      </c>
      <c r="E112" s="56" t="s">
        <v>427</v>
      </c>
      <c r="F112" s="56" t="s">
        <v>1197</v>
      </c>
      <c r="G112" s="56" t="s">
        <v>315</v>
      </c>
      <c r="H112" s="32" t="s">
        <v>368</v>
      </c>
      <c r="I112" s="78">
        <v>44130</v>
      </c>
      <c r="J112" s="78">
        <v>44271</v>
      </c>
      <c r="K112" s="85">
        <v>44390</v>
      </c>
      <c r="L112" s="194" t="s">
        <v>1198</v>
      </c>
      <c r="M112" s="77" t="s">
        <v>679</v>
      </c>
      <c r="N112" s="77">
        <v>3</v>
      </c>
      <c r="O112" s="69" t="str">
        <f t="shared" ref="O112:O120" si="83">IF(N112&lt;1,"1年以内",IF(N112&lt;2,"1-2年",IF(N112&lt;3,"2-3年",IF(N112&lt;5,"3-5年","5年以上"))))</f>
        <v>3-5年</v>
      </c>
      <c r="P112" s="69" t="s">
        <v>1199</v>
      </c>
      <c r="Q112" s="45" t="s">
        <v>454</v>
      </c>
      <c r="R112" s="199">
        <v>35482</v>
      </c>
      <c r="S112" s="197" t="s">
        <v>508</v>
      </c>
      <c r="T112" s="160" t="s">
        <v>345</v>
      </c>
      <c r="U112" s="69" t="str">
        <f t="shared" si="63"/>
        <v>Y</v>
      </c>
      <c r="V112" s="56" t="s">
        <v>333</v>
      </c>
      <c r="W112" s="99" t="s">
        <v>346</v>
      </c>
      <c r="X112" s="99" t="s">
        <v>334</v>
      </c>
      <c r="Y112" s="134">
        <v>60</v>
      </c>
      <c r="Z112" s="135"/>
      <c r="AA112" s="135"/>
      <c r="AB112" s="155"/>
      <c r="AC112" s="135"/>
      <c r="AD112" s="128"/>
      <c r="AE112" s="135"/>
      <c r="AF112" s="135"/>
      <c r="AG112" s="100"/>
      <c r="AH112" s="135"/>
      <c r="AI112" s="128"/>
      <c r="AJ112" s="135">
        <f>2267.48+613.68+1835.04+1440.73+4365.25+3722.35+467.63+2771.79</f>
        <v>17483.95</v>
      </c>
      <c r="AK112" s="135">
        <f>1835.04+1440.73+4365.25+3722.35+467.63</f>
        <v>11831</v>
      </c>
      <c r="AL112" s="155">
        <v>2017</v>
      </c>
      <c r="AM112" s="135">
        <v>16541.32</v>
      </c>
      <c r="AN112" s="128">
        <f>AK112/AM112</f>
        <v>0.71523917075541732</v>
      </c>
      <c r="AO112" s="135"/>
      <c r="AP112" s="135"/>
      <c r="AQ112" s="56"/>
      <c r="AR112" s="135"/>
      <c r="AS112" s="132"/>
      <c r="AT112" s="135"/>
      <c r="AU112" s="135"/>
      <c r="AV112" s="155"/>
      <c r="AW112" s="135"/>
      <c r="AX112" s="132"/>
      <c r="AY112" s="68" t="s">
        <v>1200</v>
      </c>
      <c r="AZ112" s="161" t="str">
        <f t="shared" ref="AZ112:AZ143" si="84">IFERROR(IF(Z112&gt;100000,"Y","N"),"N")</f>
        <v>N</v>
      </c>
      <c r="BA112" s="161" t="str">
        <f t="shared" ref="BA112:BA143" si="85">IFERROR(IF(AD112&gt;0.5,"Y","N"),"N")</f>
        <v>N</v>
      </c>
      <c r="BB112" s="161" t="str">
        <f t="shared" ref="BB112:BB143" si="86">IFERROR(IF(AE112&gt;100000,"Y","N"),"N")</f>
        <v>N</v>
      </c>
      <c r="BC112" s="161" t="str">
        <f t="shared" ref="BC112:BC143" si="87">IFERROR(IF(AI112&gt;0.5,"Y","N"),"N")</f>
        <v>N</v>
      </c>
      <c r="BD112" s="161" t="str">
        <f t="shared" ref="BD112:BD143" si="88">IFERROR(IF(AJ112&gt;100000,"Y","N"),"N")</f>
        <v>N</v>
      </c>
      <c r="BE112" s="161" t="str">
        <f t="shared" ref="BE112:BE143" si="89">IFERROR(IF(AN112&gt;0.5,"Y","N"),"N")</f>
        <v>Y</v>
      </c>
      <c r="BF112" s="161" t="str">
        <f t="shared" ref="BF112:BF143" si="90">IFERROR(IF(AND(AM112-AK112&lt;0,AM112&gt;0),"Y","N"),"N")</f>
        <v>N</v>
      </c>
      <c r="BG112" s="161" t="str">
        <f t="shared" ref="BG112:BG143" si="91">IFERROR(IF(AO112&gt;100000,"Y","N"),"N")</f>
        <v>N</v>
      </c>
      <c r="BH112" s="161" t="str">
        <f t="shared" ref="BH112:BH143" si="92">IFERROR(IF(AS112&gt;0.5,"Y","N"),"N")</f>
        <v>N</v>
      </c>
      <c r="BI112" s="161" t="str">
        <f t="shared" ref="BI112:BI143" si="93">IFERROR(IF(AND(AR112-AP112&lt;0,AR112&gt;0),"Y","N"),"N")</f>
        <v>N</v>
      </c>
      <c r="BJ112" s="161" t="str">
        <f t="shared" ref="BJ112:BJ143" si="94">IFERROR(IF(AT112&gt;100000,"Y","N"),"N")</f>
        <v>N</v>
      </c>
      <c r="BK112" s="161" t="str">
        <f t="shared" ref="BK112:BK143" si="95">IFERROR(IF(AX112&gt;0.5,"Y","N"),"N")</f>
        <v>N</v>
      </c>
      <c r="BL112" s="161" t="str">
        <f t="shared" ref="BL112:BL143" si="96">IF(OR(AZ112="Y",BB112="Y",BD112="Y",BG112="Y",BJ112="Y"),"Y","N")</f>
        <v>N</v>
      </c>
      <c r="BM112" s="161" t="str">
        <f t="shared" ref="BM112:BM143" si="97">IF(OR(BA112="Y",BC112="Y",BE112="Y",BH112="Y",BK112="Y"),"Y","N")</f>
        <v>Y</v>
      </c>
      <c r="BN112" s="176" t="str">
        <f t="shared" ref="BN112:BN143" si="98">IF(OR(BF112="Y",BI112="Y"),"Y","N")</f>
        <v>N</v>
      </c>
      <c r="BO112" s="222" t="s">
        <v>1201</v>
      </c>
      <c r="BP112" s="174" t="str">
        <f t="shared" ref="BP112:BP143" si="99">IF(LEFT(B112,2)="00","深交所主板",IF(LEFT(B112,2)="60","上交所主板",IF(LEFT(B112,2)="30","深交所创业板",IF(LEFT(B112,3)="688","上交所科创板",IF(RIGHT(B112,2)="BJ","北交所","")))))</f>
        <v>深交所主板</v>
      </c>
      <c r="BQ112" s="219" t="s">
        <v>317</v>
      </c>
      <c r="BR112" s="173">
        <f t="shared" ref="BR112:BR143" si="100">IF(OR(BP112="上交所主板",BP112="深交所主板"),DATE(YEAR(R112)+2,12,31),IF(OR(BP112="上交所科创板",BP112="深交所创业板",,BP112="北交所"),DATE(YEAR(R112)+3,12,31),""))</f>
        <v>36525</v>
      </c>
      <c r="BS112" s="171" t="str">
        <f t="shared" ref="BS112:BS143" si="101">IF(BQ112="是","N",IF(OR(R112="-",LEFT(R112)="A"),"Y",IF(OR(LEFT(M112,4)-YEAR(BR112)&gt;0,RIGHT(M112,4)-(YEAR(R112)-3)&lt;0),"N","Y")))</f>
        <v>N</v>
      </c>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row>
    <row r="113" spans="1:163" ht="15" customHeight="1" x14ac:dyDescent="0.25">
      <c r="A113" s="31">
        <v>188</v>
      </c>
      <c r="B113" s="55" t="s">
        <v>1202</v>
      </c>
      <c r="C113" s="57" t="s">
        <v>1203</v>
      </c>
      <c r="D113" s="57" t="s">
        <v>686</v>
      </c>
      <c r="E113" s="57" t="s">
        <v>1204</v>
      </c>
      <c r="F113" s="57" t="s">
        <v>1205</v>
      </c>
      <c r="G113" s="57" t="s">
        <v>315</v>
      </c>
      <c r="H113" s="32" t="s">
        <v>368</v>
      </c>
      <c r="I113" s="78">
        <v>44116</v>
      </c>
      <c r="J113" s="78">
        <v>44270</v>
      </c>
      <c r="K113" s="85">
        <v>44288</v>
      </c>
      <c r="L113" s="194" t="s">
        <v>1206</v>
      </c>
      <c r="M113" s="69">
        <v>2015</v>
      </c>
      <c r="N113" s="69">
        <v>1</v>
      </c>
      <c r="O113" s="69" t="str">
        <f t="shared" si="83"/>
        <v>1-2年</v>
      </c>
      <c r="P113" s="69" t="s">
        <v>1207</v>
      </c>
      <c r="Q113" s="32" t="s">
        <v>507</v>
      </c>
      <c r="R113" s="85">
        <v>39584</v>
      </c>
      <c r="S113" s="197" t="s">
        <v>1079</v>
      </c>
      <c r="T113" s="161" t="s">
        <v>317</v>
      </c>
      <c r="U113" s="69" t="str">
        <f t="shared" si="63"/>
        <v>N</v>
      </c>
      <c r="V113" s="57" t="s">
        <v>333</v>
      </c>
      <c r="W113" s="197" t="s">
        <v>346</v>
      </c>
      <c r="X113" s="197" t="s">
        <v>320</v>
      </c>
      <c r="Y113" s="213">
        <v>30</v>
      </c>
      <c r="Z113" s="149"/>
      <c r="AA113" s="149"/>
      <c r="AB113" s="214"/>
      <c r="AC113" s="149"/>
      <c r="AD113" s="128"/>
      <c r="AE113" s="149">
        <v>1065.6500000000001</v>
      </c>
      <c r="AF113" s="149">
        <v>1065.6500000000001</v>
      </c>
      <c r="AG113" s="206">
        <v>2015</v>
      </c>
      <c r="AH113" s="149">
        <v>18641.099999999999</v>
      </c>
      <c r="AI113" s="128">
        <f>AF113/AH113</f>
        <v>5.7166690806872991E-2</v>
      </c>
      <c r="AJ113" s="149">
        <v>876.22</v>
      </c>
      <c r="AK113" s="149">
        <v>876.22</v>
      </c>
      <c r="AL113" s="214">
        <v>2015</v>
      </c>
      <c r="AM113" s="149">
        <f>AK113/AN113</f>
        <v>2747.6324866729383</v>
      </c>
      <c r="AN113" s="128">
        <v>0.31890000000000002</v>
      </c>
      <c r="AO113" s="149"/>
      <c r="AP113" s="149"/>
      <c r="AQ113" s="57"/>
      <c r="AR113" s="149"/>
      <c r="AS113" s="128"/>
      <c r="AT113" s="149"/>
      <c r="AU113" s="149"/>
      <c r="AV113" s="214"/>
      <c r="AW113" s="149"/>
      <c r="AX113" s="128"/>
      <c r="AY113" s="191" t="s">
        <v>1208</v>
      </c>
      <c r="AZ113" s="161" t="str">
        <f t="shared" si="84"/>
        <v>N</v>
      </c>
      <c r="BA113" s="161" t="str">
        <f t="shared" si="85"/>
        <v>N</v>
      </c>
      <c r="BB113" s="161" t="str">
        <f t="shared" si="86"/>
        <v>N</v>
      </c>
      <c r="BC113" s="161" t="str">
        <f t="shared" si="87"/>
        <v>N</v>
      </c>
      <c r="BD113" s="161" t="str">
        <f t="shared" si="88"/>
        <v>N</v>
      </c>
      <c r="BE113" s="161" t="str">
        <f t="shared" si="89"/>
        <v>N</v>
      </c>
      <c r="BF113" s="161" t="str">
        <f t="shared" si="90"/>
        <v>N</v>
      </c>
      <c r="BG113" s="161" t="str">
        <f t="shared" si="91"/>
        <v>N</v>
      </c>
      <c r="BH113" s="161" t="str">
        <f t="shared" si="92"/>
        <v>N</v>
      </c>
      <c r="BI113" s="161" t="str">
        <f t="shared" si="93"/>
        <v>N</v>
      </c>
      <c r="BJ113" s="161" t="str">
        <f t="shared" si="94"/>
        <v>N</v>
      </c>
      <c r="BK113" s="161" t="str">
        <f t="shared" si="95"/>
        <v>N</v>
      </c>
      <c r="BL113" s="161" t="str">
        <f t="shared" si="96"/>
        <v>N</v>
      </c>
      <c r="BM113" s="161" t="str">
        <f t="shared" si="97"/>
        <v>N</v>
      </c>
      <c r="BN113" s="176" t="str">
        <f t="shared" si="98"/>
        <v>N</v>
      </c>
      <c r="BO113" s="222" t="s">
        <v>520</v>
      </c>
      <c r="BP113" s="174" t="str">
        <f t="shared" si="99"/>
        <v>深交所主板</v>
      </c>
      <c r="BQ113" s="219" t="s">
        <v>317</v>
      </c>
      <c r="BR113" s="173">
        <f t="shared" si="100"/>
        <v>40543</v>
      </c>
      <c r="BS113" s="171" t="str">
        <f t="shared" si="101"/>
        <v>N</v>
      </c>
    </row>
    <row r="114" spans="1:163" ht="15" customHeight="1" x14ac:dyDescent="0.25">
      <c r="A114" s="31">
        <v>187</v>
      </c>
      <c r="B114" s="55" t="s">
        <v>466</v>
      </c>
      <c r="C114" s="57" t="s">
        <v>1209</v>
      </c>
      <c r="D114" s="57" t="s">
        <v>426</v>
      </c>
      <c r="E114" s="57" t="s">
        <v>468</v>
      </c>
      <c r="F114" s="57" t="s">
        <v>469</v>
      </c>
      <c r="G114" s="57" t="s">
        <v>315</v>
      </c>
      <c r="H114" s="32" t="s">
        <v>327</v>
      </c>
      <c r="I114" s="78">
        <v>43972</v>
      </c>
      <c r="J114" s="78">
        <v>44266</v>
      </c>
      <c r="K114" s="85">
        <v>44329</v>
      </c>
      <c r="L114" s="91" t="s">
        <v>1210</v>
      </c>
      <c r="M114" s="69" t="s">
        <v>690</v>
      </c>
      <c r="N114" s="69">
        <v>2</v>
      </c>
      <c r="O114" s="69" t="str">
        <f t="shared" si="83"/>
        <v>2-3年</v>
      </c>
      <c r="P114" s="69" t="s">
        <v>691</v>
      </c>
      <c r="Q114" s="32" t="s">
        <v>1117</v>
      </c>
      <c r="R114" s="85">
        <v>37054</v>
      </c>
      <c r="S114" s="197" t="s">
        <v>995</v>
      </c>
      <c r="T114" s="161" t="s">
        <v>345</v>
      </c>
      <c r="U114" s="69" t="str">
        <f t="shared" si="63"/>
        <v>N</v>
      </c>
      <c r="V114" s="57" t="s">
        <v>333</v>
      </c>
      <c r="W114" s="197" t="s">
        <v>346</v>
      </c>
      <c r="X114" s="197" t="s">
        <v>320</v>
      </c>
      <c r="Y114" s="213">
        <v>300</v>
      </c>
      <c r="Z114" s="149"/>
      <c r="AA114" s="149"/>
      <c r="AB114" s="214"/>
      <c r="AC114" s="149"/>
      <c r="AD114" s="128"/>
      <c r="AE114" s="149"/>
      <c r="AF114" s="149"/>
      <c r="AG114" s="206"/>
      <c r="AH114" s="149"/>
      <c r="AI114" s="128"/>
      <c r="AJ114" s="149">
        <f>1224.69+3124.23+1177.99</f>
        <v>5526.91</v>
      </c>
      <c r="AK114" s="149">
        <v>4302.22</v>
      </c>
      <c r="AL114" s="214">
        <v>2019</v>
      </c>
      <c r="AM114" s="149">
        <v>-50786.559999999998</v>
      </c>
      <c r="AN114" s="128">
        <f>AK114/AM114</f>
        <v>-8.4711782014769269E-2</v>
      </c>
      <c r="AO114" s="149"/>
      <c r="AP114" s="149"/>
      <c r="AQ114" s="57"/>
      <c r="AR114" s="149"/>
      <c r="AS114" s="128"/>
      <c r="AT114" s="149"/>
      <c r="AU114" s="149"/>
      <c r="AV114" s="214"/>
      <c r="AW114" s="149"/>
      <c r="AX114" s="128"/>
      <c r="AY114" s="197" t="s">
        <v>1211</v>
      </c>
      <c r="AZ114" s="161" t="str">
        <f t="shared" si="84"/>
        <v>N</v>
      </c>
      <c r="BA114" s="161" t="str">
        <f t="shared" si="85"/>
        <v>N</v>
      </c>
      <c r="BB114" s="161" t="str">
        <f t="shared" si="86"/>
        <v>N</v>
      </c>
      <c r="BC114" s="161" t="str">
        <f t="shared" si="87"/>
        <v>N</v>
      </c>
      <c r="BD114" s="161" t="str">
        <f t="shared" si="88"/>
        <v>N</v>
      </c>
      <c r="BE114" s="161" t="str">
        <f t="shared" si="89"/>
        <v>N</v>
      </c>
      <c r="BF114" s="161" t="str">
        <f t="shared" si="90"/>
        <v>N</v>
      </c>
      <c r="BG114" s="161" t="str">
        <f t="shared" si="91"/>
        <v>N</v>
      </c>
      <c r="BH114" s="161" t="str">
        <f t="shared" si="92"/>
        <v>N</v>
      </c>
      <c r="BI114" s="161" t="str">
        <f t="shared" si="93"/>
        <v>N</v>
      </c>
      <c r="BJ114" s="161" t="str">
        <f t="shared" si="94"/>
        <v>N</v>
      </c>
      <c r="BK114" s="161" t="str">
        <f t="shared" si="95"/>
        <v>N</v>
      </c>
      <c r="BL114" s="161" t="str">
        <f t="shared" si="96"/>
        <v>N</v>
      </c>
      <c r="BM114" s="161" t="str">
        <f t="shared" si="97"/>
        <v>N</v>
      </c>
      <c r="BN114" s="176" t="str">
        <f t="shared" si="98"/>
        <v>N</v>
      </c>
      <c r="BO114" s="222" t="s">
        <v>1212</v>
      </c>
      <c r="BP114" s="174" t="str">
        <f t="shared" si="99"/>
        <v>上交所主板</v>
      </c>
      <c r="BQ114" s="219" t="s">
        <v>317</v>
      </c>
      <c r="BR114" s="173">
        <f t="shared" si="100"/>
        <v>37986</v>
      </c>
      <c r="BS114" s="171" t="str">
        <f t="shared" si="101"/>
        <v>N</v>
      </c>
    </row>
    <row r="115" spans="1:163" ht="15" customHeight="1" x14ac:dyDescent="0.25">
      <c r="A115" s="31">
        <v>186</v>
      </c>
      <c r="B115" s="55" t="s">
        <v>1213</v>
      </c>
      <c r="C115" s="57" t="s">
        <v>1214</v>
      </c>
      <c r="D115" s="57" t="s">
        <v>426</v>
      </c>
      <c r="E115" s="57" t="s">
        <v>427</v>
      </c>
      <c r="F115" s="57" t="s">
        <v>1215</v>
      </c>
      <c r="G115" s="57" t="s">
        <v>315</v>
      </c>
      <c r="H115" s="32" t="s">
        <v>368</v>
      </c>
      <c r="I115" s="78">
        <v>43753</v>
      </c>
      <c r="J115" s="78">
        <v>44263</v>
      </c>
      <c r="K115" s="85">
        <v>44385</v>
      </c>
      <c r="L115" s="194" t="s">
        <v>1216</v>
      </c>
      <c r="M115" s="69" t="s">
        <v>1217</v>
      </c>
      <c r="N115" s="69">
        <v>3</v>
      </c>
      <c r="O115" s="69" t="str">
        <f t="shared" si="83"/>
        <v>3-5年</v>
      </c>
      <c r="P115" s="69" t="s">
        <v>1218</v>
      </c>
      <c r="Q115" s="32" t="s">
        <v>1047</v>
      </c>
      <c r="R115" s="85">
        <v>37010</v>
      </c>
      <c r="S115" s="197" t="s">
        <v>1127</v>
      </c>
      <c r="T115" s="161" t="s">
        <v>345</v>
      </c>
      <c r="U115" s="69" t="str">
        <f t="shared" si="63"/>
        <v>Y</v>
      </c>
      <c r="V115" s="57" t="s">
        <v>1022</v>
      </c>
      <c r="W115" s="197" t="s">
        <v>399</v>
      </c>
      <c r="X115" s="197" t="s">
        <v>320</v>
      </c>
      <c r="Y115" s="213">
        <v>60</v>
      </c>
      <c r="Z115" s="149"/>
      <c r="AA115" s="149"/>
      <c r="AB115" s="214"/>
      <c r="AC115" s="149"/>
      <c r="AD115" s="128"/>
      <c r="AE115" s="149">
        <f>2920.05+1254.35</f>
        <v>4174.3999999999996</v>
      </c>
      <c r="AF115" s="149">
        <v>4174.3999999999996</v>
      </c>
      <c r="AG115" s="206">
        <v>2015</v>
      </c>
      <c r="AH115" s="149">
        <v>99393.91</v>
      </c>
      <c r="AI115" s="128">
        <f>AF115/AH115</f>
        <v>4.1998549005668448E-2</v>
      </c>
      <c r="AJ115" s="149"/>
      <c r="AK115" s="149"/>
      <c r="AL115" s="214"/>
      <c r="AM115" s="149"/>
      <c r="AN115" s="128"/>
      <c r="AO115" s="149">
        <f>2630+11022.16+4203.44</f>
        <v>17855.599999999999</v>
      </c>
      <c r="AP115" s="149">
        <v>11022.16</v>
      </c>
      <c r="AQ115" s="57">
        <v>2015</v>
      </c>
      <c r="AR115" s="149">
        <v>2071.08</v>
      </c>
      <c r="AS115" s="128">
        <f>AP115/AR115</f>
        <v>5.3219383123780828</v>
      </c>
      <c r="AT115" s="149"/>
      <c r="AU115" s="149"/>
      <c r="AV115" s="214"/>
      <c r="AW115" s="149"/>
      <c r="AX115" s="128"/>
      <c r="AY115" s="197" t="s">
        <v>1219</v>
      </c>
      <c r="AZ115" s="161" t="str">
        <f t="shared" si="84"/>
        <v>N</v>
      </c>
      <c r="BA115" s="161" t="str">
        <f t="shared" si="85"/>
        <v>N</v>
      </c>
      <c r="BB115" s="161" t="str">
        <f t="shared" si="86"/>
        <v>N</v>
      </c>
      <c r="BC115" s="161" t="str">
        <f t="shared" si="87"/>
        <v>N</v>
      </c>
      <c r="BD115" s="161" t="str">
        <f t="shared" si="88"/>
        <v>N</v>
      </c>
      <c r="BE115" s="161" t="str">
        <f t="shared" si="89"/>
        <v>N</v>
      </c>
      <c r="BF115" s="161" t="str">
        <f t="shared" si="90"/>
        <v>N</v>
      </c>
      <c r="BG115" s="161" t="str">
        <f t="shared" si="91"/>
        <v>N</v>
      </c>
      <c r="BH115" s="161" t="str">
        <f t="shared" si="92"/>
        <v>Y</v>
      </c>
      <c r="BI115" s="161" t="str">
        <f t="shared" si="93"/>
        <v>Y</v>
      </c>
      <c r="BJ115" s="161" t="str">
        <f t="shared" si="94"/>
        <v>N</v>
      </c>
      <c r="BK115" s="161" t="str">
        <f t="shared" si="95"/>
        <v>N</v>
      </c>
      <c r="BL115" s="161" t="str">
        <f t="shared" si="96"/>
        <v>N</v>
      </c>
      <c r="BM115" s="161" t="str">
        <f t="shared" si="97"/>
        <v>Y</v>
      </c>
      <c r="BN115" s="176" t="str">
        <f t="shared" si="98"/>
        <v>Y</v>
      </c>
      <c r="BO115" s="222" t="s">
        <v>348</v>
      </c>
      <c r="BP115" s="174" t="str">
        <f t="shared" si="99"/>
        <v>深交所主板</v>
      </c>
      <c r="BQ115" s="219" t="s">
        <v>317</v>
      </c>
      <c r="BR115" s="173">
        <f t="shared" si="100"/>
        <v>37986</v>
      </c>
      <c r="BS115" s="171" t="str">
        <f t="shared" si="101"/>
        <v>N</v>
      </c>
    </row>
    <row r="116" spans="1:163" ht="15" customHeight="1" x14ac:dyDescent="0.25">
      <c r="A116" s="31">
        <v>185</v>
      </c>
      <c r="B116" s="55" t="s">
        <v>1220</v>
      </c>
      <c r="C116" s="57" t="s">
        <v>1221</v>
      </c>
      <c r="D116" s="57" t="s">
        <v>612</v>
      </c>
      <c r="E116" s="57" t="s">
        <v>613</v>
      </c>
      <c r="F116" s="57" t="s">
        <v>1222</v>
      </c>
      <c r="G116" s="57" t="s">
        <v>380</v>
      </c>
      <c r="H116" s="32" t="s">
        <v>327</v>
      </c>
      <c r="I116" s="78">
        <v>43967</v>
      </c>
      <c r="J116" s="78">
        <v>44258</v>
      </c>
      <c r="K116" s="85">
        <v>44347</v>
      </c>
      <c r="L116" s="79" t="s">
        <v>1223</v>
      </c>
      <c r="M116" s="69" t="s">
        <v>1224</v>
      </c>
      <c r="N116" s="69">
        <v>6</v>
      </c>
      <c r="O116" s="69" t="str">
        <f t="shared" si="83"/>
        <v>5年以上</v>
      </c>
      <c r="P116" s="69" t="s">
        <v>1225</v>
      </c>
      <c r="Q116" s="32" t="s">
        <v>1226</v>
      </c>
      <c r="R116" s="85">
        <v>35734</v>
      </c>
      <c r="S116" s="197" t="s">
        <v>750</v>
      </c>
      <c r="T116" s="161" t="s">
        <v>345</v>
      </c>
      <c r="U116" s="69" t="str">
        <f t="shared" si="63"/>
        <v>Y</v>
      </c>
      <c r="V116" s="57" t="s">
        <v>1022</v>
      </c>
      <c r="W116" s="197" t="s">
        <v>399</v>
      </c>
      <c r="X116" s="197" t="s">
        <v>320</v>
      </c>
      <c r="Y116" s="213">
        <v>60</v>
      </c>
      <c r="Z116" s="149"/>
      <c r="AA116" s="149"/>
      <c r="AB116" s="214"/>
      <c r="AC116" s="149"/>
      <c r="AD116" s="128"/>
      <c r="AE116" s="149">
        <f>506321246.92/10000</f>
        <v>50632.124692000005</v>
      </c>
      <c r="AF116" s="149">
        <v>21435.8</v>
      </c>
      <c r="AG116" s="206">
        <v>2009</v>
      </c>
      <c r="AH116" s="149">
        <v>196824.79</v>
      </c>
      <c r="AI116" s="128">
        <f>AF116/AH116</f>
        <v>0.1089080293188678</v>
      </c>
      <c r="AJ116" s="149">
        <f>1012903367.76/10000</f>
        <v>101290.336776</v>
      </c>
      <c r="AK116" s="149">
        <v>27383.66</v>
      </c>
      <c r="AL116" s="214">
        <v>2013</v>
      </c>
      <c r="AM116" s="149">
        <v>14438.16</v>
      </c>
      <c r="AN116" s="128">
        <f>AK116/AM116</f>
        <v>1.8966170204513595</v>
      </c>
      <c r="AO116" s="149"/>
      <c r="AP116" s="149"/>
      <c r="AQ116" s="57"/>
      <c r="AR116" s="149"/>
      <c r="AS116" s="128"/>
      <c r="AT116" s="149"/>
      <c r="AU116" s="149"/>
      <c r="AV116" s="214"/>
      <c r="AW116" s="149"/>
      <c r="AX116" s="128"/>
      <c r="AY116" s="197" t="s">
        <v>1227</v>
      </c>
      <c r="AZ116" s="161" t="str">
        <f t="shared" si="84"/>
        <v>N</v>
      </c>
      <c r="BA116" s="161" t="str">
        <f t="shared" si="85"/>
        <v>N</v>
      </c>
      <c r="BB116" s="161" t="str">
        <f t="shared" si="86"/>
        <v>N</v>
      </c>
      <c r="BC116" s="161" t="str">
        <f t="shared" si="87"/>
        <v>N</v>
      </c>
      <c r="BD116" s="161" t="str">
        <f t="shared" si="88"/>
        <v>Y</v>
      </c>
      <c r="BE116" s="161" t="str">
        <f t="shared" si="89"/>
        <v>Y</v>
      </c>
      <c r="BF116" s="161" t="str">
        <f t="shared" si="90"/>
        <v>Y</v>
      </c>
      <c r="BG116" s="161" t="str">
        <f t="shared" si="91"/>
        <v>N</v>
      </c>
      <c r="BH116" s="161" t="str">
        <f t="shared" si="92"/>
        <v>N</v>
      </c>
      <c r="BI116" s="161" t="str">
        <f t="shared" si="93"/>
        <v>N</v>
      </c>
      <c r="BJ116" s="161" t="str">
        <f t="shared" si="94"/>
        <v>N</v>
      </c>
      <c r="BK116" s="161" t="str">
        <f t="shared" si="95"/>
        <v>N</v>
      </c>
      <c r="BL116" s="161" t="str">
        <f t="shared" si="96"/>
        <v>Y</v>
      </c>
      <c r="BM116" s="161" t="str">
        <f t="shared" si="97"/>
        <v>Y</v>
      </c>
      <c r="BN116" s="176" t="str">
        <f t="shared" si="98"/>
        <v>Y</v>
      </c>
      <c r="BO116" s="222" t="s">
        <v>1228</v>
      </c>
      <c r="BP116" s="174" t="str">
        <f t="shared" si="99"/>
        <v>深交所主板</v>
      </c>
      <c r="BQ116" s="219" t="s">
        <v>317</v>
      </c>
      <c r="BR116" s="173">
        <f t="shared" si="100"/>
        <v>36525</v>
      </c>
      <c r="BS116" s="171" t="str">
        <f t="shared" si="101"/>
        <v>N</v>
      </c>
    </row>
    <row r="117" spans="1:163" ht="15" customHeight="1" x14ac:dyDescent="0.25">
      <c r="A117" s="31">
        <v>184</v>
      </c>
      <c r="B117" s="55" t="s">
        <v>1229</v>
      </c>
      <c r="C117" s="57" t="s">
        <v>1230</v>
      </c>
      <c r="D117" s="57" t="s">
        <v>313</v>
      </c>
      <c r="E117" s="57" t="s">
        <v>1231</v>
      </c>
      <c r="F117" s="57" t="s">
        <v>1232</v>
      </c>
      <c r="G117" s="57" t="s">
        <v>315</v>
      </c>
      <c r="H117" s="32" t="s">
        <v>368</v>
      </c>
      <c r="I117" s="78">
        <v>43830</v>
      </c>
      <c r="J117" s="78">
        <v>44253</v>
      </c>
      <c r="K117" s="85">
        <v>44307</v>
      </c>
      <c r="L117" s="194" t="s">
        <v>1233</v>
      </c>
      <c r="M117" s="69" t="s">
        <v>679</v>
      </c>
      <c r="N117" s="69">
        <v>3</v>
      </c>
      <c r="O117" s="69" t="str">
        <f t="shared" si="83"/>
        <v>3-5年</v>
      </c>
      <c r="P117" s="69" t="s">
        <v>680</v>
      </c>
      <c r="Q117" s="32" t="s">
        <v>371</v>
      </c>
      <c r="R117" s="85">
        <v>40253</v>
      </c>
      <c r="S117" s="197" t="s">
        <v>421</v>
      </c>
      <c r="T117" s="161" t="s">
        <v>345</v>
      </c>
      <c r="U117" s="69" t="str">
        <f t="shared" si="63"/>
        <v>N</v>
      </c>
      <c r="V117" s="57" t="s">
        <v>333</v>
      </c>
      <c r="W117" s="197" t="s">
        <v>346</v>
      </c>
      <c r="X117" s="197" t="s">
        <v>334</v>
      </c>
      <c r="Y117" s="213">
        <v>60</v>
      </c>
      <c r="Z117" s="149"/>
      <c r="AA117" s="149"/>
      <c r="AB117" s="214"/>
      <c r="AC117" s="149"/>
      <c r="AD117" s="128"/>
      <c r="AE117" s="149">
        <f>10053.27+17608.24+17731.65</f>
        <v>45393.16</v>
      </c>
      <c r="AF117" s="149">
        <v>17731.650000000001</v>
      </c>
      <c r="AG117" s="206">
        <v>2018</v>
      </c>
      <c r="AH117" s="149">
        <v>130970.92</v>
      </c>
      <c r="AI117" s="128">
        <f>AF117/AH117</f>
        <v>0.13538616053090261</v>
      </c>
      <c r="AJ117" s="149">
        <v>17409.54</v>
      </c>
      <c r="AK117" s="149">
        <v>6687.03</v>
      </c>
      <c r="AL117" s="214">
        <v>2018</v>
      </c>
      <c r="AM117" s="149">
        <v>24142.68</v>
      </c>
      <c r="AN117" s="128">
        <f>AK117/AM117</f>
        <v>0.27697960624089785</v>
      </c>
      <c r="AO117" s="149"/>
      <c r="AP117" s="149"/>
      <c r="AQ117" s="57"/>
      <c r="AR117" s="149"/>
      <c r="AS117" s="128"/>
      <c r="AT117" s="149"/>
      <c r="AU117" s="149"/>
      <c r="AV117" s="214"/>
      <c r="AW117" s="149"/>
      <c r="AX117" s="128"/>
      <c r="AY117" s="197" t="s">
        <v>1234</v>
      </c>
      <c r="AZ117" s="161" t="str">
        <f t="shared" si="84"/>
        <v>N</v>
      </c>
      <c r="BA117" s="161" t="str">
        <f t="shared" si="85"/>
        <v>N</v>
      </c>
      <c r="BB117" s="161" t="str">
        <f t="shared" si="86"/>
        <v>N</v>
      </c>
      <c r="BC117" s="161" t="str">
        <f t="shared" si="87"/>
        <v>N</v>
      </c>
      <c r="BD117" s="161" t="str">
        <f t="shared" si="88"/>
        <v>N</v>
      </c>
      <c r="BE117" s="161" t="str">
        <f t="shared" si="89"/>
        <v>N</v>
      </c>
      <c r="BF117" s="161" t="str">
        <f t="shared" si="90"/>
        <v>N</v>
      </c>
      <c r="BG117" s="161" t="str">
        <f t="shared" si="91"/>
        <v>N</v>
      </c>
      <c r="BH117" s="161" t="str">
        <f t="shared" si="92"/>
        <v>N</v>
      </c>
      <c r="BI117" s="161" t="str">
        <f t="shared" si="93"/>
        <v>N</v>
      </c>
      <c r="BJ117" s="161" t="str">
        <f t="shared" si="94"/>
        <v>N</v>
      </c>
      <c r="BK117" s="161" t="str">
        <f t="shared" si="95"/>
        <v>N</v>
      </c>
      <c r="BL117" s="161" t="str">
        <f t="shared" si="96"/>
        <v>N</v>
      </c>
      <c r="BM117" s="161" t="str">
        <f t="shared" si="97"/>
        <v>N</v>
      </c>
      <c r="BN117" s="176" t="str">
        <f t="shared" si="98"/>
        <v>N</v>
      </c>
      <c r="BO117" s="222" t="s">
        <v>790</v>
      </c>
      <c r="BP117" s="174" t="str">
        <f t="shared" si="99"/>
        <v>深交所主板</v>
      </c>
      <c r="BQ117" s="219" t="s">
        <v>317</v>
      </c>
      <c r="BR117" s="173">
        <f t="shared" si="100"/>
        <v>41274</v>
      </c>
      <c r="BS117" s="171" t="str">
        <f t="shared" si="101"/>
        <v>N</v>
      </c>
    </row>
    <row r="118" spans="1:163" ht="15" customHeight="1" x14ac:dyDescent="0.25">
      <c r="A118" s="31">
        <v>183</v>
      </c>
      <c r="B118" s="55" t="s">
        <v>1235</v>
      </c>
      <c r="C118" s="57" t="s">
        <v>1236</v>
      </c>
      <c r="D118" s="57" t="s">
        <v>826</v>
      </c>
      <c r="E118" s="57" t="s">
        <v>1237</v>
      </c>
      <c r="F118" s="57" t="s">
        <v>1238</v>
      </c>
      <c r="G118" s="57" t="s">
        <v>315</v>
      </c>
      <c r="H118" s="32" t="s">
        <v>327</v>
      </c>
      <c r="I118" s="78">
        <v>43488</v>
      </c>
      <c r="J118" s="78">
        <v>44231</v>
      </c>
      <c r="K118" s="85">
        <v>44294</v>
      </c>
      <c r="L118" s="194" t="s">
        <v>1239</v>
      </c>
      <c r="M118" s="69" t="s">
        <v>452</v>
      </c>
      <c r="N118" s="69">
        <v>1.75</v>
      </c>
      <c r="O118" s="69" t="str">
        <f t="shared" si="83"/>
        <v>1-2年</v>
      </c>
      <c r="P118" s="69" t="s">
        <v>1240</v>
      </c>
      <c r="Q118" s="32" t="s">
        <v>371</v>
      </c>
      <c r="R118" s="85">
        <v>41024</v>
      </c>
      <c r="S118" s="55" t="s">
        <v>543</v>
      </c>
      <c r="T118" s="161" t="s">
        <v>317</v>
      </c>
      <c r="U118" s="69" t="str">
        <f t="shared" si="63"/>
        <v>Y</v>
      </c>
      <c r="V118" s="57" t="s">
        <v>361</v>
      </c>
      <c r="W118" s="197" t="s">
        <v>361</v>
      </c>
      <c r="X118" s="197" t="s">
        <v>320</v>
      </c>
      <c r="Y118" s="213">
        <v>30</v>
      </c>
      <c r="Z118" s="149"/>
      <c r="AA118" s="149"/>
      <c r="AB118" s="214"/>
      <c r="AC118" s="149"/>
      <c r="AD118" s="128"/>
      <c r="AE118" s="149"/>
      <c r="AF118" s="149"/>
      <c r="AG118" s="206"/>
      <c r="AH118" s="149"/>
      <c r="AI118" s="128"/>
      <c r="AJ118" s="149"/>
      <c r="AK118" s="149"/>
      <c r="AL118" s="214"/>
      <c r="AM118" s="149"/>
      <c r="AN118" s="128"/>
      <c r="AO118" s="149"/>
      <c r="AP118" s="149"/>
      <c r="AQ118" s="57"/>
      <c r="AR118" s="149"/>
      <c r="AS118" s="128"/>
      <c r="AT118" s="149">
        <v>39000</v>
      </c>
      <c r="AU118" s="149">
        <v>20070</v>
      </c>
      <c r="AV118" s="214">
        <v>2018</v>
      </c>
      <c r="AW118" s="149">
        <v>31297.74</v>
      </c>
      <c r="AX118" s="128">
        <f>AU118/AW118</f>
        <v>0.64126035937419124</v>
      </c>
      <c r="AY118" s="197" t="s">
        <v>1241</v>
      </c>
      <c r="AZ118" s="161" t="str">
        <f t="shared" si="84"/>
        <v>N</v>
      </c>
      <c r="BA118" s="161" t="str">
        <f t="shared" si="85"/>
        <v>N</v>
      </c>
      <c r="BB118" s="161" t="str">
        <f t="shared" si="86"/>
        <v>N</v>
      </c>
      <c r="BC118" s="161" t="str">
        <f t="shared" si="87"/>
        <v>N</v>
      </c>
      <c r="BD118" s="161" t="str">
        <f t="shared" si="88"/>
        <v>N</v>
      </c>
      <c r="BE118" s="161" t="str">
        <f t="shared" si="89"/>
        <v>N</v>
      </c>
      <c r="BF118" s="161" t="str">
        <f t="shared" si="90"/>
        <v>N</v>
      </c>
      <c r="BG118" s="161" t="str">
        <f t="shared" si="91"/>
        <v>N</v>
      </c>
      <c r="BH118" s="161" t="str">
        <f t="shared" si="92"/>
        <v>N</v>
      </c>
      <c r="BI118" s="161" t="str">
        <f t="shared" si="93"/>
        <v>N</v>
      </c>
      <c r="BJ118" s="161" t="str">
        <f t="shared" si="94"/>
        <v>N</v>
      </c>
      <c r="BK118" s="161" t="str">
        <f t="shared" si="95"/>
        <v>Y</v>
      </c>
      <c r="BL118" s="161" t="str">
        <f t="shared" si="96"/>
        <v>N</v>
      </c>
      <c r="BM118" s="161" t="str">
        <f t="shared" si="97"/>
        <v>Y</v>
      </c>
      <c r="BN118" s="176" t="str">
        <f t="shared" si="98"/>
        <v>N</v>
      </c>
      <c r="BO118" s="222" t="s">
        <v>490</v>
      </c>
      <c r="BP118" s="174" t="str">
        <f t="shared" si="99"/>
        <v>深交所创业板</v>
      </c>
      <c r="BQ118" s="219" t="s">
        <v>317</v>
      </c>
      <c r="BR118" s="173">
        <f t="shared" si="100"/>
        <v>42369</v>
      </c>
      <c r="BS118" s="171" t="str">
        <f t="shared" si="101"/>
        <v>N</v>
      </c>
    </row>
    <row r="119" spans="1:163" ht="15" customHeight="1" x14ac:dyDescent="0.25">
      <c r="A119" s="31">
        <v>182</v>
      </c>
      <c r="B119" s="55" t="s">
        <v>1242</v>
      </c>
      <c r="C119" s="57" t="s">
        <v>1243</v>
      </c>
      <c r="D119" s="57" t="s">
        <v>351</v>
      </c>
      <c r="E119" s="57" t="s">
        <v>1244</v>
      </c>
      <c r="F119" s="57" t="s">
        <v>1245</v>
      </c>
      <c r="G119" s="57" t="s">
        <v>315</v>
      </c>
      <c r="H119" s="32" t="s">
        <v>327</v>
      </c>
      <c r="I119" s="78">
        <v>43991</v>
      </c>
      <c r="J119" s="78">
        <v>44216</v>
      </c>
      <c r="K119" s="85">
        <v>44407</v>
      </c>
      <c r="L119" s="79" t="s">
        <v>1246</v>
      </c>
      <c r="M119" s="69" t="s">
        <v>729</v>
      </c>
      <c r="N119" s="69">
        <v>4</v>
      </c>
      <c r="O119" s="69" t="str">
        <f t="shared" si="83"/>
        <v>3-5年</v>
      </c>
      <c r="P119" s="69" t="s">
        <v>730</v>
      </c>
      <c r="Q119" s="32" t="s">
        <v>1047</v>
      </c>
      <c r="R119" s="85">
        <v>40375</v>
      </c>
      <c r="S119" s="197" t="s">
        <v>995</v>
      </c>
      <c r="T119" s="161" t="s">
        <v>345</v>
      </c>
      <c r="U119" s="69" t="str">
        <f t="shared" si="63"/>
        <v>Y</v>
      </c>
      <c r="V119" s="57" t="s">
        <v>333</v>
      </c>
      <c r="W119" s="197" t="s">
        <v>693</v>
      </c>
      <c r="X119" s="197" t="s">
        <v>320</v>
      </c>
      <c r="Y119" s="213">
        <v>60</v>
      </c>
      <c r="Z119" s="149">
        <f>(9571053025.2+14689542575.86+17781374628.03+14468363032.12-4599634797.29-12209443476.52-6160090359.52-10288447275.09)/10000</f>
        <v>2325271.7352789994</v>
      </c>
      <c r="AA119" s="149">
        <f>(14689542575.86-6160090359.52)/10000</f>
        <v>852945.22163399996</v>
      </c>
      <c r="AB119" s="214">
        <v>2016</v>
      </c>
      <c r="AC119" s="149">
        <f>15602441096.73/10000</f>
        <v>1560244.1096729999</v>
      </c>
      <c r="AD119" s="128">
        <f>AA119/AC119</f>
        <v>0.54667421357082546</v>
      </c>
      <c r="AE119" s="149"/>
      <c r="AF119" s="149"/>
      <c r="AG119" s="206"/>
      <c r="AH119" s="149"/>
      <c r="AI119" s="128"/>
      <c r="AJ119" s="149">
        <f>(2242745642.37+2943420778.01+3908205906.9+2436193525.4)/10000</f>
        <v>1153056.5852680001</v>
      </c>
      <c r="AK119" s="149">
        <v>390820.59</v>
      </c>
      <c r="AL119" s="214">
        <v>2017</v>
      </c>
      <c r="AM119" s="149">
        <f>2912397452.52/10000</f>
        <v>291239.74525199999</v>
      </c>
      <c r="AN119" s="128">
        <f>AK119/AM119</f>
        <v>1.341920518649802</v>
      </c>
      <c r="AO119" s="149"/>
      <c r="AP119" s="149"/>
      <c r="AQ119" s="57"/>
      <c r="AR119" s="149"/>
      <c r="AS119" s="128"/>
      <c r="AT119" s="149"/>
      <c r="AU119" s="149"/>
      <c r="AV119" s="214"/>
      <c r="AW119" s="149"/>
      <c r="AX119" s="128"/>
      <c r="AY119" s="191" t="s">
        <v>1247</v>
      </c>
      <c r="AZ119" s="161" t="str">
        <f t="shared" si="84"/>
        <v>Y</v>
      </c>
      <c r="BA119" s="161" t="str">
        <f t="shared" si="85"/>
        <v>Y</v>
      </c>
      <c r="BB119" s="161" t="str">
        <f t="shared" si="86"/>
        <v>N</v>
      </c>
      <c r="BC119" s="161" t="str">
        <f t="shared" si="87"/>
        <v>N</v>
      </c>
      <c r="BD119" s="161" t="str">
        <f t="shared" si="88"/>
        <v>Y</v>
      </c>
      <c r="BE119" s="161" t="str">
        <f t="shared" si="89"/>
        <v>Y</v>
      </c>
      <c r="BF119" s="161" t="str">
        <f t="shared" si="90"/>
        <v>Y</v>
      </c>
      <c r="BG119" s="161" t="str">
        <f t="shared" si="91"/>
        <v>N</v>
      </c>
      <c r="BH119" s="161" t="str">
        <f t="shared" si="92"/>
        <v>N</v>
      </c>
      <c r="BI119" s="161" t="str">
        <f t="shared" si="93"/>
        <v>N</v>
      </c>
      <c r="BJ119" s="161" t="str">
        <f t="shared" si="94"/>
        <v>N</v>
      </c>
      <c r="BK119" s="161" t="str">
        <f t="shared" si="95"/>
        <v>N</v>
      </c>
      <c r="BL119" s="161" t="str">
        <f t="shared" si="96"/>
        <v>Y</v>
      </c>
      <c r="BM119" s="161" t="str">
        <f t="shared" si="97"/>
        <v>Y</v>
      </c>
      <c r="BN119" s="176" t="str">
        <f t="shared" si="98"/>
        <v>Y</v>
      </c>
      <c r="BO119" s="222" t="s">
        <v>1189</v>
      </c>
      <c r="BP119" s="174" t="str">
        <f t="shared" si="99"/>
        <v>深交所主板</v>
      </c>
      <c r="BQ119" s="219" t="s">
        <v>317</v>
      </c>
      <c r="BR119" s="173">
        <f t="shared" si="100"/>
        <v>41274</v>
      </c>
      <c r="BS119" s="171" t="str">
        <f t="shared" si="101"/>
        <v>N</v>
      </c>
    </row>
    <row r="120" spans="1:163" ht="15" customHeight="1" x14ac:dyDescent="0.25">
      <c r="A120" s="31">
        <v>181</v>
      </c>
      <c r="B120" s="55" t="s">
        <v>1015</v>
      </c>
      <c r="C120" s="57" t="s">
        <v>1016</v>
      </c>
      <c r="D120" s="57" t="s">
        <v>826</v>
      </c>
      <c r="E120" s="57" t="s">
        <v>1017</v>
      </c>
      <c r="F120" s="57" t="s">
        <v>1018</v>
      </c>
      <c r="G120" s="57" t="s">
        <v>315</v>
      </c>
      <c r="H120" s="32" t="s">
        <v>327</v>
      </c>
      <c r="I120" s="78">
        <v>42366</v>
      </c>
      <c r="J120" s="78">
        <v>44201</v>
      </c>
      <c r="K120" s="85">
        <v>44375</v>
      </c>
      <c r="L120" s="194" t="s">
        <v>1248</v>
      </c>
      <c r="M120" s="69" t="s">
        <v>1249</v>
      </c>
      <c r="N120" s="69">
        <v>8</v>
      </c>
      <c r="O120" s="69" t="str">
        <f t="shared" si="83"/>
        <v>5年以上</v>
      </c>
      <c r="P120" s="69" t="s">
        <v>1250</v>
      </c>
      <c r="Q120" s="32" t="s">
        <v>1251</v>
      </c>
      <c r="R120" s="85">
        <v>36426</v>
      </c>
      <c r="S120" s="55" t="s">
        <v>1021</v>
      </c>
      <c r="T120" s="161" t="s">
        <v>317</v>
      </c>
      <c r="U120" s="69" t="str">
        <f t="shared" si="63"/>
        <v>Y</v>
      </c>
      <c r="V120" s="57" t="s">
        <v>361</v>
      </c>
      <c r="W120" s="197" t="s">
        <v>361</v>
      </c>
      <c r="X120" s="197" t="s">
        <v>320</v>
      </c>
      <c r="Y120" s="213">
        <v>60</v>
      </c>
      <c r="Z120" s="149"/>
      <c r="AA120" s="149"/>
      <c r="AB120" s="214"/>
      <c r="AC120" s="149"/>
      <c r="AD120" s="128"/>
      <c r="AE120" s="149"/>
      <c r="AF120" s="149"/>
      <c r="AG120" s="206"/>
      <c r="AH120" s="149"/>
      <c r="AI120" s="128"/>
      <c r="AJ120" s="149"/>
      <c r="AK120" s="149"/>
      <c r="AL120" s="214"/>
      <c r="AM120" s="149"/>
      <c r="AN120" s="128"/>
      <c r="AO120" s="149"/>
      <c r="AP120" s="149"/>
      <c r="AQ120" s="57"/>
      <c r="AR120" s="149"/>
      <c r="AS120" s="128"/>
      <c r="AT120" s="149">
        <f>5949+13800+29650+28000+4582.88</f>
        <v>81981.88</v>
      </c>
      <c r="AU120" s="149">
        <f>5949+13800+29650</f>
        <v>49399</v>
      </c>
      <c r="AV120" s="214">
        <v>2016</v>
      </c>
      <c r="AW120" s="149">
        <v>61550.46</v>
      </c>
      <c r="AX120" s="128">
        <f>AU120/AW120</f>
        <v>0.80257726749726976</v>
      </c>
      <c r="AY120" s="191" t="s">
        <v>1252</v>
      </c>
      <c r="AZ120" s="161" t="str">
        <f t="shared" si="84"/>
        <v>N</v>
      </c>
      <c r="BA120" s="161" t="str">
        <f t="shared" si="85"/>
        <v>N</v>
      </c>
      <c r="BB120" s="161" t="str">
        <f t="shared" si="86"/>
        <v>N</v>
      </c>
      <c r="BC120" s="161" t="str">
        <f t="shared" si="87"/>
        <v>N</v>
      </c>
      <c r="BD120" s="161" t="str">
        <f t="shared" si="88"/>
        <v>N</v>
      </c>
      <c r="BE120" s="161" t="str">
        <f t="shared" si="89"/>
        <v>N</v>
      </c>
      <c r="BF120" s="161" t="str">
        <f t="shared" si="90"/>
        <v>N</v>
      </c>
      <c r="BG120" s="161" t="str">
        <f t="shared" si="91"/>
        <v>N</v>
      </c>
      <c r="BH120" s="161" t="str">
        <f t="shared" si="92"/>
        <v>N</v>
      </c>
      <c r="BI120" s="161" t="str">
        <f t="shared" si="93"/>
        <v>N</v>
      </c>
      <c r="BJ120" s="161" t="str">
        <f t="shared" si="94"/>
        <v>N</v>
      </c>
      <c r="BK120" s="161" t="str">
        <f t="shared" si="95"/>
        <v>Y</v>
      </c>
      <c r="BL120" s="161" t="str">
        <f t="shared" si="96"/>
        <v>N</v>
      </c>
      <c r="BM120" s="161" t="str">
        <f t="shared" si="97"/>
        <v>Y</v>
      </c>
      <c r="BN120" s="176" t="str">
        <f t="shared" si="98"/>
        <v>N</v>
      </c>
      <c r="BO120" s="222" t="s">
        <v>1025</v>
      </c>
      <c r="BP120" s="174" t="str">
        <f t="shared" si="99"/>
        <v>上交所主板</v>
      </c>
      <c r="BQ120" s="219" t="s">
        <v>317</v>
      </c>
      <c r="BR120" s="173">
        <f t="shared" si="100"/>
        <v>37256</v>
      </c>
      <c r="BS120" s="171" t="str">
        <f t="shared" si="101"/>
        <v>N</v>
      </c>
    </row>
    <row r="121" spans="1:163" ht="15" customHeight="1" x14ac:dyDescent="0.25">
      <c r="A121" s="31">
        <v>180</v>
      </c>
      <c r="B121" s="55" t="s">
        <v>1253</v>
      </c>
      <c r="C121" s="57" t="s">
        <v>1254</v>
      </c>
      <c r="D121" s="57" t="s">
        <v>686</v>
      </c>
      <c r="E121" s="57" t="s">
        <v>1255</v>
      </c>
      <c r="F121" s="57" t="s">
        <v>1256</v>
      </c>
      <c r="G121" s="57" t="s">
        <v>380</v>
      </c>
      <c r="H121" s="32" t="s">
        <v>602</v>
      </c>
      <c r="I121" s="78">
        <v>43483</v>
      </c>
      <c r="J121" s="78">
        <v>44188</v>
      </c>
      <c r="K121" s="85">
        <v>44196</v>
      </c>
      <c r="L121" s="194" t="s">
        <v>1257</v>
      </c>
      <c r="M121" s="197" t="s">
        <v>452</v>
      </c>
      <c r="N121" s="69">
        <v>1.5</v>
      </c>
      <c r="O121" s="69" t="s">
        <v>1258</v>
      </c>
      <c r="P121" s="69" t="s">
        <v>1259</v>
      </c>
      <c r="Q121" s="196" t="s">
        <v>1260</v>
      </c>
      <c r="R121" s="85">
        <v>39080</v>
      </c>
      <c r="S121" s="102" t="s">
        <v>421</v>
      </c>
      <c r="T121" s="205" t="s">
        <v>317</v>
      </c>
      <c r="U121" s="69" t="str">
        <f t="shared" si="63"/>
        <v>Y</v>
      </c>
      <c r="V121" s="206" t="s">
        <v>318</v>
      </c>
      <c r="W121" s="202" t="s">
        <v>1261</v>
      </c>
      <c r="X121" s="197" t="s">
        <v>334</v>
      </c>
      <c r="Y121" s="213">
        <v>30</v>
      </c>
      <c r="Z121" s="149">
        <f>121281+104562.97</f>
        <v>225843.97</v>
      </c>
      <c r="AA121" s="149">
        <v>104562.97</v>
      </c>
      <c r="AB121" s="214">
        <v>2018</v>
      </c>
      <c r="AC121" s="149">
        <f>820046.97-488297.13</f>
        <v>331749.83999999997</v>
      </c>
      <c r="AD121" s="128">
        <f>AA121/AC121</f>
        <v>0.31518619571903944</v>
      </c>
      <c r="AE121" s="149"/>
      <c r="AF121" s="149"/>
      <c r="AG121" s="206"/>
      <c r="AH121" s="149"/>
      <c r="AI121" s="128"/>
      <c r="AJ121" s="149"/>
      <c r="AK121" s="149"/>
      <c r="AL121" s="214"/>
      <c r="AM121" s="149"/>
      <c r="AN121" s="128"/>
      <c r="AO121" s="149"/>
      <c r="AP121" s="149"/>
      <c r="AQ121" s="57"/>
      <c r="AR121" s="149"/>
      <c r="AS121" s="128"/>
      <c r="AT121" s="149"/>
      <c r="AU121" s="149"/>
      <c r="AV121" s="214"/>
      <c r="AW121" s="149"/>
      <c r="AX121" s="128"/>
      <c r="AY121" s="69" t="s">
        <v>1262</v>
      </c>
      <c r="AZ121" s="161" t="str">
        <f t="shared" si="84"/>
        <v>Y</v>
      </c>
      <c r="BA121" s="161" t="str">
        <f t="shared" si="85"/>
        <v>N</v>
      </c>
      <c r="BB121" s="161" t="str">
        <f t="shared" si="86"/>
        <v>N</v>
      </c>
      <c r="BC121" s="161" t="str">
        <f t="shared" si="87"/>
        <v>N</v>
      </c>
      <c r="BD121" s="161" t="str">
        <f t="shared" si="88"/>
        <v>N</v>
      </c>
      <c r="BE121" s="161" t="str">
        <f t="shared" si="89"/>
        <v>N</v>
      </c>
      <c r="BF121" s="161" t="str">
        <f t="shared" si="90"/>
        <v>N</v>
      </c>
      <c r="BG121" s="161" t="str">
        <f t="shared" si="91"/>
        <v>N</v>
      </c>
      <c r="BH121" s="161" t="str">
        <f t="shared" si="92"/>
        <v>N</v>
      </c>
      <c r="BI121" s="161" t="str">
        <f t="shared" si="93"/>
        <v>N</v>
      </c>
      <c r="BJ121" s="161" t="str">
        <f t="shared" si="94"/>
        <v>N</v>
      </c>
      <c r="BK121" s="161" t="str">
        <f t="shared" si="95"/>
        <v>N</v>
      </c>
      <c r="BL121" s="161" t="str">
        <f t="shared" si="96"/>
        <v>Y</v>
      </c>
      <c r="BM121" s="161" t="str">
        <f t="shared" si="97"/>
        <v>N</v>
      </c>
      <c r="BN121" s="176" t="str">
        <f t="shared" si="98"/>
        <v>N</v>
      </c>
      <c r="BO121" s="222" t="s">
        <v>1263</v>
      </c>
      <c r="BP121" s="174" t="str">
        <f t="shared" si="99"/>
        <v>深交所主板</v>
      </c>
      <c r="BQ121" s="219" t="s">
        <v>317</v>
      </c>
      <c r="BR121" s="173">
        <f t="shared" si="100"/>
        <v>39813</v>
      </c>
      <c r="BS121" s="171" t="str">
        <f t="shared" si="101"/>
        <v>N</v>
      </c>
    </row>
    <row r="122" spans="1:163" ht="15" customHeight="1" x14ac:dyDescent="0.35">
      <c r="A122" s="31">
        <v>179</v>
      </c>
      <c r="B122" s="32" t="s">
        <v>1264</v>
      </c>
      <c r="C122" s="23" t="s">
        <v>1265</v>
      </c>
      <c r="D122" s="44" t="s">
        <v>351</v>
      </c>
      <c r="E122" s="44" t="s">
        <v>1266</v>
      </c>
      <c r="F122" s="190" t="s">
        <v>1267</v>
      </c>
      <c r="G122" s="42" t="s">
        <v>315</v>
      </c>
      <c r="H122" s="32" t="s">
        <v>368</v>
      </c>
      <c r="I122" s="78">
        <v>43327</v>
      </c>
      <c r="J122" s="78">
        <v>44155</v>
      </c>
      <c r="K122" s="78">
        <v>44288</v>
      </c>
      <c r="L122" s="79" t="s">
        <v>1268</v>
      </c>
      <c r="M122" s="198">
        <v>2015</v>
      </c>
      <c r="N122" s="23">
        <v>1</v>
      </c>
      <c r="O122" s="69" t="str">
        <f>IF(N122&lt;1,"1年以内",IF(N122&lt;2,"1-2年",IF(N122&lt;3,"2-3年",IF(N122&lt;5,"3-5年","5年以上"))))</f>
        <v>1-2年</v>
      </c>
      <c r="P122" s="69" t="s">
        <v>1207</v>
      </c>
      <c r="Q122" s="191" t="s">
        <v>371</v>
      </c>
      <c r="R122" s="80">
        <v>40491</v>
      </c>
      <c r="S122" s="44" t="s">
        <v>463</v>
      </c>
      <c r="T122" s="207" t="s">
        <v>345</v>
      </c>
      <c r="U122" s="69" t="str">
        <f t="shared" si="63"/>
        <v>N</v>
      </c>
      <c r="V122" s="44" t="s">
        <v>318</v>
      </c>
      <c r="W122" s="208" t="s">
        <v>319</v>
      </c>
      <c r="X122" s="44" t="s">
        <v>320</v>
      </c>
      <c r="Y122" s="215">
        <v>30</v>
      </c>
      <c r="Z122" s="216"/>
      <c r="AA122" s="148"/>
      <c r="AB122" s="44"/>
      <c r="AC122" s="148"/>
      <c r="AD122" s="128"/>
      <c r="AE122" s="148">
        <v>1406.5504269999999</v>
      </c>
      <c r="AF122" s="148">
        <v>1406.5504269999999</v>
      </c>
      <c r="AG122" s="218">
        <v>2015</v>
      </c>
      <c r="AH122" s="148">
        <v>333306.76178</v>
      </c>
      <c r="AI122" s="128">
        <f>AF122/AH122</f>
        <v>4.2199876758827869E-3</v>
      </c>
      <c r="AJ122" s="148"/>
      <c r="AK122" s="148"/>
      <c r="AL122" s="218"/>
      <c r="AM122" s="148"/>
      <c r="AN122" s="128"/>
      <c r="AO122" s="148"/>
      <c r="AP122" s="148"/>
      <c r="AQ122" s="44"/>
      <c r="AR122" s="148"/>
      <c r="AS122" s="128"/>
      <c r="AT122" s="148"/>
      <c r="AU122" s="148"/>
      <c r="AV122" s="218"/>
      <c r="AW122" s="148"/>
      <c r="AX122" s="159"/>
      <c r="AY122" s="198" t="s">
        <v>1269</v>
      </c>
      <c r="AZ122" s="161" t="str">
        <f t="shared" si="84"/>
        <v>N</v>
      </c>
      <c r="BA122" s="161" t="str">
        <f t="shared" si="85"/>
        <v>N</v>
      </c>
      <c r="BB122" s="161" t="str">
        <f t="shared" si="86"/>
        <v>N</v>
      </c>
      <c r="BC122" s="161" t="str">
        <f t="shared" si="87"/>
        <v>N</v>
      </c>
      <c r="BD122" s="161" t="str">
        <f t="shared" si="88"/>
        <v>N</v>
      </c>
      <c r="BE122" s="161" t="str">
        <f t="shared" si="89"/>
        <v>N</v>
      </c>
      <c r="BF122" s="161" t="str">
        <f t="shared" si="90"/>
        <v>N</v>
      </c>
      <c r="BG122" s="161" t="str">
        <f t="shared" si="91"/>
        <v>N</v>
      </c>
      <c r="BH122" s="161" t="str">
        <f t="shared" si="92"/>
        <v>N</v>
      </c>
      <c r="BI122" s="161" t="str">
        <f t="shared" si="93"/>
        <v>N</v>
      </c>
      <c r="BJ122" s="161" t="str">
        <f t="shared" si="94"/>
        <v>N</v>
      </c>
      <c r="BK122" s="161" t="str">
        <f t="shared" si="95"/>
        <v>N</v>
      </c>
      <c r="BL122" s="161" t="str">
        <f t="shared" si="96"/>
        <v>N</v>
      </c>
      <c r="BM122" s="161" t="str">
        <f t="shared" si="97"/>
        <v>N</v>
      </c>
      <c r="BN122" s="176" t="str">
        <f t="shared" si="98"/>
        <v>N</v>
      </c>
      <c r="BO122" s="170" t="s">
        <v>520</v>
      </c>
      <c r="BP122" s="174" t="str">
        <f t="shared" si="99"/>
        <v>深交所主板</v>
      </c>
      <c r="BQ122" s="172" t="s">
        <v>317</v>
      </c>
      <c r="BR122" s="173">
        <f t="shared" si="100"/>
        <v>41274</v>
      </c>
      <c r="BS122" s="171" t="str">
        <f t="shared" si="101"/>
        <v>N</v>
      </c>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c r="ET122" s="7"/>
      <c r="EU122" s="7"/>
      <c r="EV122" s="7"/>
      <c r="EW122" s="7"/>
      <c r="EX122" s="7"/>
      <c r="EY122" s="7"/>
      <c r="EZ122" s="7"/>
      <c r="FA122" s="7"/>
      <c r="FB122" s="7"/>
      <c r="FC122" s="7"/>
      <c r="FD122" s="7"/>
      <c r="FE122" s="7"/>
      <c r="FF122" s="7"/>
      <c r="FG122" s="7"/>
    </row>
    <row r="123" spans="1:163" ht="15" customHeight="1" x14ac:dyDescent="0.35">
      <c r="A123" s="31">
        <v>178</v>
      </c>
      <c r="B123" s="32" t="s">
        <v>1270</v>
      </c>
      <c r="C123" s="23" t="s">
        <v>1271</v>
      </c>
      <c r="D123" s="44" t="s">
        <v>448</v>
      </c>
      <c r="E123" s="44" t="s">
        <v>1272</v>
      </c>
      <c r="F123" s="190" t="s">
        <v>1273</v>
      </c>
      <c r="G123" s="42" t="s">
        <v>315</v>
      </c>
      <c r="H123" s="32" t="s">
        <v>327</v>
      </c>
      <c r="I123" s="78">
        <v>43648</v>
      </c>
      <c r="J123" s="78">
        <v>44146</v>
      </c>
      <c r="K123" s="78" t="s">
        <v>312</v>
      </c>
      <c r="L123" s="79" t="s">
        <v>1274</v>
      </c>
      <c r="M123" s="198" t="s">
        <v>452</v>
      </c>
      <c r="N123" s="23">
        <v>2</v>
      </c>
      <c r="O123" s="69" t="str">
        <f>IF(N123&lt;1,"1年以内",IF(N123&lt;2,"1-2年",IF(N123&lt;3,"2-3年",IF(N123&lt;5,"3-5年","5年以上"))))</f>
        <v>2-3年</v>
      </c>
      <c r="P123" s="69" t="s">
        <v>706</v>
      </c>
      <c r="Q123" s="191" t="s">
        <v>507</v>
      </c>
      <c r="R123" s="80">
        <v>40038</v>
      </c>
      <c r="S123" s="44" t="s">
        <v>421</v>
      </c>
      <c r="T123" s="207" t="s">
        <v>345</v>
      </c>
      <c r="U123" s="69" t="str">
        <f t="shared" si="63"/>
        <v>N</v>
      </c>
      <c r="V123" s="44" t="s">
        <v>361</v>
      </c>
      <c r="W123" s="208" t="s">
        <v>361</v>
      </c>
      <c r="X123" s="44" t="s">
        <v>334</v>
      </c>
      <c r="Y123" s="215">
        <v>50</v>
      </c>
      <c r="Z123" s="216"/>
      <c r="AA123" s="148"/>
      <c r="AB123" s="44"/>
      <c r="AC123" s="148"/>
      <c r="AD123" s="148"/>
      <c r="AE123" s="148"/>
      <c r="AF123" s="148"/>
      <c r="AG123" s="218"/>
      <c r="AH123" s="148"/>
      <c r="AI123" s="128"/>
      <c r="AJ123" s="148"/>
      <c r="AK123" s="148"/>
      <c r="AL123" s="218"/>
      <c r="AM123" s="148"/>
      <c r="AN123" s="128"/>
      <c r="AO123" s="148"/>
      <c r="AP123" s="148"/>
      <c r="AQ123" s="44"/>
      <c r="AR123" s="148"/>
      <c r="AS123" s="128"/>
      <c r="AT123" s="148">
        <f>5000+31000+30000</f>
        <v>66000</v>
      </c>
      <c r="AU123" s="148">
        <f>5000+31000</f>
        <v>36000</v>
      </c>
      <c r="AV123" s="218">
        <v>2018</v>
      </c>
      <c r="AW123" s="148">
        <v>425688.10713999998</v>
      </c>
      <c r="AX123" s="159">
        <f>AU123/AW123</f>
        <v>8.4568958813219436E-2</v>
      </c>
      <c r="AY123" s="198" t="s">
        <v>1275</v>
      </c>
      <c r="AZ123" s="161" t="str">
        <f t="shared" si="84"/>
        <v>N</v>
      </c>
      <c r="BA123" s="161" t="str">
        <f t="shared" si="85"/>
        <v>N</v>
      </c>
      <c r="BB123" s="161" t="str">
        <f t="shared" si="86"/>
        <v>N</v>
      </c>
      <c r="BC123" s="161" t="str">
        <f t="shared" si="87"/>
        <v>N</v>
      </c>
      <c r="BD123" s="161" t="str">
        <f t="shared" si="88"/>
        <v>N</v>
      </c>
      <c r="BE123" s="161" t="str">
        <f t="shared" si="89"/>
        <v>N</v>
      </c>
      <c r="BF123" s="161" t="str">
        <f t="shared" si="90"/>
        <v>N</v>
      </c>
      <c r="BG123" s="161" t="str">
        <f t="shared" si="91"/>
        <v>N</v>
      </c>
      <c r="BH123" s="161" t="str">
        <f t="shared" si="92"/>
        <v>N</v>
      </c>
      <c r="BI123" s="161" t="str">
        <f t="shared" si="93"/>
        <v>N</v>
      </c>
      <c r="BJ123" s="161" t="str">
        <f t="shared" si="94"/>
        <v>N</v>
      </c>
      <c r="BK123" s="161" t="str">
        <f t="shared" si="95"/>
        <v>N</v>
      </c>
      <c r="BL123" s="161" t="str">
        <f t="shared" si="96"/>
        <v>N</v>
      </c>
      <c r="BM123" s="161" t="str">
        <f t="shared" si="97"/>
        <v>N</v>
      </c>
      <c r="BN123" s="176" t="str">
        <f t="shared" si="98"/>
        <v>N</v>
      </c>
      <c r="BO123" s="170" t="s">
        <v>1276</v>
      </c>
      <c r="BP123" s="174" t="str">
        <f t="shared" si="99"/>
        <v>上交所主板</v>
      </c>
      <c r="BQ123" s="172" t="s">
        <v>345</v>
      </c>
      <c r="BR123" s="173">
        <f t="shared" si="100"/>
        <v>40908</v>
      </c>
      <c r="BS123" s="171" t="str">
        <f t="shared" si="101"/>
        <v>N</v>
      </c>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c r="FB123" s="7"/>
      <c r="FC123" s="7"/>
      <c r="FD123" s="7"/>
      <c r="FE123" s="7"/>
      <c r="FF123" s="7"/>
      <c r="FG123" s="7"/>
    </row>
    <row r="124" spans="1:163" ht="15" customHeight="1" x14ac:dyDescent="0.25">
      <c r="A124" s="31">
        <v>177</v>
      </c>
      <c r="B124" s="191" t="s">
        <v>599</v>
      </c>
      <c r="C124" s="188" t="s">
        <v>1277</v>
      </c>
      <c r="D124" s="57" t="s">
        <v>574</v>
      </c>
      <c r="E124" s="57" t="s">
        <v>575</v>
      </c>
      <c r="F124" s="57" t="s">
        <v>1278</v>
      </c>
      <c r="G124" s="57" t="s">
        <v>315</v>
      </c>
      <c r="H124" s="32" t="s">
        <v>327</v>
      </c>
      <c r="I124" s="78">
        <v>43202</v>
      </c>
      <c r="J124" s="78">
        <v>44125</v>
      </c>
      <c r="K124" s="78">
        <v>44523</v>
      </c>
      <c r="L124" s="79" t="s">
        <v>1279</v>
      </c>
      <c r="M124" s="69" t="s">
        <v>748</v>
      </c>
      <c r="N124" s="69">
        <v>2</v>
      </c>
      <c r="O124" s="69" t="str">
        <f>IF(N124&lt;1,"1年以内",IF(N124&lt;2,"1-2年",IF(N124&lt;3,"2-3年",IF(N124&lt;5,"3-5年","5年以上"))))</f>
        <v>2-3年</v>
      </c>
      <c r="P124" s="69" t="s">
        <v>1280</v>
      </c>
      <c r="Q124" s="32" t="s">
        <v>877</v>
      </c>
      <c r="R124" s="85">
        <v>37560</v>
      </c>
      <c r="S124" s="55" t="s">
        <v>1048</v>
      </c>
      <c r="T124" s="161" t="s">
        <v>317</v>
      </c>
      <c r="U124" s="69" t="str">
        <f t="shared" si="63"/>
        <v>N</v>
      </c>
      <c r="V124" s="57" t="s">
        <v>1281</v>
      </c>
      <c r="W124" s="197" t="s">
        <v>1282</v>
      </c>
      <c r="X124" s="197" t="s">
        <v>320</v>
      </c>
      <c r="Y124" s="213">
        <v>60</v>
      </c>
      <c r="Z124" s="149"/>
      <c r="AA124" s="149"/>
      <c r="AB124" s="214"/>
      <c r="AC124" s="149"/>
      <c r="AD124" s="128"/>
      <c r="AE124" s="149"/>
      <c r="AF124" s="149"/>
      <c r="AG124" s="206"/>
      <c r="AH124" s="149"/>
      <c r="AI124" s="128"/>
      <c r="AJ124" s="149"/>
      <c r="AK124" s="149"/>
      <c r="AL124" s="214"/>
      <c r="AM124" s="149"/>
      <c r="AN124" s="128"/>
      <c r="AO124" s="149"/>
      <c r="AP124" s="149"/>
      <c r="AQ124" s="57"/>
      <c r="AR124" s="149"/>
      <c r="AS124" s="128"/>
      <c r="AT124" s="149">
        <f>65900+15500</f>
        <v>81400</v>
      </c>
      <c r="AU124" s="149">
        <v>65900</v>
      </c>
      <c r="AV124" s="214">
        <v>2016</v>
      </c>
      <c r="AW124" s="149">
        <v>190700.15</v>
      </c>
      <c r="AX124" s="128">
        <f>AU124/AW124</f>
        <v>0.34556868466018514</v>
      </c>
      <c r="AY124" s="69" t="s">
        <v>1283</v>
      </c>
      <c r="AZ124" s="161" t="str">
        <f t="shared" si="84"/>
        <v>N</v>
      </c>
      <c r="BA124" s="161" t="str">
        <f t="shared" si="85"/>
        <v>N</v>
      </c>
      <c r="BB124" s="161" t="str">
        <f t="shared" si="86"/>
        <v>N</v>
      </c>
      <c r="BC124" s="161" t="str">
        <f t="shared" si="87"/>
        <v>N</v>
      </c>
      <c r="BD124" s="161" t="str">
        <f t="shared" si="88"/>
        <v>N</v>
      </c>
      <c r="BE124" s="161" t="str">
        <f t="shared" si="89"/>
        <v>N</v>
      </c>
      <c r="BF124" s="161" t="str">
        <f t="shared" si="90"/>
        <v>N</v>
      </c>
      <c r="BG124" s="161" t="str">
        <f t="shared" si="91"/>
        <v>N</v>
      </c>
      <c r="BH124" s="161" t="str">
        <f t="shared" si="92"/>
        <v>N</v>
      </c>
      <c r="BI124" s="161" t="str">
        <f t="shared" si="93"/>
        <v>N</v>
      </c>
      <c r="BJ124" s="161" t="str">
        <f t="shared" si="94"/>
        <v>N</v>
      </c>
      <c r="BK124" s="161" t="str">
        <f t="shared" si="95"/>
        <v>N</v>
      </c>
      <c r="BL124" s="161" t="str">
        <f t="shared" si="96"/>
        <v>N</v>
      </c>
      <c r="BM124" s="161" t="str">
        <f t="shared" si="97"/>
        <v>N</v>
      </c>
      <c r="BN124" s="176" t="str">
        <f t="shared" si="98"/>
        <v>N</v>
      </c>
      <c r="BO124" s="222" t="s">
        <v>520</v>
      </c>
      <c r="BP124" s="174" t="str">
        <f t="shared" si="99"/>
        <v>上交所主板</v>
      </c>
      <c r="BQ124" s="219" t="s">
        <v>345</v>
      </c>
      <c r="BR124" s="173">
        <f t="shared" si="100"/>
        <v>38352</v>
      </c>
      <c r="BS124" s="171" t="str">
        <f t="shared" si="101"/>
        <v>N</v>
      </c>
    </row>
    <row r="125" spans="1:163" ht="15" customHeight="1" x14ac:dyDescent="0.35">
      <c r="A125" s="31">
        <v>176</v>
      </c>
      <c r="B125" s="32" t="s">
        <v>1284</v>
      </c>
      <c r="C125" s="23" t="s">
        <v>1285</v>
      </c>
      <c r="D125" s="44" t="s">
        <v>1286</v>
      </c>
      <c r="E125" s="190" t="s">
        <v>1287</v>
      </c>
      <c r="F125" s="190" t="s">
        <v>1288</v>
      </c>
      <c r="G125" s="42" t="s">
        <v>315</v>
      </c>
      <c r="H125" s="32" t="s">
        <v>368</v>
      </c>
      <c r="I125" s="78">
        <v>43684</v>
      </c>
      <c r="J125" s="78">
        <v>44117</v>
      </c>
      <c r="K125" s="78">
        <v>44176</v>
      </c>
      <c r="L125" s="79" t="s">
        <v>1289</v>
      </c>
      <c r="M125" s="198">
        <v>2017</v>
      </c>
      <c r="N125" s="23">
        <v>1</v>
      </c>
      <c r="O125" s="69" t="str">
        <f>IF(N125&lt;1,"1年以内",IF(N125&lt;2,"1-2年",IF(N125&lt;3,"2-3年",IF(N125&lt;5,"3-5年","5年以上"))))</f>
        <v>1-2年</v>
      </c>
      <c r="P125" s="69" t="s">
        <v>357</v>
      </c>
      <c r="Q125" s="191" t="s">
        <v>498</v>
      </c>
      <c r="R125" s="80">
        <v>40541</v>
      </c>
      <c r="S125" s="44" t="s">
        <v>316</v>
      </c>
      <c r="T125" s="207" t="s">
        <v>317</v>
      </c>
      <c r="U125" s="69" t="str">
        <f t="shared" si="63"/>
        <v>Y</v>
      </c>
      <c r="V125" s="44" t="s">
        <v>398</v>
      </c>
      <c r="W125" s="208" t="s">
        <v>399</v>
      </c>
      <c r="X125" s="44" t="s">
        <v>320</v>
      </c>
      <c r="Y125" s="215">
        <v>60</v>
      </c>
      <c r="Z125" s="216"/>
      <c r="AA125" s="148"/>
      <c r="AB125" s="44"/>
      <c r="AC125" s="148"/>
      <c r="AD125" s="128"/>
      <c r="AE125" s="148"/>
      <c r="AF125" s="148"/>
      <c r="AG125" s="218"/>
      <c r="AH125" s="148"/>
      <c r="AI125" s="128"/>
      <c r="AJ125" s="148">
        <v>717.88009499999998</v>
      </c>
      <c r="AK125" s="148">
        <v>717.88009499999998</v>
      </c>
      <c r="AL125" s="218">
        <v>2017</v>
      </c>
      <c r="AM125" s="216">
        <v>1067.131016</v>
      </c>
      <c r="AN125" s="128">
        <f>AK125/AM125</f>
        <v>0.67271973566177368</v>
      </c>
      <c r="AO125" s="148"/>
      <c r="AP125" s="148"/>
      <c r="AQ125" s="44"/>
      <c r="AR125" s="148"/>
      <c r="AS125" s="128"/>
      <c r="AT125" s="148"/>
      <c r="AU125" s="148"/>
      <c r="AV125" s="218"/>
      <c r="AW125" s="148"/>
      <c r="AX125" s="159"/>
      <c r="AY125" s="198" t="s">
        <v>1290</v>
      </c>
      <c r="AZ125" s="161" t="str">
        <f t="shared" si="84"/>
        <v>N</v>
      </c>
      <c r="BA125" s="161" t="str">
        <f t="shared" si="85"/>
        <v>N</v>
      </c>
      <c r="BB125" s="161" t="str">
        <f t="shared" si="86"/>
        <v>N</v>
      </c>
      <c r="BC125" s="161" t="str">
        <f t="shared" si="87"/>
        <v>N</v>
      </c>
      <c r="BD125" s="161" t="str">
        <f t="shared" si="88"/>
        <v>N</v>
      </c>
      <c r="BE125" s="161" t="str">
        <f t="shared" si="89"/>
        <v>Y</v>
      </c>
      <c r="BF125" s="161" t="str">
        <f t="shared" si="90"/>
        <v>N</v>
      </c>
      <c r="BG125" s="161" t="str">
        <f t="shared" si="91"/>
        <v>N</v>
      </c>
      <c r="BH125" s="161" t="str">
        <f t="shared" si="92"/>
        <v>N</v>
      </c>
      <c r="BI125" s="161" t="str">
        <f t="shared" si="93"/>
        <v>N</v>
      </c>
      <c r="BJ125" s="161" t="str">
        <f t="shared" si="94"/>
        <v>N</v>
      </c>
      <c r="BK125" s="161" t="str">
        <f t="shared" si="95"/>
        <v>N</v>
      </c>
      <c r="BL125" s="161" t="str">
        <f t="shared" si="96"/>
        <v>N</v>
      </c>
      <c r="BM125" s="161" t="str">
        <f t="shared" si="97"/>
        <v>Y</v>
      </c>
      <c r="BN125" s="176" t="str">
        <f t="shared" si="98"/>
        <v>N</v>
      </c>
      <c r="BO125" s="170" t="s">
        <v>562</v>
      </c>
      <c r="BP125" s="174" t="str">
        <f t="shared" si="99"/>
        <v>深交所创业板</v>
      </c>
      <c r="BQ125" s="172" t="s">
        <v>317</v>
      </c>
      <c r="BR125" s="173">
        <f t="shared" si="100"/>
        <v>41639</v>
      </c>
      <c r="BS125" s="171" t="str">
        <f t="shared" si="101"/>
        <v>N</v>
      </c>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c r="FB125" s="7"/>
      <c r="FC125" s="7"/>
      <c r="FD125" s="7"/>
      <c r="FE125" s="7"/>
      <c r="FF125" s="7"/>
      <c r="FG125" s="7"/>
    </row>
    <row r="126" spans="1:163" ht="15" customHeight="1" x14ac:dyDescent="0.35">
      <c r="A126" s="31">
        <v>175</v>
      </c>
      <c r="B126" s="32" t="s">
        <v>1291</v>
      </c>
      <c r="C126" s="23" t="s">
        <v>1292</v>
      </c>
      <c r="D126" s="44" t="s">
        <v>426</v>
      </c>
      <c r="E126" s="44" t="s">
        <v>1293</v>
      </c>
      <c r="F126" s="190" t="s">
        <v>1294</v>
      </c>
      <c r="G126" s="42" t="s">
        <v>315</v>
      </c>
      <c r="H126" s="32" t="s">
        <v>1295</v>
      </c>
      <c r="I126" s="78">
        <v>43522</v>
      </c>
      <c r="J126" s="78">
        <v>44104</v>
      </c>
      <c r="K126" s="78">
        <v>44169</v>
      </c>
      <c r="L126" s="79" t="s">
        <v>1296</v>
      </c>
      <c r="M126" s="198" t="s">
        <v>452</v>
      </c>
      <c r="N126" s="23">
        <v>1.5</v>
      </c>
      <c r="O126" s="69" t="str">
        <f>IF(N126&lt;1,"1年以内",IF(N126&lt;2,"1-2年",IF(N126&lt;3,"2-3年",IF(N126&lt;5,"3-5年","5年以上"))))</f>
        <v>1-2年</v>
      </c>
      <c r="P126" s="69" t="s">
        <v>1297</v>
      </c>
      <c r="Q126" s="191" t="s">
        <v>1047</v>
      </c>
      <c r="R126" s="80">
        <v>41666</v>
      </c>
      <c r="S126" s="44" t="s">
        <v>384</v>
      </c>
      <c r="T126" s="207" t="s">
        <v>345</v>
      </c>
      <c r="U126" s="69" t="str">
        <f t="shared" si="63"/>
        <v>N</v>
      </c>
      <c r="V126" s="44" t="s">
        <v>361</v>
      </c>
      <c r="W126" s="208" t="s">
        <v>361</v>
      </c>
      <c r="X126" s="44" t="s">
        <v>334</v>
      </c>
      <c r="Y126" s="215">
        <v>60</v>
      </c>
      <c r="Z126" s="216"/>
      <c r="AA126" s="148"/>
      <c r="AB126" s="44"/>
      <c r="AC126" s="148"/>
      <c r="AD126" s="128"/>
      <c r="AE126" s="148"/>
      <c r="AF126" s="148"/>
      <c r="AG126" s="218"/>
      <c r="AH126" s="148"/>
      <c r="AI126" s="128"/>
      <c r="AJ126" s="148"/>
      <c r="AK126" s="148"/>
      <c r="AL126" s="218"/>
      <c r="AM126" s="148"/>
      <c r="AN126" s="128"/>
      <c r="AO126" s="148"/>
      <c r="AP126" s="148"/>
      <c r="AQ126" s="44"/>
      <c r="AR126" s="148"/>
      <c r="AS126" s="128"/>
      <c r="AT126" s="148">
        <f>26000+24000</f>
        <v>50000</v>
      </c>
      <c r="AU126" s="148">
        <f>26000</f>
        <v>26000</v>
      </c>
      <c r="AV126" s="218">
        <v>2017</v>
      </c>
      <c r="AW126" s="148">
        <v>178122.19849000001</v>
      </c>
      <c r="AX126" s="159">
        <f t="shared" ref="AX126:AX132" si="102">AU126/AW126</f>
        <v>0.14596720802017088</v>
      </c>
      <c r="AY126" s="198" t="s">
        <v>1298</v>
      </c>
      <c r="AZ126" s="161" t="str">
        <f t="shared" si="84"/>
        <v>N</v>
      </c>
      <c r="BA126" s="161" t="str">
        <f t="shared" si="85"/>
        <v>N</v>
      </c>
      <c r="BB126" s="161" t="str">
        <f t="shared" si="86"/>
        <v>N</v>
      </c>
      <c r="BC126" s="161" t="str">
        <f t="shared" si="87"/>
        <v>N</v>
      </c>
      <c r="BD126" s="161" t="str">
        <f t="shared" si="88"/>
        <v>N</v>
      </c>
      <c r="BE126" s="161" t="str">
        <f t="shared" si="89"/>
        <v>N</v>
      </c>
      <c r="BF126" s="161" t="str">
        <f t="shared" si="90"/>
        <v>N</v>
      </c>
      <c r="BG126" s="161" t="str">
        <f t="shared" si="91"/>
        <v>N</v>
      </c>
      <c r="BH126" s="161" t="str">
        <f t="shared" si="92"/>
        <v>N</v>
      </c>
      <c r="BI126" s="161" t="str">
        <f t="shared" si="93"/>
        <v>N</v>
      </c>
      <c r="BJ126" s="161" t="str">
        <f t="shared" si="94"/>
        <v>N</v>
      </c>
      <c r="BK126" s="161" t="str">
        <f t="shared" si="95"/>
        <v>N</v>
      </c>
      <c r="BL126" s="161" t="str">
        <f t="shared" si="96"/>
        <v>N</v>
      </c>
      <c r="BM126" s="161" t="str">
        <f t="shared" si="97"/>
        <v>N</v>
      </c>
      <c r="BN126" s="176" t="str">
        <f t="shared" si="98"/>
        <v>N</v>
      </c>
      <c r="BO126" s="170" t="s">
        <v>1299</v>
      </c>
      <c r="BP126" s="174" t="str">
        <f t="shared" si="99"/>
        <v>深交所主板</v>
      </c>
      <c r="BQ126" s="172" t="s">
        <v>317</v>
      </c>
      <c r="BR126" s="173">
        <f t="shared" si="100"/>
        <v>42735</v>
      </c>
      <c r="BS126" s="171" t="str">
        <f t="shared" si="101"/>
        <v>N</v>
      </c>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row>
    <row r="127" spans="1:163" ht="15" customHeight="1" x14ac:dyDescent="0.25">
      <c r="A127" s="31">
        <v>174</v>
      </c>
      <c r="B127" s="55" t="s">
        <v>1300</v>
      </c>
      <c r="C127" s="57" t="s">
        <v>1301</v>
      </c>
      <c r="D127" s="57" t="s">
        <v>313</v>
      </c>
      <c r="E127" s="57" t="s">
        <v>1302</v>
      </c>
      <c r="F127" s="57" t="s">
        <v>1303</v>
      </c>
      <c r="G127" s="57" t="s">
        <v>315</v>
      </c>
      <c r="H127" s="32" t="s">
        <v>1295</v>
      </c>
      <c r="I127" s="78">
        <v>43825</v>
      </c>
      <c r="J127" s="78">
        <v>44097</v>
      </c>
      <c r="K127" s="85">
        <v>44355</v>
      </c>
      <c r="L127" s="194" t="s">
        <v>1304</v>
      </c>
      <c r="M127" s="69" t="s">
        <v>804</v>
      </c>
      <c r="N127" s="69">
        <v>2.5</v>
      </c>
      <c r="O127" s="69" t="s">
        <v>1305</v>
      </c>
      <c r="P127" s="69" t="s">
        <v>1306</v>
      </c>
      <c r="Q127" s="32" t="s">
        <v>371</v>
      </c>
      <c r="R127" s="85">
        <v>36836</v>
      </c>
      <c r="S127" s="197" t="s">
        <v>863</v>
      </c>
      <c r="T127" s="161" t="s">
        <v>317</v>
      </c>
      <c r="U127" s="69" t="str">
        <f t="shared" si="63"/>
        <v>Y</v>
      </c>
      <c r="V127" s="57" t="s">
        <v>361</v>
      </c>
      <c r="W127" s="197" t="s">
        <v>361</v>
      </c>
      <c r="X127" s="197" t="s">
        <v>320</v>
      </c>
      <c r="Y127" s="213">
        <v>60</v>
      </c>
      <c r="Z127" s="149"/>
      <c r="AA127" s="149"/>
      <c r="AB127" s="214"/>
      <c r="AC127" s="149"/>
      <c r="AD127" s="128"/>
      <c r="AE127" s="149"/>
      <c r="AF127" s="149"/>
      <c r="AG127" s="206"/>
      <c r="AH127" s="149"/>
      <c r="AI127" s="128"/>
      <c r="AJ127" s="149"/>
      <c r="AK127" s="149"/>
      <c r="AL127" s="214"/>
      <c r="AM127" s="149"/>
      <c r="AN127" s="128"/>
      <c r="AO127" s="149"/>
      <c r="AP127" s="149"/>
      <c r="AQ127" s="57"/>
      <c r="AR127" s="149"/>
      <c r="AS127" s="128"/>
      <c r="AT127" s="149">
        <f>23.2*10000</f>
        <v>232000</v>
      </c>
      <c r="AU127" s="149">
        <f>13.33*10000</f>
        <v>133300</v>
      </c>
      <c r="AV127" s="214">
        <v>2018</v>
      </c>
      <c r="AW127" s="149">
        <f>722405.77-309853.37</f>
        <v>412552.4</v>
      </c>
      <c r="AX127" s="128">
        <f t="shared" si="102"/>
        <v>0.32311047033055679</v>
      </c>
      <c r="AY127" s="197" t="s">
        <v>1307</v>
      </c>
      <c r="AZ127" s="161" t="str">
        <f t="shared" si="84"/>
        <v>N</v>
      </c>
      <c r="BA127" s="161" t="str">
        <f t="shared" si="85"/>
        <v>N</v>
      </c>
      <c r="BB127" s="161" t="str">
        <f t="shared" si="86"/>
        <v>N</v>
      </c>
      <c r="BC127" s="161" t="str">
        <f t="shared" si="87"/>
        <v>N</v>
      </c>
      <c r="BD127" s="161" t="str">
        <f t="shared" si="88"/>
        <v>N</v>
      </c>
      <c r="BE127" s="161" t="str">
        <f t="shared" si="89"/>
        <v>N</v>
      </c>
      <c r="BF127" s="161" t="str">
        <f t="shared" si="90"/>
        <v>N</v>
      </c>
      <c r="BG127" s="161" t="str">
        <f t="shared" si="91"/>
        <v>N</v>
      </c>
      <c r="BH127" s="161" t="str">
        <f t="shared" si="92"/>
        <v>N</v>
      </c>
      <c r="BI127" s="161" t="str">
        <f t="shared" si="93"/>
        <v>N</v>
      </c>
      <c r="BJ127" s="161" t="str">
        <f t="shared" si="94"/>
        <v>Y</v>
      </c>
      <c r="BK127" s="161" t="str">
        <f t="shared" si="95"/>
        <v>N</v>
      </c>
      <c r="BL127" s="161" t="str">
        <f t="shared" si="96"/>
        <v>Y</v>
      </c>
      <c r="BM127" s="161" t="str">
        <f t="shared" si="97"/>
        <v>N</v>
      </c>
      <c r="BN127" s="176" t="str">
        <f t="shared" si="98"/>
        <v>N</v>
      </c>
      <c r="BO127" s="222" t="s">
        <v>1308</v>
      </c>
      <c r="BP127" s="174" t="str">
        <f t="shared" si="99"/>
        <v>上交所主板</v>
      </c>
      <c r="BQ127" s="219" t="s">
        <v>317</v>
      </c>
      <c r="BR127" s="173">
        <f t="shared" si="100"/>
        <v>37621</v>
      </c>
      <c r="BS127" s="171" t="str">
        <f t="shared" si="101"/>
        <v>N</v>
      </c>
    </row>
    <row r="128" spans="1:163" ht="15" customHeight="1" x14ac:dyDescent="0.25">
      <c r="A128" s="31">
        <v>173</v>
      </c>
      <c r="B128" s="55" t="s">
        <v>1309</v>
      </c>
      <c r="C128" s="57" t="s">
        <v>1310</v>
      </c>
      <c r="D128" s="57" t="s">
        <v>377</v>
      </c>
      <c r="E128" s="57" t="s">
        <v>1311</v>
      </c>
      <c r="F128" s="57" t="s">
        <v>1312</v>
      </c>
      <c r="G128" s="57" t="s">
        <v>315</v>
      </c>
      <c r="H128" s="32" t="s">
        <v>327</v>
      </c>
      <c r="I128" s="78">
        <v>43672</v>
      </c>
      <c r="J128" s="78">
        <v>44090</v>
      </c>
      <c r="K128" s="85">
        <v>44131</v>
      </c>
      <c r="L128" s="194" t="s">
        <v>1313</v>
      </c>
      <c r="M128" s="69" t="s">
        <v>729</v>
      </c>
      <c r="N128" s="69">
        <v>4</v>
      </c>
      <c r="O128" s="69" t="s">
        <v>1314</v>
      </c>
      <c r="P128" s="69" t="s">
        <v>1315</v>
      </c>
      <c r="Q128" s="32" t="s">
        <v>1047</v>
      </c>
      <c r="R128" s="85">
        <v>35417</v>
      </c>
      <c r="S128" s="197" t="s">
        <v>421</v>
      </c>
      <c r="T128" s="161" t="s">
        <v>317</v>
      </c>
      <c r="U128" s="69" t="str">
        <f t="shared" si="63"/>
        <v>Y</v>
      </c>
      <c r="V128" s="57" t="s">
        <v>607</v>
      </c>
      <c r="W128" s="197" t="s">
        <v>670</v>
      </c>
      <c r="X128" s="197" t="s">
        <v>334</v>
      </c>
      <c r="Y128" s="213">
        <v>60</v>
      </c>
      <c r="Z128" s="149">
        <f>6380+7200+41330+57570+46710+133663.28</f>
        <v>292853.28000000003</v>
      </c>
      <c r="AA128" s="149">
        <v>133663.28</v>
      </c>
      <c r="AB128" s="214">
        <v>2018</v>
      </c>
      <c r="AC128" s="149">
        <f>1071737.27-525079.27</f>
        <v>546658</v>
      </c>
      <c r="AD128" s="128">
        <f>AA128/AC128</f>
        <v>0.2445098763760889</v>
      </c>
      <c r="AE128" s="149"/>
      <c r="AF128" s="149"/>
      <c r="AG128" s="206"/>
      <c r="AH128" s="149"/>
      <c r="AI128" s="128"/>
      <c r="AJ128" s="149"/>
      <c r="AK128" s="149"/>
      <c r="AL128" s="214"/>
      <c r="AM128" s="149"/>
      <c r="AN128" s="128"/>
      <c r="AO128" s="149"/>
      <c r="AP128" s="149"/>
      <c r="AQ128" s="57"/>
      <c r="AR128" s="149"/>
      <c r="AS128" s="128"/>
      <c r="AT128" s="149">
        <f>6380+820+46710+86953.28</f>
        <v>140863.28</v>
      </c>
      <c r="AU128" s="149">
        <v>86953.279999999999</v>
      </c>
      <c r="AV128" s="214">
        <v>2018</v>
      </c>
      <c r="AW128" s="149">
        <f>1071737.27-525079.27</f>
        <v>546658</v>
      </c>
      <c r="AX128" s="128">
        <f t="shared" si="102"/>
        <v>0.15906339978560635</v>
      </c>
      <c r="AY128" s="197" t="s">
        <v>1316</v>
      </c>
      <c r="AZ128" s="161" t="str">
        <f t="shared" si="84"/>
        <v>Y</v>
      </c>
      <c r="BA128" s="161" t="str">
        <f t="shared" si="85"/>
        <v>N</v>
      </c>
      <c r="BB128" s="161" t="str">
        <f t="shared" si="86"/>
        <v>N</v>
      </c>
      <c r="BC128" s="161" t="str">
        <f t="shared" si="87"/>
        <v>N</v>
      </c>
      <c r="BD128" s="161" t="str">
        <f t="shared" si="88"/>
        <v>N</v>
      </c>
      <c r="BE128" s="161" t="str">
        <f t="shared" si="89"/>
        <v>N</v>
      </c>
      <c r="BF128" s="161" t="str">
        <f t="shared" si="90"/>
        <v>N</v>
      </c>
      <c r="BG128" s="161" t="str">
        <f t="shared" si="91"/>
        <v>N</v>
      </c>
      <c r="BH128" s="161" t="str">
        <f t="shared" si="92"/>
        <v>N</v>
      </c>
      <c r="BI128" s="161" t="str">
        <f t="shared" si="93"/>
        <v>N</v>
      </c>
      <c r="BJ128" s="161" t="str">
        <f t="shared" si="94"/>
        <v>Y</v>
      </c>
      <c r="BK128" s="161" t="str">
        <f t="shared" si="95"/>
        <v>N</v>
      </c>
      <c r="BL128" s="161" t="str">
        <f t="shared" si="96"/>
        <v>Y</v>
      </c>
      <c r="BM128" s="161" t="str">
        <f t="shared" si="97"/>
        <v>N</v>
      </c>
      <c r="BN128" s="176" t="str">
        <f t="shared" si="98"/>
        <v>N</v>
      </c>
      <c r="BO128" s="222" t="s">
        <v>1189</v>
      </c>
      <c r="BP128" s="174" t="str">
        <f t="shared" si="99"/>
        <v>上交所主板</v>
      </c>
      <c r="BQ128" s="219" t="s">
        <v>345</v>
      </c>
      <c r="BR128" s="173">
        <f t="shared" si="100"/>
        <v>36160</v>
      </c>
      <c r="BS128" s="171" t="str">
        <f t="shared" si="101"/>
        <v>N</v>
      </c>
    </row>
    <row r="129" spans="1:163" ht="15" customHeight="1" x14ac:dyDescent="0.25">
      <c r="A129" s="31">
        <v>172</v>
      </c>
      <c r="B129" s="57" t="s">
        <v>1317</v>
      </c>
      <c r="C129" s="57" t="s">
        <v>1318</v>
      </c>
      <c r="D129" s="57" t="s">
        <v>323</v>
      </c>
      <c r="E129" s="57" t="s">
        <v>1319</v>
      </c>
      <c r="F129" s="32" t="s">
        <v>1320</v>
      </c>
      <c r="G129" s="57" t="s">
        <v>315</v>
      </c>
      <c r="H129" s="192" t="s">
        <v>1295</v>
      </c>
      <c r="I129" s="85">
        <v>43915</v>
      </c>
      <c r="J129" s="85">
        <v>44060</v>
      </c>
      <c r="K129" s="85">
        <v>44119</v>
      </c>
      <c r="L129" s="194" t="s">
        <v>1321</v>
      </c>
      <c r="M129" s="69" t="s">
        <v>729</v>
      </c>
      <c r="N129" s="69">
        <v>4</v>
      </c>
      <c r="O129" s="196" t="s">
        <v>1314</v>
      </c>
      <c r="P129" s="69" t="s">
        <v>1315</v>
      </c>
      <c r="Q129" s="209" t="s">
        <v>1047</v>
      </c>
      <c r="R129" s="85">
        <v>40323</v>
      </c>
      <c r="S129" s="202" t="s">
        <v>421</v>
      </c>
      <c r="T129" s="210" t="s">
        <v>345</v>
      </c>
      <c r="U129" s="69" t="str">
        <f t="shared" si="63"/>
        <v>Y</v>
      </c>
      <c r="V129" s="102" t="s">
        <v>988</v>
      </c>
      <c r="W129" s="211" t="s">
        <v>670</v>
      </c>
      <c r="X129" s="197" t="s">
        <v>320</v>
      </c>
      <c r="Y129" s="213">
        <v>60</v>
      </c>
      <c r="Z129" s="149">
        <f>(794326924.96+2057005338.69+811866582.26)/10000</f>
        <v>366319.88459099998</v>
      </c>
      <c r="AA129" s="149">
        <f>2057005338.69/10000</f>
        <v>205700.53386900001</v>
      </c>
      <c r="AB129" s="214">
        <v>2016</v>
      </c>
      <c r="AC129" s="149">
        <f>1806164.17-248573.22</f>
        <v>1557590.95</v>
      </c>
      <c r="AD129" s="128">
        <f>AA129/AC129</f>
        <v>0.13206325696037205</v>
      </c>
      <c r="AE129" s="149"/>
      <c r="AF129" s="149"/>
      <c r="AG129" s="206"/>
      <c r="AH129" s="149"/>
      <c r="AI129" s="128"/>
      <c r="AJ129" s="149"/>
      <c r="AK129" s="149"/>
      <c r="AL129" s="214"/>
      <c r="AM129" s="149"/>
      <c r="AN129" s="128"/>
      <c r="AO129" s="149"/>
      <c r="AP129" s="149"/>
      <c r="AQ129" s="57"/>
      <c r="AR129" s="149"/>
      <c r="AS129" s="128"/>
      <c r="AT129" s="149">
        <f>44.97*10000</f>
        <v>449700</v>
      </c>
      <c r="AU129" s="149">
        <f>16.48*10000</f>
        <v>164800</v>
      </c>
      <c r="AV129" s="214">
        <v>2017</v>
      </c>
      <c r="AW129" s="149">
        <f>1990905.1-1059869.08</f>
        <v>931036.02</v>
      </c>
      <c r="AX129" s="128">
        <f t="shared" si="102"/>
        <v>0.17700711514899284</v>
      </c>
      <c r="AY129" s="69" t="s">
        <v>1322</v>
      </c>
      <c r="AZ129" s="161" t="str">
        <f t="shared" si="84"/>
        <v>Y</v>
      </c>
      <c r="BA129" s="161" t="str">
        <f t="shared" si="85"/>
        <v>N</v>
      </c>
      <c r="BB129" s="161" t="str">
        <f t="shared" si="86"/>
        <v>N</v>
      </c>
      <c r="BC129" s="161" t="str">
        <f t="shared" si="87"/>
        <v>N</v>
      </c>
      <c r="BD129" s="161" t="str">
        <f t="shared" si="88"/>
        <v>N</v>
      </c>
      <c r="BE129" s="161" t="str">
        <f t="shared" si="89"/>
        <v>N</v>
      </c>
      <c r="BF129" s="161" t="str">
        <f t="shared" si="90"/>
        <v>N</v>
      </c>
      <c r="BG129" s="161" t="str">
        <f t="shared" si="91"/>
        <v>N</v>
      </c>
      <c r="BH129" s="161" t="str">
        <f t="shared" si="92"/>
        <v>N</v>
      </c>
      <c r="BI129" s="161" t="str">
        <f t="shared" si="93"/>
        <v>N</v>
      </c>
      <c r="BJ129" s="161" t="str">
        <f t="shared" si="94"/>
        <v>Y</v>
      </c>
      <c r="BK129" s="161" t="str">
        <f t="shared" si="95"/>
        <v>N</v>
      </c>
      <c r="BL129" s="161" t="str">
        <f t="shared" si="96"/>
        <v>Y</v>
      </c>
      <c r="BM129" s="161" t="str">
        <f t="shared" si="97"/>
        <v>N</v>
      </c>
      <c r="BN129" s="176" t="str">
        <f t="shared" si="98"/>
        <v>N</v>
      </c>
      <c r="BO129" s="222" t="s">
        <v>348</v>
      </c>
      <c r="BP129" s="174" t="str">
        <f t="shared" si="99"/>
        <v>深交所主板</v>
      </c>
      <c r="BQ129" s="219" t="s">
        <v>345</v>
      </c>
      <c r="BR129" s="173">
        <f t="shared" si="100"/>
        <v>41274</v>
      </c>
      <c r="BS129" s="171" t="str">
        <f t="shared" si="101"/>
        <v>N</v>
      </c>
    </row>
    <row r="130" spans="1:163" ht="15" customHeight="1" x14ac:dyDescent="0.25">
      <c r="A130" s="31">
        <v>171</v>
      </c>
      <c r="B130" s="55" t="s">
        <v>1323</v>
      </c>
      <c r="C130" s="57" t="s">
        <v>1324</v>
      </c>
      <c r="D130" s="57" t="s">
        <v>313</v>
      </c>
      <c r="E130" s="57" t="s">
        <v>1325</v>
      </c>
      <c r="F130" s="57" t="s">
        <v>1326</v>
      </c>
      <c r="G130" s="57" t="s">
        <v>315</v>
      </c>
      <c r="H130" s="32" t="s">
        <v>327</v>
      </c>
      <c r="I130" s="78">
        <v>43580</v>
      </c>
      <c r="J130" s="78">
        <v>44056</v>
      </c>
      <c r="K130" s="85">
        <v>44095</v>
      </c>
      <c r="L130" s="194" t="s">
        <v>1327</v>
      </c>
      <c r="M130" s="69">
        <v>2017</v>
      </c>
      <c r="N130" s="69">
        <v>1</v>
      </c>
      <c r="O130" s="69" t="s">
        <v>1258</v>
      </c>
      <c r="P130" s="69" t="s">
        <v>1328</v>
      </c>
      <c r="Q130" s="32" t="s">
        <v>1040</v>
      </c>
      <c r="R130" s="85">
        <v>40849</v>
      </c>
      <c r="S130" s="197" t="s">
        <v>1048</v>
      </c>
      <c r="T130" s="161" t="s">
        <v>317</v>
      </c>
      <c r="U130" s="69" t="str">
        <f t="shared" si="63"/>
        <v>N</v>
      </c>
      <c r="V130" s="57" t="s">
        <v>988</v>
      </c>
      <c r="W130" s="197" t="s">
        <v>1013</v>
      </c>
      <c r="X130" s="197" t="s">
        <v>334</v>
      </c>
      <c r="Y130" s="213">
        <v>30</v>
      </c>
      <c r="Z130" s="149"/>
      <c r="AA130" s="149"/>
      <c r="AB130" s="214"/>
      <c r="AC130" s="149"/>
      <c r="AD130" s="128"/>
      <c r="AE130" s="149">
        <f>9041.72</f>
        <v>9041.7199999999993</v>
      </c>
      <c r="AF130" s="149">
        <f>9041.72</f>
        <v>9041.7199999999993</v>
      </c>
      <c r="AG130" s="206">
        <v>2017</v>
      </c>
      <c r="AH130" s="149">
        <f>322342.3</f>
        <v>322342.3</v>
      </c>
      <c r="AI130" s="128">
        <f>AF130/AH130</f>
        <v>2.8050057345871144E-2</v>
      </c>
      <c r="AJ130" s="149">
        <f>9041.72-6079.52</f>
        <v>2962.1999999999989</v>
      </c>
      <c r="AK130" s="149">
        <v>2962.2</v>
      </c>
      <c r="AL130" s="214">
        <v>2017</v>
      </c>
      <c r="AM130" s="149">
        <v>-2941.11</v>
      </c>
      <c r="AN130" s="128">
        <f>AK130/AM130</f>
        <v>-1.0071707620592225</v>
      </c>
      <c r="AO130" s="149"/>
      <c r="AP130" s="149"/>
      <c r="AQ130" s="57"/>
      <c r="AR130" s="149"/>
      <c r="AS130" s="128"/>
      <c r="AT130" s="149">
        <v>3000</v>
      </c>
      <c r="AU130" s="149">
        <v>3000</v>
      </c>
      <c r="AV130" s="214">
        <v>2017</v>
      </c>
      <c r="AW130" s="149">
        <v>65513.23</v>
      </c>
      <c r="AX130" s="128">
        <f t="shared" si="102"/>
        <v>4.5792277376645908E-2</v>
      </c>
      <c r="AY130" s="197" t="s">
        <v>1329</v>
      </c>
      <c r="AZ130" s="161" t="str">
        <f t="shared" si="84"/>
        <v>N</v>
      </c>
      <c r="BA130" s="161" t="str">
        <f t="shared" si="85"/>
        <v>N</v>
      </c>
      <c r="BB130" s="161" t="str">
        <f t="shared" si="86"/>
        <v>N</v>
      </c>
      <c r="BC130" s="161" t="str">
        <f t="shared" si="87"/>
        <v>N</v>
      </c>
      <c r="BD130" s="161" t="str">
        <f t="shared" si="88"/>
        <v>N</v>
      </c>
      <c r="BE130" s="161" t="str">
        <f t="shared" si="89"/>
        <v>N</v>
      </c>
      <c r="BF130" s="161" t="str">
        <f t="shared" si="90"/>
        <v>N</v>
      </c>
      <c r="BG130" s="161" t="str">
        <f t="shared" si="91"/>
        <v>N</v>
      </c>
      <c r="BH130" s="161" t="str">
        <f t="shared" si="92"/>
        <v>N</v>
      </c>
      <c r="BI130" s="161" t="str">
        <f t="shared" si="93"/>
        <v>N</v>
      </c>
      <c r="BJ130" s="161" t="str">
        <f t="shared" si="94"/>
        <v>N</v>
      </c>
      <c r="BK130" s="161" t="str">
        <f t="shared" si="95"/>
        <v>N</v>
      </c>
      <c r="BL130" s="161" t="str">
        <f t="shared" si="96"/>
        <v>N</v>
      </c>
      <c r="BM130" s="161" t="str">
        <f t="shared" si="97"/>
        <v>N</v>
      </c>
      <c r="BN130" s="176" t="str">
        <f t="shared" si="98"/>
        <v>N</v>
      </c>
      <c r="BO130" s="222" t="s">
        <v>490</v>
      </c>
      <c r="BP130" s="174" t="str">
        <f t="shared" si="99"/>
        <v>深交所主板</v>
      </c>
      <c r="BQ130" s="219" t="s">
        <v>317</v>
      </c>
      <c r="BR130" s="173">
        <f t="shared" si="100"/>
        <v>41639</v>
      </c>
      <c r="BS130" s="171" t="str">
        <f t="shared" si="101"/>
        <v>N</v>
      </c>
    </row>
    <row r="131" spans="1:163" ht="15" customHeight="1" x14ac:dyDescent="0.25">
      <c r="A131" s="31">
        <v>170</v>
      </c>
      <c r="B131" s="55" t="s">
        <v>1330</v>
      </c>
      <c r="C131" s="57" t="s">
        <v>1331</v>
      </c>
      <c r="D131" s="57" t="s">
        <v>323</v>
      </c>
      <c r="E131" s="57" t="s">
        <v>324</v>
      </c>
      <c r="F131" s="57" t="s">
        <v>1332</v>
      </c>
      <c r="G131" s="57" t="s">
        <v>315</v>
      </c>
      <c r="H131" s="32" t="s">
        <v>327</v>
      </c>
      <c r="I131" s="78">
        <v>43980</v>
      </c>
      <c r="J131" s="78">
        <v>44041</v>
      </c>
      <c r="K131" s="85">
        <v>44047</v>
      </c>
      <c r="L131" s="83" t="s">
        <v>586</v>
      </c>
      <c r="M131" s="69">
        <v>2019</v>
      </c>
      <c r="N131" s="69">
        <v>1</v>
      </c>
      <c r="O131" s="69" t="s">
        <v>1258</v>
      </c>
      <c r="P131" s="69" t="s">
        <v>1315</v>
      </c>
      <c r="Q131" s="32" t="s">
        <v>718</v>
      </c>
      <c r="R131" s="85">
        <v>35593</v>
      </c>
      <c r="S131" s="197" t="s">
        <v>421</v>
      </c>
      <c r="T131" s="161" t="s">
        <v>317</v>
      </c>
      <c r="U131" s="69" t="str">
        <f t="shared" si="63"/>
        <v>N</v>
      </c>
      <c r="V131" s="57" t="s">
        <v>361</v>
      </c>
      <c r="W131" s="197" t="s">
        <v>361</v>
      </c>
      <c r="X131" s="197" t="s">
        <v>320</v>
      </c>
      <c r="Y131" s="213">
        <v>30</v>
      </c>
      <c r="Z131" s="149"/>
      <c r="AA131" s="149"/>
      <c r="AB131" s="214"/>
      <c r="AC131" s="149"/>
      <c r="AD131" s="128"/>
      <c r="AE131" s="149"/>
      <c r="AF131" s="149"/>
      <c r="AG131" s="206"/>
      <c r="AH131" s="149"/>
      <c r="AI131" s="128"/>
      <c r="AJ131" s="149"/>
      <c r="AK131" s="149"/>
      <c r="AL131" s="214"/>
      <c r="AM131" s="149"/>
      <c r="AN131" s="128"/>
      <c r="AO131" s="149"/>
      <c r="AP131" s="149"/>
      <c r="AQ131" s="57"/>
      <c r="AR131" s="149"/>
      <c r="AS131" s="128"/>
      <c r="AT131" s="149">
        <f>27777</f>
        <v>27777</v>
      </c>
      <c r="AU131" s="149">
        <f>27777</f>
        <v>27777</v>
      </c>
      <c r="AV131" s="214">
        <v>2019</v>
      </c>
      <c r="AW131" s="149">
        <f>197985.16-26412.49</f>
        <v>171572.67</v>
      </c>
      <c r="AX131" s="128">
        <f t="shared" si="102"/>
        <v>0.16189641392186763</v>
      </c>
      <c r="AY131" s="197" t="s">
        <v>1333</v>
      </c>
      <c r="AZ131" s="161" t="str">
        <f t="shared" si="84"/>
        <v>N</v>
      </c>
      <c r="BA131" s="161" t="str">
        <f t="shared" si="85"/>
        <v>N</v>
      </c>
      <c r="BB131" s="161" t="str">
        <f t="shared" si="86"/>
        <v>N</v>
      </c>
      <c r="BC131" s="161" t="str">
        <f t="shared" si="87"/>
        <v>N</v>
      </c>
      <c r="BD131" s="161" t="str">
        <f t="shared" si="88"/>
        <v>N</v>
      </c>
      <c r="BE131" s="161" t="str">
        <f t="shared" si="89"/>
        <v>N</v>
      </c>
      <c r="BF131" s="161" t="str">
        <f t="shared" si="90"/>
        <v>N</v>
      </c>
      <c r="BG131" s="161" t="str">
        <f t="shared" si="91"/>
        <v>N</v>
      </c>
      <c r="BH131" s="161" t="str">
        <f t="shared" si="92"/>
        <v>N</v>
      </c>
      <c r="BI131" s="161" t="str">
        <f t="shared" si="93"/>
        <v>N</v>
      </c>
      <c r="BJ131" s="161" t="str">
        <f t="shared" si="94"/>
        <v>N</v>
      </c>
      <c r="BK131" s="161" t="str">
        <f t="shared" si="95"/>
        <v>N</v>
      </c>
      <c r="BL131" s="161" t="str">
        <f t="shared" si="96"/>
        <v>N</v>
      </c>
      <c r="BM131" s="161" t="str">
        <f t="shared" si="97"/>
        <v>N</v>
      </c>
      <c r="BN131" s="176" t="str">
        <f t="shared" si="98"/>
        <v>N</v>
      </c>
      <c r="BO131" s="222" t="s">
        <v>1334</v>
      </c>
      <c r="BP131" s="174" t="str">
        <f t="shared" si="99"/>
        <v>上交所主板</v>
      </c>
      <c r="BQ131" s="219" t="s">
        <v>317</v>
      </c>
      <c r="BR131" s="173">
        <f t="shared" si="100"/>
        <v>36525</v>
      </c>
      <c r="BS131" s="171" t="str">
        <f t="shared" si="101"/>
        <v>N</v>
      </c>
    </row>
    <row r="132" spans="1:163" ht="15" customHeight="1" x14ac:dyDescent="0.35">
      <c r="A132" s="31">
        <v>169</v>
      </c>
      <c r="B132" s="32" t="s">
        <v>1335</v>
      </c>
      <c r="C132" s="23" t="s">
        <v>1336</v>
      </c>
      <c r="D132" s="44" t="s">
        <v>351</v>
      </c>
      <c r="E132" s="44" t="s">
        <v>352</v>
      </c>
      <c r="F132" s="190" t="s">
        <v>1337</v>
      </c>
      <c r="G132" s="42" t="s">
        <v>380</v>
      </c>
      <c r="H132" s="32" t="s">
        <v>327</v>
      </c>
      <c r="I132" s="78">
        <v>43185</v>
      </c>
      <c r="J132" s="78">
        <v>44029</v>
      </c>
      <c r="K132" s="78">
        <v>44342</v>
      </c>
      <c r="L132" s="79" t="s">
        <v>1338</v>
      </c>
      <c r="M132" s="198">
        <v>2016</v>
      </c>
      <c r="N132" s="23">
        <v>1</v>
      </c>
      <c r="O132" s="69" t="str">
        <f>IF(N132&lt;1,"1年以内",IF(N132&lt;2,"1-2年",IF(N132&lt;3,"2-3年",IF(N132&lt;5,"3-5年","5年以上"))))</f>
        <v>1-2年</v>
      </c>
      <c r="P132" s="69" t="s">
        <v>1339</v>
      </c>
      <c r="Q132" s="191" t="s">
        <v>471</v>
      </c>
      <c r="R132" s="80">
        <v>40883</v>
      </c>
      <c r="S132" s="44" t="s">
        <v>863</v>
      </c>
      <c r="T132" s="207" t="s">
        <v>317</v>
      </c>
      <c r="U132" s="69" t="str">
        <f t="shared" si="63"/>
        <v>N</v>
      </c>
      <c r="V132" s="44" t="s">
        <v>361</v>
      </c>
      <c r="W132" s="208" t="s">
        <v>361</v>
      </c>
      <c r="X132" s="44" t="s">
        <v>334</v>
      </c>
      <c r="Y132" s="229">
        <v>50</v>
      </c>
      <c r="Z132" s="216"/>
      <c r="AA132" s="148"/>
      <c r="AB132" s="44"/>
      <c r="AC132" s="148"/>
      <c r="AD132" s="128"/>
      <c r="AE132" s="148"/>
      <c r="AF132" s="148"/>
      <c r="AG132" s="218"/>
      <c r="AH132" s="147"/>
      <c r="AI132" s="128"/>
      <c r="AJ132" s="148"/>
      <c r="AK132" s="148"/>
      <c r="AL132" s="218"/>
      <c r="AM132" s="148"/>
      <c r="AN132" s="128"/>
      <c r="AO132" s="148"/>
      <c r="AP132" s="148"/>
      <c r="AQ132" s="44"/>
      <c r="AR132" s="148"/>
      <c r="AS132" s="128"/>
      <c r="AT132" s="148">
        <f>(210000000-40000000)/10000</f>
        <v>17000</v>
      </c>
      <c r="AU132" s="148">
        <f>(210000000-40000000)/10000</f>
        <v>17000</v>
      </c>
      <c r="AV132" s="218">
        <v>2016</v>
      </c>
      <c r="AW132" s="148">
        <f>3806714400/10000</f>
        <v>380671.44</v>
      </c>
      <c r="AX132" s="159">
        <f t="shared" si="102"/>
        <v>4.4657933886503277E-2</v>
      </c>
      <c r="AY132" s="198" t="s">
        <v>1340</v>
      </c>
      <c r="AZ132" s="161" t="str">
        <f t="shared" si="84"/>
        <v>N</v>
      </c>
      <c r="BA132" s="161" t="str">
        <f t="shared" si="85"/>
        <v>N</v>
      </c>
      <c r="BB132" s="161" t="str">
        <f t="shared" si="86"/>
        <v>N</v>
      </c>
      <c r="BC132" s="161" t="str">
        <f t="shared" si="87"/>
        <v>N</v>
      </c>
      <c r="BD132" s="161" t="str">
        <f t="shared" si="88"/>
        <v>N</v>
      </c>
      <c r="BE132" s="161" t="str">
        <f t="shared" si="89"/>
        <v>N</v>
      </c>
      <c r="BF132" s="161" t="str">
        <f t="shared" si="90"/>
        <v>N</v>
      </c>
      <c r="BG132" s="161" t="str">
        <f t="shared" si="91"/>
        <v>N</v>
      </c>
      <c r="BH132" s="161" t="str">
        <f t="shared" si="92"/>
        <v>N</v>
      </c>
      <c r="BI132" s="161" t="str">
        <f t="shared" si="93"/>
        <v>N</v>
      </c>
      <c r="BJ132" s="161" t="str">
        <f t="shared" si="94"/>
        <v>N</v>
      </c>
      <c r="BK132" s="161" t="str">
        <f t="shared" si="95"/>
        <v>N</v>
      </c>
      <c r="BL132" s="161" t="str">
        <f t="shared" si="96"/>
        <v>N</v>
      </c>
      <c r="BM132" s="161" t="str">
        <f t="shared" si="97"/>
        <v>N</v>
      </c>
      <c r="BN132" s="176" t="str">
        <f t="shared" si="98"/>
        <v>N</v>
      </c>
      <c r="BO132" s="170" t="s">
        <v>1341</v>
      </c>
      <c r="BP132" s="174" t="str">
        <f t="shared" si="99"/>
        <v>上交所主板</v>
      </c>
      <c r="BQ132" s="172" t="s">
        <v>345</v>
      </c>
      <c r="BR132" s="173">
        <f t="shared" si="100"/>
        <v>41639</v>
      </c>
      <c r="BS132" s="171" t="str">
        <f t="shared" si="101"/>
        <v>N</v>
      </c>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row>
    <row r="133" spans="1:163" ht="15" customHeight="1" x14ac:dyDescent="0.25">
      <c r="A133" s="31">
        <v>168</v>
      </c>
      <c r="B133" s="55" t="s">
        <v>1342</v>
      </c>
      <c r="C133" s="57" t="s">
        <v>1343</v>
      </c>
      <c r="D133" s="57" t="s">
        <v>1344</v>
      </c>
      <c r="E133" s="57" t="s">
        <v>1345</v>
      </c>
      <c r="F133" s="57" t="s">
        <v>1346</v>
      </c>
      <c r="G133" s="57" t="s">
        <v>1347</v>
      </c>
      <c r="H133" s="32" t="s">
        <v>368</v>
      </c>
      <c r="I133" s="78">
        <v>43223</v>
      </c>
      <c r="J133" s="78">
        <v>44029</v>
      </c>
      <c r="K133" s="78">
        <v>44043</v>
      </c>
      <c r="L133" s="194" t="s">
        <v>1348</v>
      </c>
      <c r="M133" s="69" t="s">
        <v>1349</v>
      </c>
      <c r="N133" s="69">
        <v>2</v>
      </c>
      <c r="O133" s="69" t="s">
        <v>1305</v>
      </c>
      <c r="P133" s="69" t="s">
        <v>1350</v>
      </c>
      <c r="Q133" s="32" t="s">
        <v>1351</v>
      </c>
      <c r="R133" s="85">
        <v>38195</v>
      </c>
      <c r="S133" s="197" t="s">
        <v>1127</v>
      </c>
      <c r="T133" s="161" t="s">
        <v>317</v>
      </c>
      <c r="U133" s="69" t="str">
        <f t="shared" si="63"/>
        <v>N</v>
      </c>
      <c r="V133" s="57" t="s">
        <v>398</v>
      </c>
      <c r="W133" s="197" t="s">
        <v>399</v>
      </c>
      <c r="X133" s="197" t="s">
        <v>320</v>
      </c>
      <c r="Y133" s="213">
        <v>40</v>
      </c>
      <c r="Z133" s="149"/>
      <c r="AA133" s="149"/>
      <c r="AB133" s="214"/>
      <c r="AC133" s="149"/>
      <c r="AD133" s="128"/>
      <c r="AE133" s="149">
        <f>(88291447.94+157058045.52)/10000</f>
        <v>24534.949346000001</v>
      </c>
      <c r="AF133" s="149">
        <f>157058045.52/10000</f>
        <v>15705.804552000001</v>
      </c>
      <c r="AG133" s="206">
        <v>2016</v>
      </c>
      <c r="AH133" s="149">
        <f>677381.88</f>
        <v>677381.88</v>
      </c>
      <c r="AI133" s="128">
        <f>AF133/AH133</f>
        <v>2.3186041752401174E-2</v>
      </c>
      <c r="AJ133" s="149">
        <f>(117940633.55+104729262.83)/10000</f>
        <v>22266.989637999999</v>
      </c>
      <c r="AK133" s="149">
        <f>117940633.55/10000</f>
        <v>11794.063355</v>
      </c>
      <c r="AL133" s="214">
        <v>2015</v>
      </c>
      <c r="AM133" s="149">
        <v>41976.37</v>
      </c>
      <c r="AN133" s="128">
        <f>AK133/AM133</f>
        <v>0.28096911083545334</v>
      </c>
      <c r="AO133" s="149"/>
      <c r="AP133" s="149"/>
      <c r="AQ133" s="57"/>
      <c r="AR133" s="149"/>
      <c r="AS133" s="128"/>
      <c r="AT133" s="149"/>
      <c r="AU133" s="149"/>
      <c r="AV133" s="214"/>
      <c r="AW133" s="149"/>
      <c r="AX133" s="128"/>
      <c r="AY133" s="197" t="s">
        <v>1352</v>
      </c>
      <c r="AZ133" s="161" t="str">
        <f t="shared" si="84"/>
        <v>N</v>
      </c>
      <c r="BA133" s="161" t="str">
        <f t="shared" si="85"/>
        <v>N</v>
      </c>
      <c r="BB133" s="161" t="str">
        <f t="shared" si="86"/>
        <v>N</v>
      </c>
      <c r="BC133" s="161" t="str">
        <f t="shared" si="87"/>
        <v>N</v>
      </c>
      <c r="BD133" s="161" t="str">
        <f t="shared" si="88"/>
        <v>N</v>
      </c>
      <c r="BE133" s="161" t="str">
        <f t="shared" si="89"/>
        <v>N</v>
      </c>
      <c r="BF133" s="161" t="str">
        <f t="shared" si="90"/>
        <v>N</v>
      </c>
      <c r="BG133" s="161" t="str">
        <f t="shared" si="91"/>
        <v>N</v>
      </c>
      <c r="BH133" s="161" t="str">
        <f t="shared" si="92"/>
        <v>N</v>
      </c>
      <c r="BI133" s="161" t="str">
        <f t="shared" si="93"/>
        <v>N</v>
      </c>
      <c r="BJ133" s="161" t="str">
        <f t="shared" si="94"/>
        <v>N</v>
      </c>
      <c r="BK133" s="161" t="str">
        <f t="shared" si="95"/>
        <v>N</v>
      </c>
      <c r="BL133" s="161" t="str">
        <f t="shared" si="96"/>
        <v>N</v>
      </c>
      <c r="BM133" s="161" t="str">
        <f t="shared" si="97"/>
        <v>N</v>
      </c>
      <c r="BN133" s="176" t="str">
        <f t="shared" si="98"/>
        <v>N</v>
      </c>
      <c r="BO133" s="222" t="s">
        <v>520</v>
      </c>
      <c r="BP133" s="174" t="str">
        <f t="shared" si="99"/>
        <v>上交所主板</v>
      </c>
      <c r="BQ133" s="219" t="s">
        <v>317</v>
      </c>
      <c r="BR133" s="173">
        <f t="shared" si="100"/>
        <v>39082</v>
      </c>
      <c r="BS133" s="171" t="str">
        <f t="shared" si="101"/>
        <v>N</v>
      </c>
    </row>
    <row r="134" spans="1:163" ht="15" customHeight="1" x14ac:dyDescent="0.25">
      <c r="A134" s="31">
        <v>167</v>
      </c>
      <c r="B134" s="55" t="s">
        <v>1353</v>
      </c>
      <c r="C134" s="57" t="s">
        <v>1354</v>
      </c>
      <c r="D134" s="57" t="s">
        <v>351</v>
      </c>
      <c r="E134" s="57" t="s">
        <v>484</v>
      </c>
      <c r="F134" s="57" t="s">
        <v>1355</v>
      </c>
      <c r="G134" s="57" t="s">
        <v>380</v>
      </c>
      <c r="H134" s="32" t="s">
        <v>327</v>
      </c>
      <c r="I134" s="78">
        <v>43957</v>
      </c>
      <c r="J134" s="78">
        <v>44029</v>
      </c>
      <c r="K134" s="85">
        <v>44035</v>
      </c>
      <c r="L134" s="79" t="s">
        <v>1356</v>
      </c>
      <c r="M134" s="69" t="s">
        <v>804</v>
      </c>
      <c r="N134" s="69">
        <v>2.5</v>
      </c>
      <c r="O134" s="69" t="s">
        <v>1305</v>
      </c>
      <c r="P134" s="224" t="s">
        <v>1357</v>
      </c>
      <c r="Q134" s="32" t="s">
        <v>507</v>
      </c>
      <c r="R134" s="85">
        <v>36707</v>
      </c>
      <c r="S134" s="197" t="s">
        <v>1041</v>
      </c>
      <c r="T134" s="161" t="s">
        <v>345</v>
      </c>
      <c r="U134" s="69" t="str">
        <f t="shared" si="63"/>
        <v>Y</v>
      </c>
      <c r="V134" s="57" t="s">
        <v>361</v>
      </c>
      <c r="W134" s="197" t="s">
        <v>361</v>
      </c>
      <c r="X134" s="197" t="s">
        <v>320</v>
      </c>
      <c r="Y134" s="213">
        <v>50</v>
      </c>
      <c r="Z134" s="149"/>
      <c r="AA134" s="149"/>
      <c r="AB134" s="214"/>
      <c r="AC134" s="149"/>
      <c r="AD134" s="128"/>
      <c r="AE134" s="149"/>
      <c r="AF134" s="149"/>
      <c r="AG134" s="206"/>
      <c r="AH134" s="149"/>
      <c r="AI134" s="128"/>
      <c r="AJ134" s="149"/>
      <c r="AK134" s="149"/>
      <c r="AL134" s="214"/>
      <c r="AM134" s="149"/>
      <c r="AN134" s="128"/>
      <c r="AO134" s="149"/>
      <c r="AP134" s="149"/>
      <c r="AQ134" s="57"/>
      <c r="AR134" s="149"/>
      <c r="AS134" s="128"/>
      <c r="AT134" s="149">
        <f>(702900000+896800000+1153650000)/10000</f>
        <v>275335</v>
      </c>
      <c r="AU134" s="149">
        <f>1153650000/10000</f>
        <v>115365</v>
      </c>
      <c r="AV134" s="214">
        <v>2019</v>
      </c>
      <c r="AW134" s="149">
        <v>262205.94</v>
      </c>
      <c r="AX134" s="128">
        <f>AU134/AW134</f>
        <v>0.43997859087402824</v>
      </c>
      <c r="AY134" s="197" t="s">
        <v>1358</v>
      </c>
      <c r="AZ134" s="161" t="str">
        <f t="shared" si="84"/>
        <v>N</v>
      </c>
      <c r="BA134" s="161" t="str">
        <f t="shared" si="85"/>
        <v>N</v>
      </c>
      <c r="BB134" s="161" t="str">
        <f t="shared" si="86"/>
        <v>N</v>
      </c>
      <c r="BC134" s="161" t="str">
        <f t="shared" si="87"/>
        <v>N</v>
      </c>
      <c r="BD134" s="161" t="str">
        <f t="shared" si="88"/>
        <v>N</v>
      </c>
      <c r="BE134" s="161" t="str">
        <f t="shared" si="89"/>
        <v>N</v>
      </c>
      <c r="BF134" s="161" t="str">
        <f t="shared" si="90"/>
        <v>N</v>
      </c>
      <c r="BG134" s="161" t="str">
        <f t="shared" si="91"/>
        <v>N</v>
      </c>
      <c r="BH134" s="161" t="str">
        <f t="shared" si="92"/>
        <v>N</v>
      </c>
      <c r="BI134" s="161" t="str">
        <f t="shared" si="93"/>
        <v>N</v>
      </c>
      <c r="BJ134" s="161" t="str">
        <f t="shared" si="94"/>
        <v>Y</v>
      </c>
      <c r="BK134" s="161" t="str">
        <f t="shared" si="95"/>
        <v>N</v>
      </c>
      <c r="BL134" s="161" t="str">
        <f t="shared" si="96"/>
        <v>Y</v>
      </c>
      <c r="BM134" s="161" t="str">
        <f t="shared" si="97"/>
        <v>N</v>
      </c>
      <c r="BN134" s="176" t="str">
        <f t="shared" si="98"/>
        <v>N</v>
      </c>
      <c r="BO134" s="222" t="s">
        <v>1359</v>
      </c>
      <c r="BP134" s="174" t="str">
        <f t="shared" si="99"/>
        <v>上交所主板</v>
      </c>
      <c r="BQ134" s="219" t="s">
        <v>317</v>
      </c>
      <c r="BR134" s="173">
        <f t="shared" si="100"/>
        <v>37621</v>
      </c>
      <c r="BS134" s="171" t="str">
        <f t="shared" si="101"/>
        <v>N</v>
      </c>
    </row>
    <row r="135" spans="1:163" ht="15" customHeight="1" x14ac:dyDescent="0.25">
      <c r="A135" s="31">
        <v>166</v>
      </c>
      <c r="B135" s="55" t="s">
        <v>840</v>
      </c>
      <c r="C135" s="57" t="s">
        <v>1360</v>
      </c>
      <c r="D135" s="57" t="s">
        <v>377</v>
      </c>
      <c r="E135" s="57" t="s">
        <v>842</v>
      </c>
      <c r="F135" s="57" t="s">
        <v>843</v>
      </c>
      <c r="G135" s="57" t="s">
        <v>315</v>
      </c>
      <c r="H135" s="32" t="s">
        <v>368</v>
      </c>
      <c r="I135" s="78">
        <v>43789</v>
      </c>
      <c r="J135" s="78">
        <v>44027</v>
      </c>
      <c r="K135" s="85">
        <v>44063</v>
      </c>
      <c r="L135" s="194" t="s">
        <v>1361</v>
      </c>
      <c r="M135" s="69">
        <v>2017</v>
      </c>
      <c r="N135" s="69">
        <v>1</v>
      </c>
      <c r="O135" s="69" t="s">
        <v>1258</v>
      </c>
      <c r="P135" s="224" t="s">
        <v>1315</v>
      </c>
      <c r="Q135" s="32" t="s">
        <v>1135</v>
      </c>
      <c r="R135" s="85">
        <v>40553</v>
      </c>
      <c r="S135" s="197" t="s">
        <v>332</v>
      </c>
      <c r="T135" s="161" t="s">
        <v>317</v>
      </c>
      <c r="U135" s="69" t="str">
        <f t="shared" si="63"/>
        <v>N</v>
      </c>
      <c r="V135" s="57" t="s">
        <v>318</v>
      </c>
      <c r="W135" s="197" t="s">
        <v>1362</v>
      </c>
      <c r="X135" s="197" t="s">
        <v>320</v>
      </c>
      <c r="Y135" s="213">
        <v>30</v>
      </c>
      <c r="Z135" s="149">
        <f>(2.07+1.95)*10000</f>
        <v>40199.999999999993</v>
      </c>
      <c r="AA135" s="149">
        <f>(2.07+1.95)*10000</f>
        <v>40199.999999999993</v>
      </c>
      <c r="AB135" s="214">
        <v>2017</v>
      </c>
      <c r="AC135" s="149">
        <f>772257.18-478241.83</f>
        <v>294015.35000000003</v>
      </c>
      <c r="AD135" s="128">
        <f>AA135/AC135</f>
        <v>0.1367275552109779</v>
      </c>
      <c r="AE135" s="149"/>
      <c r="AF135" s="149"/>
      <c r="AG135" s="206"/>
      <c r="AH135" s="149"/>
      <c r="AI135" s="128"/>
      <c r="AJ135" s="149">
        <f>11244131.28/10000</f>
        <v>1124.4131279999999</v>
      </c>
      <c r="AK135" s="149">
        <f>11244131.28/10000</f>
        <v>1124.4131279999999</v>
      </c>
      <c r="AL135" s="214">
        <v>2017</v>
      </c>
      <c r="AM135" s="149">
        <v>2307.71</v>
      </c>
      <c r="AN135" s="128">
        <f>AK135/AM135</f>
        <v>0.48724195327835818</v>
      </c>
      <c r="AO135" s="149"/>
      <c r="AP135" s="149"/>
      <c r="AQ135" s="57"/>
      <c r="AR135" s="149"/>
      <c r="AS135" s="128"/>
      <c r="AT135" s="149"/>
      <c r="AU135" s="149"/>
      <c r="AV135" s="214"/>
      <c r="AW135" s="149"/>
      <c r="AX135" s="128"/>
      <c r="AY135" s="197" t="s">
        <v>1363</v>
      </c>
      <c r="AZ135" s="161" t="str">
        <f t="shared" si="84"/>
        <v>N</v>
      </c>
      <c r="BA135" s="161" t="str">
        <f t="shared" si="85"/>
        <v>N</v>
      </c>
      <c r="BB135" s="161" t="str">
        <f t="shared" si="86"/>
        <v>N</v>
      </c>
      <c r="BC135" s="161" t="str">
        <f t="shared" si="87"/>
        <v>N</v>
      </c>
      <c r="BD135" s="161" t="str">
        <f t="shared" si="88"/>
        <v>N</v>
      </c>
      <c r="BE135" s="161" t="str">
        <f t="shared" si="89"/>
        <v>N</v>
      </c>
      <c r="BF135" s="161" t="str">
        <f t="shared" si="90"/>
        <v>N</v>
      </c>
      <c r="BG135" s="161" t="str">
        <f t="shared" si="91"/>
        <v>N</v>
      </c>
      <c r="BH135" s="161" t="str">
        <f t="shared" si="92"/>
        <v>N</v>
      </c>
      <c r="BI135" s="161" t="str">
        <f t="shared" si="93"/>
        <v>N</v>
      </c>
      <c r="BJ135" s="161" t="str">
        <f t="shared" si="94"/>
        <v>N</v>
      </c>
      <c r="BK135" s="161" t="str">
        <f t="shared" si="95"/>
        <v>N</v>
      </c>
      <c r="BL135" s="161" t="str">
        <f t="shared" si="96"/>
        <v>N</v>
      </c>
      <c r="BM135" s="161" t="str">
        <f t="shared" si="97"/>
        <v>N</v>
      </c>
      <c r="BN135" s="176" t="str">
        <f t="shared" si="98"/>
        <v>N</v>
      </c>
      <c r="BO135" s="222" t="s">
        <v>562</v>
      </c>
      <c r="BP135" s="174" t="str">
        <f t="shared" si="99"/>
        <v>深交所主板</v>
      </c>
      <c r="BQ135" s="219" t="s">
        <v>317</v>
      </c>
      <c r="BR135" s="173">
        <f t="shared" si="100"/>
        <v>41639</v>
      </c>
      <c r="BS135" s="171" t="str">
        <f t="shared" si="101"/>
        <v>N</v>
      </c>
    </row>
    <row r="136" spans="1:163" ht="15" customHeight="1" x14ac:dyDescent="0.25">
      <c r="A136" s="31">
        <v>165</v>
      </c>
      <c r="B136" s="55" t="s">
        <v>1364</v>
      </c>
      <c r="C136" s="57" t="s">
        <v>1365</v>
      </c>
      <c r="D136" s="57" t="s">
        <v>313</v>
      </c>
      <c r="E136" s="57" t="s">
        <v>917</v>
      </c>
      <c r="F136" s="57" t="s">
        <v>1366</v>
      </c>
      <c r="G136" s="57" t="s">
        <v>315</v>
      </c>
      <c r="H136" s="32" t="s">
        <v>368</v>
      </c>
      <c r="I136" s="78">
        <v>43336</v>
      </c>
      <c r="J136" s="78">
        <v>44026</v>
      </c>
      <c r="K136" s="85">
        <v>44215</v>
      </c>
      <c r="L136" s="194" t="s">
        <v>1367</v>
      </c>
      <c r="M136" s="69" t="s">
        <v>452</v>
      </c>
      <c r="N136" s="69">
        <v>1.25</v>
      </c>
      <c r="O136" s="69" t="s">
        <v>1258</v>
      </c>
      <c r="P136" s="69" t="s">
        <v>1328</v>
      </c>
      <c r="Q136" s="32" t="s">
        <v>507</v>
      </c>
      <c r="R136" s="85">
        <v>39316</v>
      </c>
      <c r="S136" s="197" t="s">
        <v>332</v>
      </c>
      <c r="T136" s="161" t="s">
        <v>317</v>
      </c>
      <c r="U136" s="69" t="str">
        <f t="shared" si="63"/>
        <v>Y</v>
      </c>
      <c r="V136" s="57" t="s">
        <v>333</v>
      </c>
      <c r="W136" s="197" t="s">
        <v>708</v>
      </c>
      <c r="X136" s="197" t="s">
        <v>320</v>
      </c>
      <c r="Y136" s="213">
        <v>30</v>
      </c>
      <c r="Z136" s="149">
        <f>31653.62*2</f>
        <v>63307.24</v>
      </c>
      <c r="AA136" s="149">
        <f>31653.62</f>
        <v>31653.62</v>
      </c>
      <c r="AB136" s="214">
        <v>2017</v>
      </c>
      <c r="AC136" s="149">
        <f>1639369.71-1297096.22</f>
        <v>342273.49</v>
      </c>
      <c r="AD136" s="128">
        <f>AA136/AC136</f>
        <v>9.2480489797792984E-2</v>
      </c>
      <c r="AE136" s="149">
        <f>107040.43+119809</f>
        <v>226849.43</v>
      </c>
      <c r="AF136" s="149">
        <f>119809</f>
        <v>119809</v>
      </c>
      <c r="AG136" s="206">
        <v>2018</v>
      </c>
      <c r="AH136" s="149">
        <f>1176064.46</f>
        <v>1176064.46</v>
      </c>
      <c r="AI136" s="128">
        <f>AF136/AH136</f>
        <v>0.10187281741342648</v>
      </c>
      <c r="AJ136" s="149">
        <f>10121.87+6359.16</f>
        <v>16481.03</v>
      </c>
      <c r="AK136" s="149">
        <f>10121.87</f>
        <v>10121.870000000001</v>
      </c>
      <c r="AL136" s="214">
        <v>2017</v>
      </c>
      <c r="AM136" s="149">
        <v>17673.810000000001</v>
      </c>
      <c r="AN136" s="128">
        <f>AK136/AM136</f>
        <v>0.57270447062631091</v>
      </c>
      <c r="AO136" s="149"/>
      <c r="AP136" s="149"/>
      <c r="AQ136" s="57"/>
      <c r="AR136" s="149"/>
      <c r="AS136" s="128"/>
      <c r="AT136" s="149"/>
      <c r="AU136" s="149"/>
      <c r="AV136" s="214"/>
      <c r="AW136" s="149"/>
      <c r="AX136" s="128"/>
      <c r="AY136" s="197" t="s">
        <v>1368</v>
      </c>
      <c r="AZ136" s="161" t="str">
        <f t="shared" si="84"/>
        <v>N</v>
      </c>
      <c r="BA136" s="161" t="str">
        <f t="shared" si="85"/>
        <v>N</v>
      </c>
      <c r="BB136" s="161" t="str">
        <f t="shared" si="86"/>
        <v>Y</v>
      </c>
      <c r="BC136" s="161" t="str">
        <f t="shared" si="87"/>
        <v>N</v>
      </c>
      <c r="BD136" s="161" t="str">
        <f t="shared" si="88"/>
        <v>N</v>
      </c>
      <c r="BE136" s="161" t="str">
        <f t="shared" si="89"/>
        <v>Y</v>
      </c>
      <c r="BF136" s="161" t="str">
        <f t="shared" si="90"/>
        <v>N</v>
      </c>
      <c r="BG136" s="161" t="str">
        <f t="shared" si="91"/>
        <v>N</v>
      </c>
      <c r="BH136" s="161" t="str">
        <f t="shared" si="92"/>
        <v>N</v>
      </c>
      <c r="BI136" s="161" t="str">
        <f t="shared" si="93"/>
        <v>N</v>
      </c>
      <c r="BJ136" s="161" t="str">
        <f t="shared" si="94"/>
        <v>N</v>
      </c>
      <c r="BK136" s="161" t="str">
        <f t="shared" si="95"/>
        <v>N</v>
      </c>
      <c r="BL136" s="161" t="str">
        <f t="shared" si="96"/>
        <v>Y</v>
      </c>
      <c r="BM136" s="161" t="str">
        <f t="shared" si="97"/>
        <v>Y</v>
      </c>
      <c r="BN136" s="176" t="str">
        <f t="shared" si="98"/>
        <v>N</v>
      </c>
      <c r="BO136" s="222" t="s">
        <v>374</v>
      </c>
      <c r="BP136" s="174" t="str">
        <f t="shared" si="99"/>
        <v>深交所主板</v>
      </c>
      <c r="BQ136" s="219" t="s">
        <v>317</v>
      </c>
      <c r="BR136" s="173">
        <f t="shared" si="100"/>
        <v>40178</v>
      </c>
      <c r="BS136" s="171" t="str">
        <f t="shared" si="101"/>
        <v>N</v>
      </c>
    </row>
    <row r="137" spans="1:163" ht="15" customHeight="1" x14ac:dyDescent="0.35">
      <c r="A137" s="31">
        <v>164</v>
      </c>
      <c r="B137" s="32" t="s">
        <v>1369</v>
      </c>
      <c r="C137" s="23" t="s">
        <v>1370</v>
      </c>
      <c r="D137" s="44" t="s">
        <v>675</v>
      </c>
      <c r="E137" s="44" t="s">
        <v>1371</v>
      </c>
      <c r="F137" s="190" t="s">
        <v>1372</v>
      </c>
      <c r="G137" s="42" t="s">
        <v>380</v>
      </c>
      <c r="H137" s="32" t="s">
        <v>327</v>
      </c>
      <c r="I137" s="78">
        <v>43949</v>
      </c>
      <c r="J137" s="78">
        <v>44015</v>
      </c>
      <c r="K137" s="78">
        <v>44020</v>
      </c>
      <c r="L137" s="79" t="s">
        <v>1373</v>
      </c>
      <c r="M137" s="198" t="s">
        <v>690</v>
      </c>
      <c r="N137" s="23">
        <v>1.5</v>
      </c>
      <c r="O137" s="69" t="str">
        <f>IF(N137&lt;1,"1年以内",IF(N137&lt;2,"1-2年",IF(N137&lt;3,"2-3年",IF(N137&lt;5,"3-5年","5年以上"))))</f>
        <v>1-2年</v>
      </c>
      <c r="P137" s="69" t="s">
        <v>1374</v>
      </c>
      <c r="Q137" s="191" t="s">
        <v>1375</v>
      </c>
      <c r="R137" s="80">
        <v>42684</v>
      </c>
      <c r="S137" s="44" t="s">
        <v>384</v>
      </c>
      <c r="T137" s="207" t="s">
        <v>345</v>
      </c>
      <c r="U137" s="69" t="str">
        <f t="shared" si="63"/>
        <v>Y</v>
      </c>
      <c r="V137" s="44" t="s">
        <v>361</v>
      </c>
      <c r="W137" s="208" t="s">
        <v>361</v>
      </c>
      <c r="X137" s="44" t="s">
        <v>334</v>
      </c>
      <c r="Y137" s="215">
        <v>60</v>
      </c>
      <c r="Z137" s="216"/>
      <c r="AA137" s="148"/>
      <c r="AB137" s="44"/>
      <c r="AC137" s="148"/>
      <c r="AD137" s="148"/>
      <c r="AE137" s="148"/>
      <c r="AF137" s="148"/>
      <c r="AG137" s="218"/>
      <c r="AH137" s="148"/>
      <c r="AI137" s="128"/>
      <c r="AJ137" s="148"/>
      <c r="AK137" s="148"/>
      <c r="AL137" s="218"/>
      <c r="AM137" s="148"/>
      <c r="AN137" s="128"/>
      <c r="AO137" s="148"/>
      <c r="AP137" s="148"/>
      <c r="AQ137" s="44"/>
      <c r="AR137" s="148"/>
      <c r="AS137" s="128"/>
      <c r="AT137" s="148">
        <v>418454.43</v>
      </c>
      <c r="AU137" s="148">
        <v>258212.63</v>
      </c>
      <c r="AV137" s="218">
        <v>2018</v>
      </c>
      <c r="AW137" s="148">
        <v>338424.62051099999</v>
      </c>
      <c r="AX137" s="159">
        <f>AU137/AW137</f>
        <v>0.76298417535377627</v>
      </c>
      <c r="AY137" s="198" t="s">
        <v>1376</v>
      </c>
      <c r="AZ137" s="161" t="str">
        <f t="shared" si="84"/>
        <v>N</v>
      </c>
      <c r="BA137" s="161" t="str">
        <f t="shared" si="85"/>
        <v>N</v>
      </c>
      <c r="BB137" s="161" t="str">
        <f t="shared" si="86"/>
        <v>N</v>
      </c>
      <c r="BC137" s="161" t="str">
        <f t="shared" si="87"/>
        <v>N</v>
      </c>
      <c r="BD137" s="161" t="str">
        <f t="shared" si="88"/>
        <v>N</v>
      </c>
      <c r="BE137" s="161" t="str">
        <f t="shared" si="89"/>
        <v>N</v>
      </c>
      <c r="BF137" s="161" t="str">
        <f t="shared" si="90"/>
        <v>N</v>
      </c>
      <c r="BG137" s="161" t="str">
        <f t="shared" si="91"/>
        <v>N</v>
      </c>
      <c r="BH137" s="161" t="str">
        <f t="shared" si="92"/>
        <v>N</v>
      </c>
      <c r="BI137" s="161" t="str">
        <f t="shared" si="93"/>
        <v>N</v>
      </c>
      <c r="BJ137" s="161" t="str">
        <f t="shared" si="94"/>
        <v>Y</v>
      </c>
      <c r="BK137" s="161" t="str">
        <f t="shared" si="95"/>
        <v>Y</v>
      </c>
      <c r="BL137" s="161" t="str">
        <f t="shared" si="96"/>
        <v>Y</v>
      </c>
      <c r="BM137" s="161" t="str">
        <f t="shared" si="97"/>
        <v>Y</v>
      </c>
      <c r="BN137" s="176" t="str">
        <f t="shared" si="98"/>
        <v>N</v>
      </c>
      <c r="BO137" s="170" t="s">
        <v>839</v>
      </c>
      <c r="BP137" s="174" t="str">
        <f t="shared" si="99"/>
        <v>上交所主板</v>
      </c>
      <c r="BQ137" s="172" t="s">
        <v>345</v>
      </c>
      <c r="BR137" s="173">
        <f t="shared" si="100"/>
        <v>43465</v>
      </c>
      <c r="BS137" s="171" t="str">
        <f t="shared" si="101"/>
        <v>N</v>
      </c>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7"/>
      <c r="FD137" s="7"/>
      <c r="FE137" s="7"/>
      <c r="FF137" s="7"/>
      <c r="FG137" s="7"/>
    </row>
    <row r="138" spans="1:163" ht="15" customHeight="1" x14ac:dyDescent="0.25">
      <c r="A138" s="31">
        <v>163</v>
      </c>
      <c r="B138" s="55" t="s">
        <v>1377</v>
      </c>
      <c r="C138" s="57" t="s">
        <v>1378</v>
      </c>
      <c r="D138" s="57" t="s">
        <v>686</v>
      </c>
      <c r="E138" s="57" t="s">
        <v>1379</v>
      </c>
      <c r="F138" s="57" t="s">
        <v>1380</v>
      </c>
      <c r="G138" s="57" t="s">
        <v>315</v>
      </c>
      <c r="H138" s="32" t="s">
        <v>368</v>
      </c>
      <c r="I138" s="78">
        <v>43746</v>
      </c>
      <c r="J138" s="78">
        <v>44013</v>
      </c>
      <c r="K138" s="85">
        <v>44019</v>
      </c>
      <c r="L138" s="194" t="s">
        <v>1381</v>
      </c>
      <c r="M138" s="69">
        <v>2018</v>
      </c>
      <c r="N138" s="69">
        <v>1</v>
      </c>
      <c r="O138" s="69" t="s">
        <v>1258</v>
      </c>
      <c r="P138" s="69" t="s">
        <v>1315</v>
      </c>
      <c r="Q138" s="32" t="s">
        <v>396</v>
      </c>
      <c r="R138" s="85">
        <v>42403</v>
      </c>
      <c r="S138" s="197" t="s">
        <v>822</v>
      </c>
      <c r="T138" s="161" t="s">
        <v>317</v>
      </c>
      <c r="U138" s="69" t="str">
        <f t="shared" si="63"/>
        <v>N</v>
      </c>
      <c r="V138" s="57" t="s">
        <v>318</v>
      </c>
      <c r="W138" s="197" t="s">
        <v>544</v>
      </c>
      <c r="X138" s="197" t="s">
        <v>320</v>
      </c>
      <c r="Y138" s="213">
        <v>60</v>
      </c>
      <c r="Z138" s="149"/>
      <c r="AA138" s="149"/>
      <c r="AB138" s="214"/>
      <c r="AC138" s="149"/>
      <c r="AD138" s="128"/>
      <c r="AE138" s="149"/>
      <c r="AF138" s="149"/>
      <c r="AG138" s="206"/>
      <c r="AH138" s="149"/>
      <c r="AI138" s="128"/>
      <c r="AJ138" s="149"/>
      <c r="AK138" s="149"/>
      <c r="AL138" s="214"/>
      <c r="AM138" s="149"/>
      <c r="AN138" s="128"/>
      <c r="AO138" s="149">
        <v>4375</v>
      </c>
      <c r="AP138" s="149">
        <v>4375</v>
      </c>
      <c r="AQ138" s="57">
        <v>2018</v>
      </c>
      <c r="AR138" s="149">
        <v>29656.27</v>
      </c>
      <c r="AS138" s="128">
        <f>AP138/AR138</f>
        <v>0.14752360967849296</v>
      </c>
      <c r="AT138" s="149"/>
      <c r="AU138" s="149"/>
      <c r="AV138" s="214"/>
      <c r="AW138" s="149"/>
      <c r="AX138" s="128"/>
      <c r="AY138" s="197" t="s">
        <v>1382</v>
      </c>
      <c r="AZ138" s="161" t="str">
        <f t="shared" si="84"/>
        <v>N</v>
      </c>
      <c r="BA138" s="161" t="str">
        <f t="shared" si="85"/>
        <v>N</v>
      </c>
      <c r="BB138" s="161" t="str">
        <f t="shared" si="86"/>
        <v>N</v>
      </c>
      <c r="BC138" s="161" t="str">
        <f t="shared" si="87"/>
        <v>N</v>
      </c>
      <c r="BD138" s="161" t="str">
        <f t="shared" si="88"/>
        <v>N</v>
      </c>
      <c r="BE138" s="161" t="str">
        <f t="shared" si="89"/>
        <v>N</v>
      </c>
      <c r="BF138" s="161" t="str">
        <f t="shared" si="90"/>
        <v>N</v>
      </c>
      <c r="BG138" s="161" t="str">
        <f t="shared" si="91"/>
        <v>N</v>
      </c>
      <c r="BH138" s="161" t="str">
        <f t="shared" si="92"/>
        <v>N</v>
      </c>
      <c r="BI138" s="161" t="str">
        <f t="shared" si="93"/>
        <v>N</v>
      </c>
      <c r="BJ138" s="161" t="str">
        <f t="shared" si="94"/>
        <v>N</v>
      </c>
      <c r="BK138" s="161" t="str">
        <f t="shared" si="95"/>
        <v>N</v>
      </c>
      <c r="BL138" s="161" t="str">
        <f t="shared" si="96"/>
        <v>N</v>
      </c>
      <c r="BM138" s="161" t="str">
        <f t="shared" si="97"/>
        <v>N</v>
      </c>
      <c r="BN138" s="176" t="str">
        <f t="shared" si="98"/>
        <v>N</v>
      </c>
      <c r="BO138" s="222" t="s">
        <v>562</v>
      </c>
      <c r="BP138" s="174" t="str">
        <f t="shared" si="99"/>
        <v>深交所主板</v>
      </c>
      <c r="BQ138" s="219" t="s">
        <v>345</v>
      </c>
      <c r="BR138" s="173">
        <f t="shared" si="100"/>
        <v>43465</v>
      </c>
      <c r="BS138" s="171" t="str">
        <f t="shared" si="101"/>
        <v>N</v>
      </c>
    </row>
    <row r="139" spans="1:163" ht="15" customHeight="1" x14ac:dyDescent="0.35">
      <c r="A139" s="31">
        <v>162</v>
      </c>
      <c r="B139" s="32" t="s">
        <v>1242</v>
      </c>
      <c r="C139" s="23" t="s">
        <v>1383</v>
      </c>
      <c r="D139" s="44" t="s">
        <v>351</v>
      </c>
      <c r="E139" s="44" t="s">
        <v>1244</v>
      </c>
      <c r="F139" s="190" t="s">
        <v>1245</v>
      </c>
      <c r="G139" s="42" t="s">
        <v>315</v>
      </c>
      <c r="H139" s="32" t="s">
        <v>602</v>
      </c>
      <c r="I139" s="78">
        <v>43487</v>
      </c>
      <c r="J139" s="78">
        <v>44010</v>
      </c>
      <c r="K139" s="78">
        <v>44101</v>
      </c>
      <c r="L139" s="79" t="s">
        <v>1384</v>
      </c>
      <c r="M139" s="225" t="s">
        <v>729</v>
      </c>
      <c r="N139" s="23">
        <v>4</v>
      </c>
      <c r="O139" s="69" t="str">
        <f>IF(N139&lt;1,"1年以内",IF(N139&lt;2,"1-2年",IF(N139&lt;3,"2-3年",IF(N139&lt;5,"3-5年","5年以上"))))</f>
        <v>3-5年</v>
      </c>
      <c r="P139" s="69" t="s">
        <v>730</v>
      </c>
      <c r="Q139" s="191" t="s">
        <v>1047</v>
      </c>
      <c r="R139" s="80">
        <v>40375</v>
      </c>
      <c r="S139" s="44" t="s">
        <v>463</v>
      </c>
      <c r="T139" s="207" t="s">
        <v>345</v>
      </c>
      <c r="U139" s="69" t="str">
        <f t="shared" si="63"/>
        <v>Y</v>
      </c>
      <c r="V139" s="44" t="s">
        <v>398</v>
      </c>
      <c r="W139" s="208" t="s">
        <v>1385</v>
      </c>
      <c r="X139" s="44" t="s">
        <v>334</v>
      </c>
      <c r="Y139" s="215">
        <v>60</v>
      </c>
      <c r="Z139" s="216">
        <f>(4599634797.29+6160090359.52+10288447275.09+12209443476.52)/10000</f>
        <v>3325761.5908420002</v>
      </c>
      <c r="AA139" s="148">
        <f>12209443476.52/10000</f>
        <v>1220944.3476520001</v>
      </c>
      <c r="AB139" s="44">
        <v>2018</v>
      </c>
      <c r="AC139" s="148">
        <f>18155266197.5/10000</f>
        <v>1815526.6197500001</v>
      </c>
      <c r="AD139" s="128">
        <f>AA139/AC139</f>
        <v>0.67250148489705175</v>
      </c>
      <c r="AE139" s="148"/>
      <c r="AF139" s="148"/>
      <c r="AG139" s="218"/>
      <c r="AH139" s="148"/>
      <c r="AI139" s="128"/>
      <c r="AJ139" s="148">
        <f>(2242745642.37+2943420778.01+3908205906.9+2436193525.4)/10000</f>
        <v>1153056.5852680001</v>
      </c>
      <c r="AK139" s="148">
        <f>3908205906.9/10000</f>
        <v>390820.59068999998</v>
      </c>
      <c r="AL139" s="218">
        <v>2017</v>
      </c>
      <c r="AM139" s="148">
        <f>2912397452.52/10000</f>
        <v>291239.74525199999</v>
      </c>
      <c r="AN139" s="128">
        <f>AK139/AM139</f>
        <v>1.341920521018984</v>
      </c>
      <c r="AO139" s="148"/>
      <c r="AP139" s="148"/>
      <c r="AQ139" s="44"/>
      <c r="AR139" s="148"/>
      <c r="AS139" s="128"/>
      <c r="AT139" s="148"/>
      <c r="AU139" s="148"/>
      <c r="AV139" s="218"/>
      <c r="AW139" s="148"/>
      <c r="AX139" s="159"/>
      <c r="AY139" s="198" t="s">
        <v>1386</v>
      </c>
      <c r="AZ139" s="161" t="str">
        <f t="shared" si="84"/>
        <v>Y</v>
      </c>
      <c r="BA139" s="161" t="str">
        <f t="shared" si="85"/>
        <v>Y</v>
      </c>
      <c r="BB139" s="161" t="str">
        <f t="shared" si="86"/>
        <v>N</v>
      </c>
      <c r="BC139" s="161" t="str">
        <f t="shared" si="87"/>
        <v>N</v>
      </c>
      <c r="BD139" s="161" t="str">
        <f t="shared" si="88"/>
        <v>Y</v>
      </c>
      <c r="BE139" s="161" t="str">
        <f t="shared" si="89"/>
        <v>Y</v>
      </c>
      <c r="BF139" s="161" t="str">
        <f t="shared" si="90"/>
        <v>Y</v>
      </c>
      <c r="BG139" s="161" t="str">
        <f t="shared" si="91"/>
        <v>N</v>
      </c>
      <c r="BH139" s="161" t="str">
        <f t="shared" si="92"/>
        <v>N</v>
      </c>
      <c r="BI139" s="161" t="str">
        <f t="shared" si="93"/>
        <v>N</v>
      </c>
      <c r="BJ139" s="161" t="str">
        <f t="shared" si="94"/>
        <v>N</v>
      </c>
      <c r="BK139" s="161" t="str">
        <f t="shared" si="95"/>
        <v>N</v>
      </c>
      <c r="BL139" s="161" t="str">
        <f t="shared" si="96"/>
        <v>Y</v>
      </c>
      <c r="BM139" s="161" t="str">
        <f t="shared" si="97"/>
        <v>Y</v>
      </c>
      <c r="BN139" s="176" t="str">
        <f t="shared" si="98"/>
        <v>Y</v>
      </c>
      <c r="BO139" s="170" t="s">
        <v>1189</v>
      </c>
      <c r="BP139" s="174" t="str">
        <f t="shared" si="99"/>
        <v>深交所主板</v>
      </c>
      <c r="BQ139" s="172" t="s">
        <v>317</v>
      </c>
      <c r="BR139" s="173">
        <f t="shared" si="100"/>
        <v>41274</v>
      </c>
      <c r="BS139" s="171" t="str">
        <f t="shared" si="101"/>
        <v>N</v>
      </c>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row>
    <row r="140" spans="1:163" ht="15" customHeight="1" x14ac:dyDescent="0.25">
      <c r="A140" s="31">
        <v>161</v>
      </c>
      <c r="B140" s="55" t="s">
        <v>1387</v>
      </c>
      <c r="C140" s="57" t="s">
        <v>1388</v>
      </c>
      <c r="D140" s="57" t="s">
        <v>574</v>
      </c>
      <c r="E140" s="57" t="s">
        <v>575</v>
      </c>
      <c r="F140" s="57" t="s">
        <v>1389</v>
      </c>
      <c r="G140" s="57" t="s">
        <v>315</v>
      </c>
      <c r="H140" s="32" t="s">
        <v>327</v>
      </c>
      <c r="I140" s="78">
        <v>43117</v>
      </c>
      <c r="J140" s="78">
        <v>44006</v>
      </c>
      <c r="K140" s="78">
        <v>44524</v>
      </c>
      <c r="L140" s="79" t="s">
        <v>919</v>
      </c>
      <c r="M140" s="69" t="s">
        <v>1390</v>
      </c>
      <c r="N140" s="69">
        <v>5.5</v>
      </c>
      <c r="O140" s="69" t="s">
        <v>1391</v>
      </c>
      <c r="P140" s="69" t="s">
        <v>1392</v>
      </c>
      <c r="Q140" s="32" t="s">
        <v>1393</v>
      </c>
      <c r="R140" s="85">
        <v>34032</v>
      </c>
      <c r="S140" s="197" t="s">
        <v>822</v>
      </c>
      <c r="T140" s="161" t="s">
        <v>317</v>
      </c>
      <c r="U140" s="69" t="str">
        <f t="shared" si="63"/>
        <v>Y</v>
      </c>
      <c r="V140" s="57" t="s">
        <v>333</v>
      </c>
      <c r="W140" s="197" t="s">
        <v>319</v>
      </c>
      <c r="X140" s="197" t="s">
        <v>334</v>
      </c>
      <c r="Y140" s="213">
        <v>60</v>
      </c>
      <c r="Z140" s="149"/>
      <c r="AA140" s="149"/>
      <c r="AB140" s="214"/>
      <c r="AC140" s="149"/>
      <c r="AD140" s="128"/>
      <c r="AE140" s="149">
        <f>118602704.08/10000</f>
        <v>11860.270408</v>
      </c>
      <c r="AF140" s="149">
        <f>118602704.08/10000</f>
        <v>11860.270408</v>
      </c>
      <c r="AG140" s="206">
        <v>2016</v>
      </c>
      <c r="AH140" s="149">
        <v>234147.65</v>
      </c>
      <c r="AI140" s="128">
        <f>AF140/AH140</f>
        <v>5.0652955124683083E-2</v>
      </c>
      <c r="AJ140" s="230">
        <f>(27676356.32+109247855.43+188339622.74+73607010.01)/10000</f>
        <v>39887.084450000002</v>
      </c>
      <c r="AK140" s="149">
        <v>18833.96</v>
      </c>
      <c r="AL140" s="214">
        <v>2015</v>
      </c>
      <c r="AM140" s="149">
        <v>17954.759999999998</v>
      </c>
      <c r="AN140" s="128">
        <f>AK140/AM140</f>
        <v>1.0489675161349972</v>
      </c>
      <c r="AO140" s="149"/>
      <c r="AP140" s="149"/>
      <c r="AQ140" s="57"/>
      <c r="AR140" s="149"/>
      <c r="AS140" s="128"/>
      <c r="AT140" s="149"/>
      <c r="AU140" s="149"/>
      <c r="AV140" s="214"/>
      <c r="AW140" s="149"/>
      <c r="AX140" s="128"/>
      <c r="AY140" s="197" t="s">
        <v>1394</v>
      </c>
      <c r="AZ140" s="161" t="str">
        <f t="shared" si="84"/>
        <v>N</v>
      </c>
      <c r="BA140" s="161" t="str">
        <f t="shared" si="85"/>
        <v>N</v>
      </c>
      <c r="BB140" s="161" t="str">
        <f t="shared" si="86"/>
        <v>N</v>
      </c>
      <c r="BC140" s="161" t="str">
        <f t="shared" si="87"/>
        <v>N</v>
      </c>
      <c r="BD140" s="161" t="str">
        <f t="shared" si="88"/>
        <v>N</v>
      </c>
      <c r="BE140" s="161" t="str">
        <f t="shared" si="89"/>
        <v>Y</v>
      </c>
      <c r="BF140" s="161" t="str">
        <f t="shared" si="90"/>
        <v>Y</v>
      </c>
      <c r="BG140" s="161" t="str">
        <f t="shared" si="91"/>
        <v>N</v>
      </c>
      <c r="BH140" s="161" t="str">
        <f t="shared" si="92"/>
        <v>N</v>
      </c>
      <c r="BI140" s="161" t="str">
        <f t="shared" si="93"/>
        <v>N</v>
      </c>
      <c r="BJ140" s="161" t="str">
        <f t="shared" si="94"/>
        <v>N</v>
      </c>
      <c r="BK140" s="161" t="str">
        <f t="shared" si="95"/>
        <v>N</v>
      </c>
      <c r="BL140" s="161" t="str">
        <f t="shared" si="96"/>
        <v>N</v>
      </c>
      <c r="BM140" s="161" t="str">
        <f t="shared" si="97"/>
        <v>Y</v>
      </c>
      <c r="BN140" s="176" t="str">
        <f t="shared" si="98"/>
        <v>Y</v>
      </c>
      <c r="BO140" s="222" t="s">
        <v>374</v>
      </c>
      <c r="BP140" s="174" t="str">
        <f t="shared" si="99"/>
        <v>上交所主板</v>
      </c>
      <c r="BQ140" s="219" t="s">
        <v>345</v>
      </c>
      <c r="BR140" s="173">
        <f t="shared" si="100"/>
        <v>35064</v>
      </c>
      <c r="BS140" s="171" t="str">
        <f t="shared" si="101"/>
        <v>N</v>
      </c>
    </row>
    <row r="141" spans="1:163" ht="15" customHeight="1" x14ac:dyDescent="0.25">
      <c r="A141" s="31">
        <v>160</v>
      </c>
      <c r="B141" s="55" t="s">
        <v>1395</v>
      </c>
      <c r="C141" s="57" t="s">
        <v>1396</v>
      </c>
      <c r="D141" s="57" t="s">
        <v>426</v>
      </c>
      <c r="E141" s="57" t="s">
        <v>427</v>
      </c>
      <c r="F141" s="57" t="s">
        <v>1397</v>
      </c>
      <c r="G141" s="57" t="s">
        <v>380</v>
      </c>
      <c r="H141" s="32" t="s">
        <v>368</v>
      </c>
      <c r="I141" s="78">
        <v>43616</v>
      </c>
      <c r="J141" s="78">
        <v>43994</v>
      </c>
      <c r="K141" s="85">
        <v>44127</v>
      </c>
      <c r="L141" s="194" t="s">
        <v>1398</v>
      </c>
      <c r="M141" s="69" t="s">
        <v>748</v>
      </c>
      <c r="N141" s="69">
        <v>2</v>
      </c>
      <c r="O141" s="69" t="s">
        <v>1305</v>
      </c>
      <c r="P141" s="69" t="s">
        <v>1315</v>
      </c>
      <c r="Q141" s="32" t="s">
        <v>471</v>
      </c>
      <c r="R141" s="85">
        <v>37592</v>
      </c>
      <c r="S141" s="197" t="s">
        <v>863</v>
      </c>
      <c r="T141" s="161" t="s">
        <v>345</v>
      </c>
      <c r="U141" s="69" t="str">
        <f t="shared" si="63"/>
        <v>N</v>
      </c>
      <c r="V141" s="57" t="s">
        <v>398</v>
      </c>
      <c r="W141" s="197" t="s">
        <v>708</v>
      </c>
      <c r="X141" s="197" t="s">
        <v>334</v>
      </c>
      <c r="Y141" s="213">
        <v>50</v>
      </c>
      <c r="Z141" s="149">
        <f>870.41+870.41</f>
        <v>1740.82</v>
      </c>
      <c r="AA141" s="149">
        <f>870.41</f>
        <v>870.41</v>
      </c>
      <c r="AB141" s="214">
        <v>2017</v>
      </c>
      <c r="AC141" s="149">
        <f>2053741.66-1232144.38</f>
        <v>821597.28</v>
      </c>
      <c r="AD141" s="128">
        <f>AA141/AC141</f>
        <v>1.0594119785790916E-3</v>
      </c>
      <c r="AE141" s="149">
        <f>14971.27+20958.78</f>
        <v>35930.050000000003</v>
      </c>
      <c r="AF141" s="149">
        <f>20958.78</f>
        <v>20958.78</v>
      </c>
      <c r="AG141" s="206">
        <v>2017</v>
      </c>
      <c r="AH141" s="149">
        <f>743295.6</f>
        <v>743295.6</v>
      </c>
      <c r="AI141" s="128">
        <f>AF141/AH141</f>
        <v>2.8197099511957289E-2</v>
      </c>
      <c r="AJ141" s="149">
        <f>12300.38+17989.83</f>
        <v>30290.21</v>
      </c>
      <c r="AK141" s="149">
        <f>17989.83</f>
        <v>17989.830000000002</v>
      </c>
      <c r="AL141" s="214">
        <v>2017</v>
      </c>
      <c r="AM141" s="149">
        <f>121144.62</f>
        <v>121144.62</v>
      </c>
      <c r="AN141" s="128">
        <f>AK141/AM141</f>
        <v>0.14849879425103651</v>
      </c>
      <c r="AO141" s="149"/>
      <c r="AP141" s="149"/>
      <c r="AQ141" s="57"/>
      <c r="AR141" s="149"/>
      <c r="AS141" s="128"/>
      <c r="AT141" s="149"/>
      <c r="AU141" s="149"/>
      <c r="AV141" s="214"/>
      <c r="AW141" s="149"/>
      <c r="AX141" s="128"/>
      <c r="AY141" s="197" t="s">
        <v>1399</v>
      </c>
      <c r="AZ141" s="161" t="str">
        <f t="shared" si="84"/>
        <v>N</v>
      </c>
      <c r="BA141" s="161" t="str">
        <f t="shared" si="85"/>
        <v>N</v>
      </c>
      <c r="BB141" s="161" t="str">
        <f t="shared" si="86"/>
        <v>N</v>
      </c>
      <c r="BC141" s="161" t="str">
        <f t="shared" si="87"/>
        <v>N</v>
      </c>
      <c r="BD141" s="161" t="str">
        <f t="shared" si="88"/>
        <v>N</v>
      </c>
      <c r="BE141" s="161" t="str">
        <f t="shared" si="89"/>
        <v>N</v>
      </c>
      <c r="BF141" s="161" t="str">
        <f t="shared" si="90"/>
        <v>N</v>
      </c>
      <c r="BG141" s="161" t="str">
        <f t="shared" si="91"/>
        <v>N</v>
      </c>
      <c r="BH141" s="161" t="str">
        <f t="shared" si="92"/>
        <v>N</v>
      </c>
      <c r="BI141" s="161" t="str">
        <f t="shared" si="93"/>
        <v>N</v>
      </c>
      <c r="BJ141" s="161" t="str">
        <f t="shared" si="94"/>
        <v>N</v>
      </c>
      <c r="BK141" s="161" t="str">
        <f t="shared" si="95"/>
        <v>N</v>
      </c>
      <c r="BL141" s="161" t="str">
        <f t="shared" si="96"/>
        <v>N</v>
      </c>
      <c r="BM141" s="161" t="str">
        <f t="shared" si="97"/>
        <v>N</v>
      </c>
      <c r="BN141" s="176" t="str">
        <f t="shared" si="98"/>
        <v>N</v>
      </c>
      <c r="BO141" s="222" t="s">
        <v>1400</v>
      </c>
      <c r="BP141" s="174" t="str">
        <f t="shared" si="99"/>
        <v>上交所主板</v>
      </c>
      <c r="BQ141" s="219" t="s">
        <v>317</v>
      </c>
      <c r="BR141" s="173">
        <f t="shared" si="100"/>
        <v>38352</v>
      </c>
      <c r="BS141" s="171" t="str">
        <f t="shared" si="101"/>
        <v>N</v>
      </c>
    </row>
    <row r="142" spans="1:163" ht="15" customHeight="1" x14ac:dyDescent="0.35">
      <c r="A142" s="31">
        <v>159</v>
      </c>
      <c r="B142" s="32" t="s">
        <v>1401</v>
      </c>
      <c r="C142" s="44" t="s">
        <v>1402</v>
      </c>
      <c r="D142" s="44" t="s">
        <v>675</v>
      </c>
      <c r="E142" s="44" t="s">
        <v>1090</v>
      </c>
      <c r="F142" s="190" t="s">
        <v>1403</v>
      </c>
      <c r="G142" s="42" t="s">
        <v>315</v>
      </c>
      <c r="H142" s="32" t="s">
        <v>327</v>
      </c>
      <c r="I142" s="78">
        <v>43251</v>
      </c>
      <c r="J142" s="78">
        <v>43991</v>
      </c>
      <c r="K142" s="78">
        <v>44029</v>
      </c>
      <c r="L142" s="79" t="s">
        <v>1404</v>
      </c>
      <c r="M142" s="69" t="s">
        <v>679</v>
      </c>
      <c r="N142" s="23">
        <v>2.75</v>
      </c>
      <c r="O142" s="69" t="str">
        <f>IF(N142&lt;1,"1年以内",IF(N142&lt;2,"1-2年",IF(N142&lt;3,"2-3年",IF(N142&lt;5,"3-5年","5年以上"))))</f>
        <v>2-3年</v>
      </c>
      <c r="P142" s="69" t="s">
        <v>1405</v>
      </c>
      <c r="Q142" s="191" t="s">
        <v>471</v>
      </c>
      <c r="R142" s="80">
        <v>42184</v>
      </c>
      <c r="S142" s="44" t="s">
        <v>660</v>
      </c>
      <c r="T142" s="207" t="s">
        <v>317</v>
      </c>
      <c r="U142" s="69" t="str">
        <f t="shared" si="63"/>
        <v>N</v>
      </c>
      <c r="V142" s="44" t="s">
        <v>988</v>
      </c>
      <c r="W142" s="208" t="s">
        <v>640</v>
      </c>
      <c r="X142" s="44" t="s">
        <v>334</v>
      </c>
      <c r="Y142" s="215">
        <v>60</v>
      </c>
      <c r="Z142" s="216"/>
      <c r="AA142" s="148"/>
      <c r="AB142" s="44"/>
      <c r="AC142" s="148"/>
      <c r="AD142" s="148"/>
      <c r="AE142" s="148"/>
      <c r="AF142" s="148"/>
      <c r="AG142" s="218"/>
      <c r="AH142" s="148"/>
      <c r="AI142" s="128"/>
      <c r="AJ142" s="148">
        <f>15626.73+10058.5+14218.93</f>
        <v>39904.160000000003</v>
      </c>
      <c r="AK142" s="148">
        <v>15626.73</v>
      </c>
      <c r="AL142" s="218">
        <v>2016</v>
      </c>
      <c r="AM142" s="148">
        <f>541182156.1/10000</f>
        <v>54118.215609999999</v>
      </c>
      <c r="AN142" s="128">
        <f>AK142/AM142</f>
        <v>0.28875175989935048</v>
      </c>
      <c r="AO142" s="148"/>
      <c r="AP142" s="148"/>
      <c r="AQ142" s="44"/>
      <c r="AR142" s="148"/>
      <c r="AS142" s="128"/>
      <c r="AT142" s="148"/>
      <c r="AU142" s="148"/>
      <c r="AV142" s="218"/>
      <c r="AW142" s="148"/>
      <c r="AX142" s="159"/>
      <c r="AY142" s="198" t="s">
        <v>1406</v>
      </c>
      <c r="AZ142" s="161" t="str">
        <f t="shared" si="84"/>
        <v>N</v>
      </c>
      <c r="BA142" s="161" t="str">
        <f t="shared" si="85"/>
        <v>N</v>
      </c>
      <c r="BB142" s="161" t="str">
        <f t="shared" si="86"/>
        <v>N</v>
      </c>
      <c r="BC142" s="161" t="str">
        <f t="shared" si="87"/>
        <v>N</v>
      </c>
      <c r="BD142" s="161" t="str">
        <f t="shared" si="88"/>
        <v>N</v>
      </c>
      <c r="BE142" s="161" t="str">
        <f t="shared" si="89"/>
        <v>N</v>
      </c>
      <c r="BF142" s="161" t="str">
        <f t="shared" si="90"/>
        <v>N</v>
      </c>
      <c r="BG142" s="161" t="str">
        <f t="shared" si="91"/>
        <v>N</v>
      </c>
      <c r="BH142" s="161" t="str">
        <f t="shared" si="92"/>
        <v>N</v>
      </c>
      <c r="BI142" s="161" t="str">
        <f t="shared" si="93"/>
        <v>N</v>
      </c>
      <c r="BJ142" s="161" t="str">
        <f t="shared" si="94"/>
        <v>N</v>
      </c>
      <c r="BK142" s="161" t="str">
        <f t="shared" si="95"/>
        <v>N</v>
      </c>
      <c r="BL142" s="161" t="str">
        <f t="shared" si="96"/>
        <v>N</v>
      </c>
      <c r="BM142" s="161" t="str">
        <f t="shared" si="97"/>
        <v>N</v>
      </c>
      <c r="BN142" s="176" t="str">
        <f t="shared" si="98"/>
        <v>N</v>
      </c>
      <c r="BO142" s="170" t="s">
        <v>1407</v>
      </c>
      <c r="BP142" s="174" t="str">
        <f t="shared" si="99"/>
        <v>上交所主板</v>
      </c>
      <c r="BQ142" s="172" t="s">
        <v>345</v>
      </c>
      <c r="BR142" s="173">
        <f t="shared" si="100"/>
        <v>43100</v>
      </c>
      <c r="BS142" s="171" t="str">
        <f t="shared" si="101"/>
        <v>N</v>
      </c>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c r="ET142" s="7"/>
      <c r="EU142" s="7"/>
      <c r="EV142" s="7"/>
      <c r="EW142" s="7"/>
      <c r="EX142" s="7"/>
      <c r="EY142" s="7"/>
      <c r="EZ142" s="7"/>
      <c r="FA142" s="7"/>
      <c r="FB142" s="7"/>
      <c r="FC142" s="7"/>
      <c r="FD142" s="7"/>
      <c r="FE142" s="7"/>
      <c r="FF142" s="7"/>
      <c r="FG142" s="7"/>
    </row>
    <row r="143" spans="1:163" ht="15" customHeight="1" x14ac:dyDescent="0.25">
      <c r="A143" s="31">
        <v>158</v>
      </c>
      <c r="B143" s="55" t="s">
        <v>1408</v>
      </c>
      <c r="C143" s="57" t="s">
        <v>1409</v>
      </c>
      <c r="D143" s="57" t="s">
        <v>448</v>
      </c>
      <c r="E143" s="57" t="s">
        <v>583</v>
      </c>
      <c r="F143" s="57" t="s">
        <v>1410</v>
      </c>
      <c r="G143" s="57" t="s">
        <v>380</v>
      </c>
      <c r="H143" s="32" t="s">
        <v>1411</v>
      </c>
      <c r="I143" s="78">
        <v>43641</v>
      </c>
      <c r="J143" s="78">
        <v>43985</v>
      </c>
      <c r="K143" s="85">
        <v>44287</v>
      </c>
      <c r="L143" s="194" t="s">
        <v>1412</v>
      </c>
      <c r="M143" s="69" t="s">
        <v>1217</v>
      </c>
      <c r="N143" s="69">
        <v>3</v>
      </c>
      <c r="O143" s="69" t="s">
        <v>1314</v>
      </c>
      <c r="P143" s="69" t="s">
        <v>1315</v>
      </c>
      <c r="Q143" s="32" t="s">
        <v>1260</v>
      </c>
      <c r="R143" s="85">
        <v>35608</v>
      </c>
      <c r="S143" s="197" t="s">
        <v>555</v>
      </c>
      <c r="T143" s="161" t="s">
        <v>317</v>
      </c>
      <c r="U143" s="69" t="str">
        <f t="shared" si="63"/>
        <v>Y</v>
      </c>
      <c r="V143" s="57" t="s">
        <v>333</v>
      </c>
      <c r="W143" s="197" t="s">
        <v>1023</v>
      </c>
      <c r="X143" s="197" t="s">
        <v>334</v>
      </c>
      <c r="Y143" s="213">
        <v>60</v>
      </c>
      <c r="Z143" s="149"/>
      <c r="AA143" s="149"/>
      <c r="AB143" s="214"/>
      <c r="AC143" s="149"/>
      <c r="AD143" s="128"/>
      <c r="AE143" s="149">
        <f>9433.96+8050+18867.92</f>
        <v>36351.879999999997</v>
      </c>
      <c r="AF143" s="149">
        <v>18867.919999999998</v>
      </c>
      <c r="AG143" s="206">
        <v>2016</v>
      </c>
      <c r="AH143" s="149">
        <v>35640.67</v>
      </c>
      <c r="AI143" s="128">
        <f>AF143/AH143</f>
        <v>0.52939296595714946</v>
      </c>
      <c r="AJ143" s="149">
        <f>9433.96+8050+18847.72</f>
        <v>36331.68</v>
      </c>
      <c r="AK143" s="149">
        <f>18847.72</f>
        <v>18847.72</v>
      </c>
      <c r="AL143" s="214">
        <v>2016</v>
      </c>
      <c r="AM143" s="149">
        <f>7680.42</f>
        <v>7680.42</v>
      </c>
      <c r="AN143" s="128">
        <f>AK143/AM143</f>
        <v>2.4539960054267866</v>
      </c>
      <c r="AO143" s="149">
        <f>7075.47+14135.79</f>
        <v>21211.260000000002</v>
      </c>
      <c r="AP143" s="149">
        <f>14135.79</f>
        <v>14135.79</v>
      </c>
      <c r="AQ143" s="57">
        <v>2016</v>
      </c>
      <c r="AR143" s="149">
        <f>4374.78</f>
        <v>4374.78</v>
      </c>
      <c r="AS143" s="128">
        <f>AP143/AR143</f>
        <v>3.2312001974956459</v>
      </c>
      <c r="AT143" s="149"/>
      <c r="AU143" s="149"/>
      <c r="AV143" s="214"/>
      <c r="AW143" s="149"/>
      <c r="AX143" s="128"/>
      <c r="AY143" s="197" t="s">
        <v>1413</v>
      </c>
      <c r="AZ143" s="161" t="str">
        <f t="shared" si="84"/>
        <v>N</v>
      </c>
      <c r="BA143" s="161" t="str">
        <f t="shared" si="85"/>
        <v>N</v>
      </c>
      <c r="BB143" s="161" t="str">
        <f t="shared" si="86"/>
        <v>N</v>
      </c>
      <c r="BC143" s="161" t="str">
        <f t="shared" si="87"/>
        <v>Y</v>
      </c>
      <c r="BD143" s="161" t="str">
        <f t="shared" si="88"/>
        <v>N</v>
      </c>
      <c r="BE143" s="161" t="str">
        <f t="shared" si="89"/>
        <v>Y</v>
      </c>
      <c r="BF143" s="161" t="str">
        <f t="shared" si="90"/>
        <v>Y</v>
      </c>
      <c r="BG143" s="161" t="str">
        <f t="shared" si="91"/>
        <v>N</v>
      </c>
      <c r="BH143" s="161" t="str">
        <f t="shared" si="92"/>
        <v>Y</v>
      </c>
      <c r="BI143" s="161" t="str">
        <f t="shared" si="93"/>
        <v>Y</v>
      </c>
      <c r="BJ143" s="161" t="str">
        <f t="shared" si="94"/>
        <v>N</v>
      </c>
      <c r="BK143" s="161" t="str">
        <f t="shared" si="95"/>
        <v>N</v>
      </c>
      <c r="BL143" s="161" t="str">
        <f t="shared" si="96"/>
        <v>N</v>
      </c>
      <c r="BM143" s="161" t="str">
        <f t="shared" si="97"/>
        <v>Y</v>
      </c>
      <c r="BN143" s="176" t="str">
        <f t="shared" si="98"/>
        <v>Y</v>
      </c>
      <c r="BO143" s="222" t="s">
        <v>1414</v>
      </c>
      <c r="BP143" s="174" t="str">
        <f t="shared" si="99"/>
        <v>深交所主板</v>
      </c>
      <c r="BQ143" s="219" t="s">
        <v>317</v>
      </c>
      <c r="BR143" s="173">
        <f t="shared" si="100"/>
        <v>36525</v>
      </c>
      <c r="BS143" s="171" t="str">
        <f t="shared" si="101"/>
        <v>N</v>
      </c>
    </row>
    <row r="144" spans="1:163" ht="15" customHeight="1" x14ac:dyDescent="0.25">
      <c r="A144" s="31">
        <v>157</v>
      </c>
      <c r="B144" s="55" t="s">
        <v>1415</v>
      </c>
      <c r="C144" s="57" t="s">
        <v>1416</v>
      </c>
      <c r="D144" s="57" t="s">
        <v>439</v>
      </c>
      <c r="E144" s="57" t="s">
        <v>1417</v>
      </c>
      <c r="F144" s="57" t="s">
        <v>1418</v>
      </c>
      <c r="G144" s="57" t="s">
        <v>315</v>
      </c>
      <c r="H144" s="32" t="s">
        <v>1411</v>
      </c>
      <c r="I144" s="78">
        <v>43776</v>
      </c>
      <c r="J144" s="78">
        <v>43970</v>
      </c>
      <c r="K144" s="85">
        <v>43970</v>
      </c>
      <c r="L144" s="194" t="s">
        <v>1419</v>
      </c>
      <c r="M144" s="69">
        <v>2017</v>
      </c>
      <c r="N144" s="69">
        <v>1</v>
      </c>
      <c r="O144" s="69" t="s">
        <v>1258</v>
      </c>
      <c r="P144" s="69" t="s">
        <v>1420</v>
      </c>
      <c r="Q144" s="32" t="s">
        <v>1047</v>
      </c>
      <c r="R144" s="85">
        <v>36336</v>
      </c>
      <c r="S144" s="197" t="s">
        <v>822</v>
      </c>
      <c r="T144" s="161" t="s">
        <v>317</v>
      </c>
      <c r="U144" s="69" t="str">
        <f t="shared" ref="U144:U207" si="103">IF(OR(BL144="Y",BM144="Y",BN144="Y"),"Y","N")</f>
        <v>N</v>
      </c>
      <c r="V144" s="57" t="s">
        <v>318</v>
      </c>
      <c r="W144" s="197" t="s">
        <v>346</v>
      </c>
      <c r="X144" s="197" t="s">
        <v>320</v>
      </c>
      <c r="Y144" s="213">
        <v>40</v>
      </c>
      <c r="Z144" s="149"/>
      <c r="AA144" s="149"/>
      <c r="AB144" s="214"/>
      <c r="AC144" s="149"/>
      <c r="AD144" s="128"/>
      <c r="AE144" s="149">
        <f>602.15*2</f>
        <v>1204.3</v>
      </c>
      <c r="AF144" s="149">
        <v>602.15</v>
      </c>
      <c r="AG144" s="206">
        <v>2017</v>
      </c>
      <c r="AH144" s="149">
        <v>29096.799999999999</v>
      </c>
      <c r="AI144" s="128">
        <f>AF144/AH144</f>
        <v>2.0694715570097055E-2</v>
      </c>
      <c r="AJ144" s="149"/>
      <c r="AK144" s="149"/>
      <c r="AL144" s="214"/>
      <c r="AM144" s="149"/>
      <c r="AN144" s="128"/>
      <c r="AO144" s="149">
        <f>1083+389+398+303</f>
        <v>2173</v>
      </c>
      <c r="AP144" s="149">
        <v>2173</v>
      </c>
      <c r="AQ144" s="57">
        <v>2017</v>
      </c>
      <c r="AR144" s="149">
        <v>12766.56</v>
      </c>
      <c r="AS144" s="128">
        <f>AP144/AR144</f>
        <v>0.17021029940720131</v>
      </c>
      <c r="AT144" s="149"/>
      <c r="AU144" s="149"/>
      <c r="AV144" s="214"/>
      <c r="AW144" s="149"/>
      <c r="AX144" s="128"/>
      <c r="AY144" s="197" t="s">
        <v>1421</v>
      </c>
      <c r="AZ144" s="161" t="str">
        <f t="shared" ref="AZ144:AZ175" si="104">IFERROR(IF(Z144&gt;100000,"Y","N"),"N")</f>
        <v>N</v>
      </c>
      <c r="BA144" s="161" t="str">
        <f t="shared" ref="BA144:BA175" si="105">IFERROR(IF(AD144&gt;0.5,"Y","N"),"N")</f>
        <v>N</v>
      </c>
      <c r="BB144" s="161" t="str">
        <f t="shared" ref="BB144:BB175" si="106">IFERROR(IF(AE144&gt;100000,"Y","N"),"N")</f>
        <v>N</v>
      </c>
      <c r="BC144" s="161" t="str">
        <f t="shared" ref="BC144:BC175" si="107">IFERROR(IF(AI144&gt;0.5,"Y","N"),"N")</f>
        <v>N</v>
      </c>
      <c r="BD144" s="161" t="str">
        <f t="shared" ref="BD144:BD175" si="108">IFERROR(IF(AJ144&gt;100000,"Y","N"),"N")</f>
        <v>N</v>
      </c>
      <c r="BE144" s="161" t="str">
        <f t="shared" ref="BE144:BE175" si="109">IFERROR(IF(AN144&gt;0.5,"Y","N"),"N")</f>
        <v>N</v>
      </c>
      <c r="BF144" s="161" t="str">
        <f t="shared" ref="BF144:BF175" si="110">IFERROR(IF(AND(AM144-AK144&lt;0,AM144&gt;0),"Y","N"),"N")</f>
        <v>N</v>
      </c>
      <c r="BG144" s="161" t="str">
        <f t="shared" ref="BG144:BG175" si="111">IFERROR(IF(AO144&gt;100000,"Y","N"),"N")</f>
        <v>N</v>
      </c>
      <c r="BH144" s="161" t="str">
        <f t="shared" ref="BH144:BH175" si="112">IFERROR(IF(AS144&gt;0.5,"Y","N"),"N")</f>
        <v>N</v>
      </c>
      <c r="BI144" s="161" t="str">
        <f t="shared" ref="BI144:BI175" si="113">IFERROR(IF(AND(AR144-AP144&lt;0,AR144&gt;0),"Y","N"),"N")</f>
        <v>N</v>
      </c>
      <c r="BJ144" s="161" t="str">
        <f t="shared" ref="BJ144:BJ175" si="114">IFERROR(IF(AT144&gt;100000,"Y","N"),"N")</f>
        <v>N</v>
      </c>
      <c r="BK144" s="161" t="str">
        <f t="shared" ref="BK144:BK175" si="115">IFERROR(IF(AX144&gt;0.5,"Y","N"),"N")</f>
        <v>N</v>
      </c>
      <c r="BL144" s="161" t="str">
        <f t="shared" ref="BL144:BL175" si="116">IF(OR(AZ144="Y",BB144="Y",BD144="Y",BG144="Y",BJ144="Y"),"Y","N")</f>
        <v>N</v>
      </c>
      <c r="BM144" s="161" t="str">
        <f t="shared" ref="BM144:BM175" si="117">IF(OR(BA144="Y",BC144="Y",BE144="Y",BH144="Y",BK144="Y"),"Y","N")</f>
        <v>N</v>
      </c>
      <c r="BN144" s="176" t="str">
        <f t="shared" ref="BN144:BN175" si="118">IF(OR(BF144="Y",BI144="Y"),"Y","N")</f>
        <v>N</v>
      </c>
      <c r="BO144" s="222" t="s">
        <v>1276</v>
      </c>
      <c r="BP144" s="174" t="str">
        <f t="shared" ref="BP144:BP175" si="119">IF(LEFT(B144,2)="00","深交所主板",IF(LEFT(B144,2)="60","上交所主板",IF(LEFT(B144,2)="30","深交所创业板",IF(LEFT(B144,3)="688","上交所科创板",IF(RIGHT(B144,2)="BJ","北交所","")))))</f>
        <v>深交所主板</v>
      </c>
      <c r="BQ144" s="219" t="s">
        <v>317</v>
      </c>
      <c r="BR144" s="173">
        <f t="shared" ref="BR144:BR175" si="120">IF(OR(BP144="上交所主板",BP144="深交所主板"),DATE(YEAR(R144)+2,12,31),IF(OR(BP144="上交所科创板",BP144="深交所创业板",,BP144="北交所"),DATE(YEAR(R144)+3,12,31),""))</f>
        <v>37256</v>
      </c>
      <c r="BS144" s="171" t="str">
        <f t="shared" ref="BS144:BS175" si="121">IF(BQ144="是","N",IF(OR(R144="-",LEFT(R144)="A"),"Y",IF(OR(LEFT(M144,4)-YEAR(BR144)&gt;0,RIGHT(M144,4)-(YEAR(R144)-3)&lt;0),"N","Y")))</f>
        <v>N</v>
      </c>
    </row>
    <row r="145" spans="1:163" ht="15" customHeight="1" x14ac:dyDescent="0.35">
      <c r="A145" s="31">
        <v>156</v>
      </c>
      <c r="B145" s="32" t="s">
        <v>1422</v>
      </c>
      <c r="C145" s="23" t="s">
        <v>1423</v>
      </c>
      <c r="D145" s="44" t="s">
        <v>426</v>
      </c>
      <c r="E145" s="44" t="s">
        <v>427</v>
      </c>
      <c r="F145" s="190" t="s">
        <v>1424</v>
      </c>
      <c r="G145" s="42" t="s">
        <v>315</v>
      </c>
      <c r="H145" s="32" t="s">
        <v>327</v>
      </c>
      <c r="I145" s="78">
        <v>43552</v>
      </c>
      <c r="J145" s="78">
        <v>43963</v>
      </c>
      <c r="K145" s="78">
        <v>43970</v>
      </c>
      <c r="L145" s="79" t="s">
        <v>1425</v>
      </c>
      <c r="M145" s="198">
        <v>2018</v>
      </c>
      <c r="N145" s="23">
        <v>1</v>
      </c>
      <c r="O145" s="69" t="str">
        <f>IF(N145&lt;1,"1年以内",IF(N145&lt;2,"1-2年",IF(N145&lt;3,"2-3年",IF(N145&lt;5,"3-5年","5年以上"))))</f>
        <v>1-2年</v>
      </c>
      <c r="P145" s="69" t="s">
        <v>382</v>
      </c>
      <c r="Q145" s="191" t="s">
        <v>507</v>
      </c>
      <c r="R145" s="80">
        <v>39477</v>
      </c>
      <c r="S145" s="44" t="s">
        <v>316</v>
      </c>
      <c r="T145" s="207" t="s">
        <v>345</v>
      </c>
      <c r="U145" s="69" t="str">
        <f t="shared" si="103"/>
        <v>Y</v>
      </c>
      <c r="V145" s="44" t="s">
        <v>361</v>
      </c>
      <c r="W145" s="208" t="s">
        <v>361</v>
      </c>
      <c r="X145" s="44" t="s">
        <v>320</v>
      </c>
      <c r="Y145" s="215">
        <v>60</v>
      </c>
      <c r="Z145" s="216"/>
      <c r="AA145" s="148"/>
      <c r="AB145" s="44"/>
      <c r="AC145" s="148"/>
      <c r="AD145" s="128"/>
      <c r="AE145" s="148"/>
      <c r="AF145" s="148"/>
      <c r="AG145" s="218"/>
      <c r="AH145" s="148"/>
      <c r="AI145" s="128"/>
      <c r="AJ145" s="148"/>
      <c r="AK145" s="148"/>
      <c r="AL145" s="218"/>
      <c r="AM145" s="148"/>
      <c r="AN145" s="128"/>
      <c r="AO145" s="148"/>
      <c r="AP145" s="148"/>
      <c r="AQ145" s="44"/>
      <c r="AR145" s="148"/>
      <c r="AS145" s="128"/>
      <c r="AT145" s="148">
        <v>137459</v>
      </c>
      <c r="AU145" s="148">
        <v>137459</v>
      </c>
      <c r="AV145" s="218">
        <v>2018</v>
      </c>
      <c r="AW145" s="148">
        <v>199339.58559500001</v>
      </c>
      <c r="AX145" s="159">
        <f>AU145/AW145</f>
        <v>0.68957201646479116</v>
      </c>
      <c r="AY145" s="198" t="s">
        <v>1426</v>
      </c>
      <c r="AZ145" s="161" t="str">
        <f t="shared" si="104"/>
        <v>N</v>
      </c>
      <c r="BA145" s="161" t="str">
        <f t="shared" si="105"/>
        <v>N</v>
      </c>
      <c r="BB145" s="161" t="str">
        <f t="shared" si="106"/>
        <v>N</v>
      </c>
      <c r="BC145" s="161" t="str">
        <f t="shared" si="107"/>
        <v>N</v>
      </c>
      <c r="BD145" s="161" t="str">
        <f t="shared" si="108"/>
        <v>N</v>
      </c>
      <c r="BE145" s="161" t="str">
        <f t="shared" si="109"/>
        <v>N</v>
      </c>
      <c r="BF145" s="161" t="str">
        <f t="shared" si="110"/>
        <v>N</v>
      </c>
      <c r="BG145" s="161" t="str">
        <f t="shared" si="111"/>
        <v>N</v>
      </c>
      <c r="BH145" s="161" t="str">
        <f t="shared" si="112"/>
        <v>N</v>
      </c>
      <c r="BI145" s="161" t="str">
        <f t="shared" si="113"/>
        <v>N</v>
      </c>
      <c r="BJ145" s="161" t="str">
        <f t="shared" si="114"/>
        <v>Y</v>
      </c>
      <c r="BK145" s="161" t="str">
        <f t="shared" si="115"/>
        <v>Y</v>
      </c>
      <c r="BL145" s="161" t="str">
        <f t="shared" si="116"/>
        <v>Y</v>
      </c>
      <c r="BM145" s="161" t="str">
        <f t="shared" si="117"/>
        <v>Y</v>
      </c>
      <c r="BN145" s="176" t="str">
        <f t="shared" si="118"/>
        <v>N</v>
      </c>
      <c r="BO145" s="170" t="s">
        <v>663</v>
      </c>
      <c r="BP145" s="174" t="str">
        <f t="shared" si="119"/>
        <v>深交所主板</v>
      </c>
      <c r="BQ145" s="172" t="s">
        <v>317</v>
      </c>
      <c r="BR145" s="173">
        <f t="shared" si="120"/>
        <v>40543</v>
      </c>
      <c r="BS145" s="171" t="str">
        <f t="shared" si="121"/>
        <v>N</v>
      </c>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c r="ET145" s="7"/>
      <c r="EU145" s="7"/>
      <c r="EV145" s="7"/>
      <c r="EW145" s="7"/>
      <c r="EX145" s="7"/>
      <c r="EY145" s="7"/>
      <c r="EZ145" s="7"/>
      <c r="FA145" s="7"/>
      <c r="FB145" s="7"/>
      <c r="FC145" s="7"/>
      <c r="FD145" s="7"/>
      <c r="FE145" s="7"/>
      <c r="FF145" s="7"/>
      <c r="FG145" s="7"/>
    </row>
    <row r="146" spans="1:163" ht="15" customHeight="1" x14ac:dyDescent="0.25">
      <c r="A146" s="31">
        <v>155</v>
      </c>
      <c r="B146" s="55" t="s">
        <v>1427</v>
      </c>
      <c r="C146" s="57" t="s">
        <v>1428</v>
      </c>
      <c r="D146" s="57" t="s">
        <v>351</v>
      </c>
      <c r="E146" s="57" t="s">
        <v>404</v>
      </c>
      <c r="F146" s="57" t="s">
        <v>1429</v>
      </c>
      <c r="G146" s="57" t="s">
        <v>380</v>
      </c>
      <c r="H146" s="32" t="s">
        <v>1411</v>
      </c>
      <c r="I146" s="78">
        <v>43334</v>
      </c>
      <c r="J146" s="78">
        <v>43963</v>
      </c>
      <c r="K146" s="85">
        <v>44407</v>
      </c>
      <c r="L146" s="194" t="s">
        <v>1430</v>
      </c>
      <c r="M146" s="69" t="s">
        <v>1431</v>
      </c>
      <c r="N146" s="69">
        <v>3</v>
      </c>
      <c r="O146" s="69" t="s">
        <v>1314</v>
      </c>
      <c r="P146" s="69" t="s">
        <v>1315</v>
      </c>
      <c r="Q146" s="32" t="s">
        <v>1432</v>
      </c>
      <c r="R146" s="85">
        <v>41851</v>
      </c>
      <c r="S146" s="197" t="s">
        <v>332</v>
      </c>
      <c r="T146" s="161" t="s">
        <v>317</v>
      </c>
      <c r="U146" s="69" t="str">
        <f t="shared" si="103"/>
        <v>Y</v>
      </c>
      <c r="V146" s="57" t="s">
        <v>333</v>
      </c>
      <c r="W146" s="197" t="s">
        <v>1433</v>
      </c>
      <c r="X146" s="197" t="s">
        <v>334</v>
      </c>
      <c r="Y146" s="213">
        <v>60</v>
      </c>
      <c r="Z146" s="149">
        <f>13176.95+7820.1+21492.14+11577.81+233.22+4172.91</f>
        <v>58473.130000000005</v>
      </c>
      <c r="AA146" s="149">
        <f>21492.14+4172.91</f>
        <v>25665.05</v>
      </c>
      <c r="AB146" s="214">
        <v>2017</v>
      </c>
      <c r="AC146" s="149">
        <f>730762.26-334127.03</f>
        <v>396635.23</v>
      </c>
      <c r="AD146" s="128">
        <f>AA146/AC146</f>
        <v>6.4706934883217507E-2</v>
      </c>
      <c r="AE146" s="149">
        <v>90069.42</v>
      </c>
      <c r="AF146" s="149">
        <f>45009.4</f>
        <v>45009.4</v>
      </c>
      <c r="AG146" s="206">
        <v>2017</v>
      </c>
      <c r="AH146" s="149">
        <f>241779.24</f>
        <v>241779.24</v>
      </c>
      <c r="AI146" s="128">
        <f>AF146/AH146</f>
        <v>0.18615907635411544</v>
      </c>
      <c r="AJ146" s="149">
        <f>17384.91</f>
        <v>17384.91</v>
      </c>
      <c r="AK146" s="149">
        <f>5568.91+11887.8+17384.91</f>
        <v>34841.619999999995</v>
      </c>
      <c r="AL146" s="214">
        <v>2017</v>
      </c>
      <c r="AM146" s="149">
        <f>33345.42</f>
        <v>33345.42</v>
      </c>
      <c r="AN146" s="128">
        <f>AK146/AM146</f>
        <v>1.0448697302358163</v>
      </c>
      <c r="AO146" s="149"/>
      <c r="AP146" s="149"/>
      <c r="AQ146" s="57"/>
      <c r="AR146" s="149"/>
      <c r="AS146" s="128"/>
      <c r="AT146" s="149"/>
      <c r="AU146" s="149"/>
      <c r="AV146" s="231"/>
      <c r="AW146" s="149"/>
      <c r="AX146" s="128"/>
      <c r="AY146" s="197" t="s">
        <v>1434</v>
      </c>
      <c r="AZ146" s="161" t="str">
        <f t="shared" si="104"/>
        <v>N</v>
      </c>
      <c r="BA146" s="161" t="str">
        <f t="shared" si="105"/>
        <v>N</v>
      </c>
      <c r="BB146" s="161" t="str">
        <f t="shared" si="106"/>
        <v>N</v>
      </c>
      <c r="BC146" s="161" t="str">
        <f t="shared" si="107"/>
        <v>N</v>
      </c>
      <c r="BD146" s="161" t="str">
        <f t="shared" si="108"/>
        <v>N</v>
      </c>
      <c r="BE146" s="161" t="str">
        <f t="shared" si="109"/>
        <v>Y</v>
      </c>
      <c r="BF146" s="161" t="str">
        <f t="shared" si="110"/>
        <v>Y</v>
      </c>
      <c r="BG146" s="161" t="str">
        <f t="shared" si="111"/>
        <v>N</v>
      </c>
      <c r="BH146" s="161" t="str">
        <f t="shared" si="112"/>
        <v>N</v>
      </c>
      <c r="BI146" s="161" t="str">
        <f t="shared" si="113"/>
        <v>N</v>
      </c>
      <c r="BJ146" s="161" t="str">
        <f t="shared" si="114"/>
        <v>N</v>
      </c>
      <c r="BK146" s="161" t="str">
        <f t="shared" si="115"/>
        <v>N</v>
      </c>
      <c r="BL146" s="161" t="str">
        <f t="shared" si="116"/>
        <v>N</v>
      </c>
      <c r="BM146" s="161" t="str">
        <f t="shared" si="117"/>
        <v>Y</v>
      </c>
      <c r="BN146" s="176" t="str">
        <f t="shared" si="118"/>
        <v>Y</v>
      </c>
      <c r="BO146" s="222" t="s">
        <v>839</v>
      </c>
      <c r="BP146" s="174" t="str">
        <f t="shared" si="119"/>
        <v>上交所主板</v>
      </c>
      <c r="BQ146" s="219" t="s">
        <v>317</v>
      </c>
      <c r="BR146" s="173">
        <f t="shared" si="120"/>
        <v>42735</v>
      </c>
      <c r="BS146" s="171" t="str">
        <f t="shared" si="121"/>
        <v>Y</v>
      </c>
    </row>
    <row r="147" spans="1:163" ht="15" customHeight="1" x14ac:dyDescent="0.25">
      <c r="A147" s="31">
        <v>154</v>
      </c>
      <c r="B147" s="55" t="s">
        <v>1435</v>
      </c>
      <c r="C147" s="57" t="s">
        <v>1436</v>
      </c>
      <c r="D147" s="57" t="s">
        <v>448</v>
      </c>
      <c r="E147" s="57" t="s">
        <v>1437</v>
      </c>
      <c r="F147" s="57" t="s">
        <v>1438</v>
      </c>
      <c r="G147" s="57" t="s">
        <v>315</v>
      </c>
      <c r="H147" s="32" t="s">
        <v>368</v>
      </c>
      <c r="I147" s="78">
        <v>43481</v>
      </c>
      <c r="J147" s="78">
        <v>43949</v>
      </c>
      <c r="K147" s="85">
        <v>44090</v>
      </c>
      <c r="L147" s="194" t="s">
        <v>1439</v>
      </c>
      <c r="M147" s="69" t="s">
        <v>679</v>
      </c>
      <c r="N147" s="69">
        <v>2.5</v>
      </c>
      <c r="O147" s="69" t="s">
        <v>1305</v>
      </c>
      <c r="P147" s="69" t="s">
        <v>906</v>
      </c>
      <c r="Q147" s="32" t="s">
        <v>1440</v>
      </c>
      <c r="R147" s="85">
        <v>35587</v>
      </c>
      <c r="S147" s="197" t="s">
        <v>1079</v>
      </c>
      <c r="T147" s="161" t="s">
        <v>345</v>
      </c>
      <c r="U147" s="69" t="str">
        <f t="shared" si="103"/>
        <v>Y</v>
      </c>
      <c r="V147" s="57" t="s">
        <v>333</v>
      </c>
      <c r="W147" s="204" t="s">
        <v>996</v>
      </c>
      <c r="X147" s="197" t="s">
        <v>334</v>
      </c>
      <c r="Y147" s="213">
        <v>60</v>
      </c>
      <c r="Z147" s="149">
        <f>7720</f>
        <v>7720</v>
      </c>
      <c r="AA147" s="149">
        <v>7720</v>
      </c>
      <c r="AB147" s="214">
        <v>2018</v>
      </c>
      <c r="AC147" s="149">
        <f>1147620.73-996416.11</f>
        <v>151204.62</v>
      </c>
      <c r="AD147" s="128">
        <f>AA147/AC147</f>
        <v>5.1056640994170684E-2</v>
      </c>
      <c r="AE147" s="149">
        <f>14169.09+29487.1+12000</f>
        <v>55656.19</v>
      </c>
      <c r="AF147" s="149">
        <v>29487.1</v>
      </c>
      <c r="AG147" s="206">
        <v>2017</v>
      </c>
      <c r="AH147" s="149">
        <v>927662.91</v>
      </c>
      <c r="AI147" s="128">
        <f>AF147/AH147</f>
        <v>3.1786438459634005E-2</v>
      </c>
      <c r="AJ147" s="149">
        <f>9504.09+18448.2+7900</f>
        <v>35852.29</v>
      </c>
      <c r="AK147" s="149">
        <v>18448.2</v>
      </c>
      <c r="AL147" s="214">
        <v>2017</v>
      </c>
      <c r="AM147" s="149">
        <v>30880.39</v>
      </c>
      <c r="AN147" s="128">
        <f>AK147/AM147</f>
        <v>0.59740825812109244</v>
      </c>
      <c r="AO147" s="149"/>
      <c r="AP147" s="149"/>
      <c r="AQ147" s="57"/>
      <c r="AR147" s="149"/>
      <c r="AS147" s="128"/>
      <c r="AT147" s="149">
        <f>47930.19+81818.12</f>
        <v>129748.31</v>
      </c>
      <c r="AU147" s="149"/>
      <c r="AV147" s="214"/>
      <c r="AW147" s="149"/>
      <c r="AX147" s="128"/>
      <c r="AY147" s="197" t="s">
        <v>1441</v>
      </c>
      <c r="AZ147" s="161" t="str">
        <f t="shared" si="104"/>
        <v>N</v>
      </c>
      <c r="BA147" s="161" t="str">
        <f t="shared" si="105"/>
        <v>N</v>
      </c>
      <c r="BB147" s="161" t="str">
        <f t="shared" si="106"/>
        <v>N</v>
      </c>
      <c r="BC147" s="161" t="str">
        <f t="shared" si="107"/>
        <v>N</v>
      </c>
      <c r="BD147" s="161" t="str">
        <f t="shared" si="108"/>
        <v>N</v>
      </c>
      <c r="BE147" s="161" t="str">
        <f t="shared" si="109"/>
        <v>Y</v>
      </c>
      <c r="BF147" s="161" t="str">
        <f t="shared" si="110"/>
        <v>N</v>
      </c>
      <c r="BG147" s="161" t="str">
        <f t="shared" si="111"/>
        <v>N</v>
      </c>
      <c r="BH147" s="161" t="str">
        <f t="shared" si="112"/>
        <v>N</v>
      </c>
      <c r="BI147" s="161" t="str">
        <f t="shared" si="113"/>
        <v>N</v>
      </c>
      <c r="BJ147" s="161" t="str">
        <f t="shared" si="114"/>
        <v>Y</v>
      </c>
      <c r="BK147" s="161" t="str">
        <f t="shared" si="115"/>
        <v>N</v>
      </c>
      <c r="BL147" s="161" t="str">
        <f t="shared" si="116"/>
        <v>Y</v>
      </c>
      <c r="BM147" s="161" t="str">
        <f t="shared" si="117"/>
        <v>Y</v>
      </c>
      <c r="BN147" s="176" t="str">
        <f t="shared" si="118"/>
        <v>N</v>
      </c>
      <c r="BO147" s="222" t="s">
        <v>1442</v>
      </c>
      <c r="BP147" s="174" t="str">
        <f t="shared" si="119"/>
        <v>上交所主板</v>
      </c>
      <c r="BQ147" s="219" t="s">
        <v>317</v>
      </c>
      <c r="BR147" s="173">
        <f t="shared" si="120"/>
        <v>36525</v>
      </c>
      <c r="BS147" s="171" t="str">
        <f t="shared" si="121"/>
        <v>N</v>
      </c>
    </row>
    <row r="148" spans="1:163" ht="15" customHeight="1" x14ac:dyDescent="0.25">
      <c r="A148" s="31">
        <v>153</v>
      </c>
      <c r="B148" s="55" t="s">
        <v>1443</v>
      </c>
      <c r="C148" s="57" t="s">
        <v>1444</v>
      </c>
      <c r="D148" s="57" t="s">
        <v>675</v>
      </c>
      <c r="E148" s="57" t="s">
        <v>1090</v>
      </c>
      <c r="F148" s="57" t="s">
        <v>1445</v>
      </c>
      <c r="G148" s="57" t="s">
        <v>1446</v>
      </c>
      <c r="H148" s="32" t="s">
        <v>602</v>
      </c>
      <c r="I148" s="78">
        <v>43304</v>
      </c>
      <c r="J148" s="78">
        <v>43942</v>
      </c>
      <c r="K148" s="78">
        <v>44127</v>
      </c>
      <c r="L148" s="79" t="s">
        <v>1447</v>
      </c>
      <c r="M148" s="69" t="s">
        <v>748</v>
      </c>
      <c r="N148" s="69">
        <v>2</v>
      </c>
      <c r="O148" s="69" t="s">
        <v>1305</v>
      </c>
      <c r="P148" s="69" t="s">
        <v>1315</v>
      </c>
      <c r="Q148" s="32" t="s">
        <v>731</v>
      </c>
      <c r="R148" s="227">
        <v>35213</v>
      </c>
      <c r="S148" s="197" t="s">
        <v>639</v>
      </c>
      <c r="T148" s="228" t="s">
        <v>317</v>
      </c>
      <c r="U148" s="69" t="str">
        <f t="shared" si="103"/>
        <v>Y</v>
      </c>
      <c r="V148" s="57" t="s">
        <v>607</v>
      </c>
      <c r="W148" s="197" t="s">
        <v>1448</v>
      </c>
      <c r="X148" s="197" t="s">
        <v>334</v>
      </c>
      <c r="Y148" s="213">
        <v>60</v>
      </c>
      <c r="Z148" s="149">
        <f>2.91*10000+10.61*10000</f>
        <v>135200</v>
      </c>
      <c r="AA148" s="149">
        <f>10.61*10000</f>
        <v>106100</v>
      </c>
      <c r="AB148" s="214">
        <v>2017</v>
      </c>
      <c r="AC148" s="149">
        <v>441665.62</v>
      </c>
      <c r="AD148" s="128">
        <f>AA148/AC148</f>
        <v>0.24022698438696677</v>
      </c>
      <c r="AE148" s="149"/>
      <c r="AF148" s="149"/>
      <c r="AG148" s="206"/>
      <c r="AH148" s="149"/>
      <c r="AI148" s="128"/>
      <c r="AJ148" s="149"/>
      <c r="AK148" s="149"/>
      <c r="AL148" s="214"/>
      <c r="AM148" s="149"/>
      <c r="AN148" s="128"/>
      <c r="AO148" s="149">
        <f>9800+5200</f>
        <v>15000</v>
      </c>
      <c r="AP148" s="149">
        <v>9800</v>
      </c>
      <c r="AQ148" s="57">
        <v>2016</v>
      </c>
      <c r="AR148" s="149">
        <v>-6100</v>
      </c>
      <c r="AS148" s="128">
        <f>AP148/AR148</f>
        <v>-1.6065573770491803</v>
      </c>
      <c r="AT148" s="149">
        <v>101600</v>
      </c>
      <c r="AU148" s="149"/>
      <c r="AV148" s="214"/>
      <c r="AW148" s="149"/>
      <c r="AX148" s="128"/>
      <c r="AY148" s="233" t="s">
        <v>1449</v>
      </c>
      <c r="AZ148" s="161" t="str">
        <f t="shared" si="104"/>
        <v>Y</v>
      </c>
      <c r="BA148" s="161" t="str">
        <f t="shared" si="105"/>
        <v>N</v>
      </c>
      <c r="BB148" s="161" t="str">
        <f t="shared" si="106"/>
        <v>N</v>
      </c>
      <c r="BC148" s="161" t="str">
        <f t="shared" si="107"/>
        <v>N</v>
      </c>
      <c r="BD148" s="161" t="str">
        <f t="shared" si="108"/>
        <v>N</v>
      </c>
      <c r="BE148" s="161" t="str">
        <f t="shared" si="109"/>
        <v>N</v>
      </c>
      <c r="BF148" s="161" t="str">
        <f t="shared" si="110"/>
        <v>N</v>
      </c>
      <c r="BG148" s="161" t="str">
        <f t="shared" si="111"/>
        <v>N</v>
      </c>
      <c r="BH148" s="161" t="str">
        <f t="shared" si="112"/>
        <v>N</v>
      </c>
      <c r="BI148" s="161" t="str">
        <f t="shared" si="113"/>
        <v>N</v>
      </c>
      <c r="BJ148" s="161" t="str">
        <f t="shared" si="114"/>
        <v>Y</v>
      </c>
      <c r="BK148" s="161" t="str">
        <f t="shared" si="115"/>
        <v>N</v>
      </c>
      <c r="BL148" s="161" t="str">
        <f t="shared" si="116"/>
        <v>Y</v>
      </c>
      <c r="BM148" s="161" t="str">
        <f t="shared" si="117"/>
        <v>N</v>
      </c>
      <c r="BN148" s="176" t="str">
        <f t="shared" si="118"/>
        <v>N</v>
      </c>
      <c r="BO148" s="222" t="s">
        <v>839</v>
      </c>
      <c r="BP148" s="174" t="str">
        <f t="shared" si="119"/>
        <v>上交所主板</v>
      </c>
      <c r="BQ148" s="219" t="s">
        <v>317</v>
      </c>
      <c r="BR148" s="173">
        <f t="shared" si="120"/>
        <v>36160</v>
      </c>
      <c r="BS148" s="171" t="str">
        <f t="shared" si="121"/>
        <v>N</v>
      </c>
    </row>
    <row r="149" spans="1:163" ht="15" customHeight="1" x14ac:dyDescent="0.25">
      <c r="A149" s="31">
        <v>152</v>
      </c>
      <c r="B149" s="57" t="s">
        <v>1450</v>
      </c>
      <c r="C149" s="57" t="s">
        <v>1451</v>
      </c>
      <c r="D149" s="57" t="s">
        <v>426</v>
      </c>
      <c r="E149" s="57" t="s">
        <v>427</v>
      </c>
      <c r="F149" s="32" t="s">
        <v>1452</v>
      </c>
      <c r="G149" s="57" t="s">
        <v>315</v>
      </c>
      <c r="H149" s="192" t="s">
        <v>327</v>
      </c>
      <c r="I149" s="78">
        <v>43581</v>
      </c>
      <c r="J149" s="85">
        <v>43931</v>
      </c>
      <c r="K149" s="85">
        <v>44175</v>
      </c>
      <c r="L149" s="194" t="s">
        <v>1453</v>
      </c>
      <c r="M149" s="69" t="s">
        <v>679</v>
      </c>
      <c r="N149" s="69">
        <v>3</v>
      </c>
      <c r="O149" s="196" t="s">
        <v>1314</v>
      </c>
      <c r="P149" s="69" t="s">
        <v>1315</v>
      </c>
      <c r="Q149" s="209" t="s">
        <v>1454</v>
      </c>
      <c r="R149" s="227">
        <v>42166</v>
      </c>
      <c r="S149" s="202" t="s">
        <v>639</v>
      </c>
      <c r="T149" s="210" t="s">
        <v>345</v>
      </c>
      <c r="U149" s="69" t="str">
        <f t="shared" si="103"/>
        <v>Y</v>
      </c>
      <c r="V149" s="102" t="s">
        <v>434</v>
      </c>
      <c r="W149" s="211" t="s">
        <v>1013</v>
      </c>
      <c r="X149" s="197" t="s">
        <v>334</v>
      </c>
      <c r="Y149" s="213">
        <v>60</v>
      </c>
      <c r="Z149" s="149"/>
      <c r="AA149" s="149"/>
      <c r="AB149" s="214"/>
      <c r="AC149" s="149"/>
      <c r="AD149" s="128"/>
      <c r="AE149" s="149">
        <f>(271426472.23+338220675.31+195870000.8)/10000</f>
        <v>80551.714833999999</v>
      </c>
      <c r="AF149" s="149">
        <f>338220675.31/10000</f>
        <v>33822.067531000001</v>
      </c>
      <c r="AG149" s="206">
        <v>2017</v>
      </c>
      <c r="AH149" s="149">
        <f>149819.52</f>
        <v>149819.51999999999</v>
      </c>
      <c r="AI149" s="128">
        <f>AF149/AH149</f>
        <v>0.22575207510343112</v>
      </c>
      <c r="AJ149" s="149">
        <f>(279089447.97+350311279.11+220122167.85)/10000</f>
        <v>84952.289493000004</v>
      </c>
      <c r="AK149" s="149">
        <f>350311279.11/10000</f>
        <v>35031.127911000003</v>
      </c>
      <c r="AL149" s="214">
        <v>2017</v>
      </c>
      <c r="AM149" s="149">
        <f>16831.25</f>
        <v>16831.25</v>
      </c>
      <c r="AN149" s="128">
        <f>AK149/AM149</f>
        <v>2.0813146920757521</v>
      </c>
      <c r="AO149" s="232"/>
      <c r="AP149" s="232"/>
      <c r="AQ149" s="57"/>
      <c r="AR149" s="149"/>
      <c r="AS149" s="159"/>
      <c r="AT149" s="149">
        <f>11042898.41/10000</f>
        <v>1104.289841</v>
      </c>
      <c r="AU149" s="149">
        <f>11042898.41/10000</f>
        <v>1104.289841</v>
      </c>
      <c r="AV149" s="214">
        <v>2018</v>
      </c>
      <c r="AW149" s="149">
        <f>404661.59-270204.18</f>
        <v>134457.41000000003</v>
      </c>
      <c r="AX149" s="128">
        <f>AU149/AW149</f>
        <v>8.2129340510128795E-3</v>
      </c>
      <c r="AY149" s="234" t="s">
        <v>1455</v>
      </c>
      <c r="AZ149" s="161" t="str">
        <f t="shared" si="104"/>
        <v>N</v>
      </c>
      <c r="BA149" s="161" t="str">
        <f t="shared" si="105"/>
        <v>N</v>
      </c>
      <c r="BB149" s="161" t="str">
        <f t="shared" si="106"/>
        <v>N</v>
      </c>
      <c r="BC149" s="161" t="str">
        <f t="shared" si="107"/>
        <v>N</v>
      </c>
      <c r="BD149" s="161" t="str">
        <f t="shared" si="108"/>
        <v>N</v>
      </c>
      <c r="BE149" s="161" t="str">
        <f t="shared" si="109"/>
        <v>Y</v>
      </c>
      <c r="BF149" s="161" t="str">
        <f t="shared" si="110"/>
        <v>Y</v>
      </c>
      <c r="BG149" s="161" t="str">
        <f t="shared" si="111"/>
        <v>N</v>
      </c>
      <c r="BH149" s="161" t="str">
        <f t="shared" si="112"/>
        <v>N</v>
      </c>
      <c r="BI149" s="161" t="str">
        <f t="shared" si="113"/>
        <v>N</v>
      </c>
      <c r="BJ149" s="161" t="str">
        <f t="shared" si="114"/>
        <v>N</v>
      </c>
      <c r="BK149" s="161" t="str">
        <f t="shared" si="115"/>
        <v>N</v>
      </c>
      <c r="BL149" s="161" t="str">
        <f t="shared" si="116"/>
        <v>N</v>
      </c>
      <c r="BM149" s="161" t="str">
        <f t="shared" si="117"/>
        <v>Y</v>
      </c>
      <c r="BN149" s="176" t="str">
        <f t="shared" si="118"/>
        <v>Y</v>
      </c>
      <c r="BO149" s="222" t="s">
        <v>363</v>
      </c>
      <c r="BP149" s="174" t="str">
        <f t="shared" si="119"/>
        <v>深交所主板</v>
      </c>
      <c r="BQ149" s="219" t="s">
        <v>317</v>
      </c>
      <c r="BR149" s="173">
        <f t="shared" si="120"/>
        <v>43100</v>
      </c>
      <c r="BS149" s="171" t="str">
        <f t="shared" si="121"/>
        <v>Y</v>
      </c>
    </row>
    <row r="150" spans="1:163" ht="15" customHeight="1" x14ac:dyDescent="0.25">
      <c r="A150" s="31">
        <v>151</v>
      </c>
      <c r="B150" s="55" t="s">
        <v>1456</v>
      </c>
      <c r="C150" s="57" t="s">
        <v>1457</v>
      </c>
      <c r="D150" s="57" t="s">
        <v>426</v>
      </c>
      <c r="E150" s="57" t="s">
        <v>427</v>
      </c>
      <c r="F150" s="57" t="s">
        <v>1458</v>
      </c>
      <c r="G150" s="57" t="s">
        <v>315</v>
      </c>
      <c r="H150" s="32" t="s">
        <v>327</v>
      </c>
      <c r="I150" s="78">
        <v>43641</v>
      </c>
      <c r="J150" s="78">
        <v>43931</v>
      </c>
      <c r="K150" s="85">
        <v>43972</v>
      </c>
      <c r="L150" s="194" t="s">
        <v>1459</v>
      </c>
      <c r="M150" s="69" t="s">
        <v>679</v>
      </c>
      <c r="N150" s="69">
        <v>3</v>
      </c>
      <c r="O150" s="69" t="s">
        <v>1314</v>
      </c>
      <c r="P150" s="69" t="s">
        <v>1315</v>
      </c>
      <c r="Q150" s="32" t="s">
        <v>1040</v>
      </c>
      <c r="R150" s="85">
        <v>40200</v>
      </c>
      <c r="S150" s="197" t="s">
        <v>995</v>
      </c>
      <c r="T150" s="161" t="s">
        <v>317</v>
      </c>
      <c r="U150" s="69" t="str">
        <f t="shared" si="103"/>
        <v>Y</v>
      </c>
      <c r="V150" s="57" t="s">
        <v>333</v>
      </c>
      <c r="W150" s="197" t="s">
        <v>346</v>
      </c>
      <c r="X150" s="197" t="s">
        <v>320</v>
      </c>
      <c r="Y150" s="213">
        <v>60</v>
      </c>
      <c r="Z150" s="149"/>
      <c r="AA150" s="149"/>
      <c r="AB150" s="214"/>
      <c r="AC150" s="149"/>
      <c r="AD150" s="128"/>
      <c r="AE150" s="149">
        <f>33655.12+33828.24+6233.97</f>
        <v>73717.33</v>
      </c>
      <c r="AF150" s="149">
        <f>33828.24</f>
        <v>33828.239999999998</v>
      </c>
      <c r="AG150" s="206">
        <v>2017</v>
      </c>
      <c r="AH150" s="149">
        <f>206442.45</f>
        <v>206442.45</v>
      </c>
      <c r="AI150" s="128">
        <f>AF150/AH150</f>
        <v>0.16386281019238047</v>
      </c>
      <c r="AJ150" s="149">
        <f>7643.34+9330.5+1072.3</f>
        <v>18046.14</v>
      </c>
      <c r="AK150" s="149">
        <f>9330.5</f>
        <v>9330.5</v>
      </c>
      <c r="AL150" s="214">
        <v>2017</v>
      </c>
      <c r="AM150" s="149">
        <f>18412.81</f>
        <v>18412.810000000001</v>
      </c>
      <c r="AN150" s="128">
        <f>AK150/AM150</f>
        <v>0.50673960139707086</v>
      </c>
      <c r="AO150" s="149"/>
      <c r="AP150" s="149"/>
      <c r="AQ150" s="57"/>
      <c r="AR150" s="149"/>
      <c r="AS150" s="128"/>
      <c r="AT150" s="149"/>
      <c r="AU150" s="149"/>
      <c r="AV150" s="214"/>
      <c r="AW150" s="149"/>
      <c r="AX150" s="128"/>
      <c r="AY150" s="197" t="s">
        <v>1460</v>
      </c>
      <c r="AZ150" s="161" t="str">
        <f t="shared" si="104"/>
        <v>N</v>
      </c>
      <c r="BA150" s="161" t="str">
        <f t="shared" si="105"/>
        <v>N</v>
      </c>
      <c r="BB150" s="161" t="str">
        <f t="shared" si="106"/>
        <v>N</v>
      </c>
      <c r="BC150" s="161" t="str">
        <f t="shared" si="107"/>
        <v>N</v>
      </c>
      <c r="BD150" s="161" t="str">
        <f t="shared" si="108"/>
        <v>N</v>
      </c>
      <c r="BE150" s="161" t="str">
        <f t="shared" si="109"/>
        <v>Y</v>
      </c>
      <c r="BF150" s="161" t="str">
        <f t="shared" si="110"/>
        <v>N</v>
      </c>
      <c r="BG150" s="161" t="str">
        <f t="shared" si="111"/>
        <v>N</v>
      </c>
      <c r="BH150" s="161" t="str">
        <f t="shared" si="112"/>
        <v>N</v>
      </c>
      <c r="BI150" s="161" t="str">
        <f t="shared" si="113"/>
        <v>N</v>
      </c>
      <c r="BJ150" s="161" t="str">
        <f t="shared" si="114"/>
        <v>N</v>
      </c>
      <c r="BK150" s="161" t="str">
        <f t="shared" si="115"/>
        <v>N</v>
      </c>
      <c r="BL150" s="161" t="str">
        <f t="shared" si="116"/>
        <v>N</v>
      </c>
      <c r="BM150" s="161" t="str">
        <f t="shared" si="117"/>
        <v>Y</v>
      </c>
      <c r="BN150" s="176" t="str">
        <f t="shared" si="118"/>
        <v>N</v>
      </c>
      <c r="BO150" s="222" t="s">
        <v>363</v>
      </c>
      <c r="BP150" s="174" t="str">
        <f t="shared" si="119"/>
        <v>深交所主板</v>
      </c>
      <c r="BQ150" s="219" t="s">
        <v>317</v>
      </c>
      <c r="BR150" s="173">
        <f t="shared" si="120"/>
        <v>41274</v>
      </c>
      <c r="BS150" s="171" t="str">
        <f t="shared" si="121"/>
        <v>N</v>
      </c>
    </row>
    <row r="151" spans="1:163" ht="15" customHeight="1" x14ac:dyDescent="0.25">
      <c r="A151" s="31">
        <v>150</v>
      </c>
      <c r="B151" s="55" t="s">
        <v>1461</v>
      </c>
      <c r="C151" s="57" t="s">
        <v>1462</v>
      </c>
      <c r="D151" s="57" t="s">
        <v>313</v>
      </c>
      <c r="E151" s="57" t="s">
        <v>917</v>
      </c>
      <c r="F151" s="57" t="s">
        <v>1463</v>
      </c>
      <c r="G151" s="57" t="s">
        <v>326</v>
      </c>
      <c r="H151" s="32" t="s">
        <v>368</v>
      </c>
      <c r="I151" s="78">
        <v>43476</v>
      </c>
      <c r="J151" s="78">
        <v>43930</v>
      </c>
      <c r="K151" s="85">
        <v>43987</v>
      </c>
      <c r="L151" s="79" t="s">
        <v>1464</v>
      </c>
      <c r="M151" s="69" t="s">
        <v>1349</v>
      </c>
      <c r="N151" s="69">
        <v>2</v>
      </c>
      <c r="O151" s="69" t="s">
        <v>1305</v>
      </c>
      <c r="P151" s="69" t="s">
        <v>1315</v>
      </c>
      <c r="Q151" s="32" t="s">
        <v>479</v>
      </c>
      <c r="R151" s="85">
        <v>34389</v>
      </c>
      <c r="S151" s="197" t="s">
        <v>759</v>
      </c>
      <c r="T151" s="161" t="s">
        <v>317</v>
      </c>
      <c r="U151" s="69" t="str">
        <f t="shared" si="103"/>
        <v>N</v>
      </c>
      <c r="V151" s="57" t="s">
        <v>1022</v>
      </c>
      <c r="W151" s="197" t="s">
        <v>814</v>
      </c>
      <c r="X151" s="197" t="s">
        <v>334</v>
      </c>
      <c r="Y151" s="213">
        <v>60</v>
      </c>
      <c r="Z151" s="149"/>
      <c r="AA151" s="149"/>
      <c r="AB151" s="214"/>
      <c r="AC151" s="149"/>
      <c r="AD151" s="128"/>
      <c r="AE151" s="149"/>
      <c r="AF151" s="149"/>
      <c r="AG151" s="206"/>
      <c r="AH151" s="149"/>
      <c r="AI151" s="128"/>
      <c r="AJ151" s="149">
        <f>1.03*10000+40976005.77/10000</f>
        <v>14397.600577000001</v>
      </c>
      <c r="AK151" s="149">
        <f>1.03*10000</f>
        <v>10300</v>
      </c>
      <c r="AL151" s="214">
        <v>2015</v>
      </c>
      <c r="AM151" s="149">
        <f>21124.21</f>
        <v>21124.21</v>
      </c>
      <c r="AN151" s="128">
        <f>AK151/AM151</f>
        <v>0.48759219871417681</v>
      </c>
      <c r="AO151" s="149">
        <f>(77580324.37+29278006.3)/10000</f>
        <v>10685.833067</v>
      </c>
      <c r="AP151" s="149">
        <f>77580324.37/10000</f>
        <v>7758.0324370000008</v>
      </c>
      <c r="AQ151" s="57">
        <v>2015</v>
      </c>
      <c r="AR151" s="149">
        <f>15529.74</f>
        <v>15529.74</v>
      </c>
      <c r="AS151" s="128">
        <f>AP151/AR151</f>
        <v>0.49955971168866964</v>
      </c>
      <c r="AT151" s="149"/>
      <c r="AU151" s="149"/>
      <c r="AV151" s="214"/>
      <c r="AW151" s="149"/>
      <c r="AX151" s="128"/>
      <c r="AY151" s="197" t="s">
        <v>1465</v>
      </c>
      <c r="AZ151" s="161" t="str">
        <f t="shared" si="104"/>
        <v>N</v>
      </c>
      <c r="BA151" s="161" t="str">
        <f t="shared" si="105"/>
        <v>N</v>
      </c>
      <c r="BB151" s="161" t="str">
        <f t="shared" si="106"/>
        <v>N</v>
      </c>
      <c r="BC151" s="161" t="str">
        <f t="shared" si="107"/>
        <v>N</v>
      </c>
      <c r="BD151" s="161" t="str">
        <f t="shared" si="108"/>
        <v>N</v>
      </c>
      <c r="BE151" s="161" t="str">
        <f t="shared" si="109"/>
        <v>N</v>
      </c>
      <c r="BF151" s="161" t="str">
        <f t="shared" si="110"/>
        <v>N</v>
      </c>
      <c r="BG151" s="161" t="str">
        <f t="shared" si="111"/>
        <v>N</v>
      </c>
      <c r="BH151" s="161" t="str">
        <f t="shared" si="112"/>
        <v>N</v>
      </c>
      <c r="BI151" s="161" t="str">
        <f t="shared" si="113"/>
        <v>N</v>
      </c>
      <c r="BJ151" s="161" t="str">
        <f t="shared" si="114"/>
        <v>N</v>
      </c>
      <c r="BK151" s="161" t="str">
        <f t="shared" si="115"/>
        <v>N</v>
      </c>
      <c r="BL151" s="161" t="str">
        <f t="shared" si="116"/>
        <v>N</v>
      </c>
      <c r="BM151" s="161" t="str">
        <f t="shared" si="117"/>
        <v>N</v>
      </c>
      <c r="BN151" s="176" t="str">
        <f t="shared" si="118"/>
        <v>N</v>
      </c>
      <c r="BO151" s="222" t="s">
        <v>1189</v>
      </c>
      <c r="BP151" s="174" t="str">
        <f t="shared" si="119"/>
        <v>上交所主板</v>
      </c>
      <c r="BQ151" s="219" t="s">
        <v>317</v>
      </c>
      <c r="BR151" s="173">
        <f t="shared" si="120"/>
        <v>35430</v>
      </c>
      <c r="BS151" s="171" t="str">
        <f t="shared" si="121"/>
        <v>N</v>
      </c>
    </row>
    <row r="152" spans="1:163" ht="15" customHeight="1" x14ac:dyDescent="0.25">
      <c r="A152" s="31">
        <v>149</v>
      </c>
      <c r="B152" s="55" t="s">
        <v>1466</v>
      </c>
      <c r="C152" s="57" t="s">
        <v>1467</v>
      </c>
      <c r="D152" s="57" t="s">
        <v>426</v>
      </c>
      <c r="E152" s="57" t="s">
        <v>1147</v>
      </c>
      <c r="F152" s="57" t="s">
        <v>1468</v>
      </c>
      <c r="G152" s="57" t="s">
        <v>315</v>
      </c>
      <c r="H152" s="32" t="s">
        <v>327</v>
      </c>
      <c r="I152" s="78">
        <v>43489</v>
      </c>
      <c r="J152" s="78">
        <v>43913</v>
      </c>
      <c r="K152" s="85">
        <v>43938</v>
      </c>
      <c r="L152" s="194" t="s">
        <v>1469</v>
      </c>
      <c r="M152" s="69" t="s">
        <v>729</v>
      </c>
      <c r="N152" s="69">
        <v>4</v>
      </c>
      <c r="O152" s="69" t="s">
        <v>1314</v>
      </c>
      <c r="P152" s="69" t="s">
        <v>1470</v>
      </c>
      <c r="Q152" s="32" t="s">
        <v>1471</v>
      </c>
      <c r="R152" s="85">
        <v>40347</v>
      </c>
      <c r="S152" s="197" t="s">
        <v>1472</v>
      </c>
      <c r="T152" s="161" t="s">
        <v>317</v>
      </c>
      <c r="U152" s="69" t="str">
        <f t="shared" si="103"/>
        <v>Y</v>
      </c>
      <c r="V152" s="57" t="s">
        <v>434</v>
      </c>
      <c r="W152" s="197" t="s">
        <v>996</v>
      </c>
      <c r="X152" s="197" t="s">
        <v>334</v>
      </c>
      <c r="Y152" s="213">
        <v>60</v>
      </c>
      <c r="Z152" s="149">
        <f>45088.1+32497.22</f>
        <v>77585.320000000007</v>
      </c>
      <c r="AA152" s="149">
        <f>45088.1</f>
        <v>45088.1</v>
      </c>
      <c r="AB152" s="214">
        <v>2015</v>
      </c>
      <c r="AC152" s="149">
        <f>AA152/51.62%</f>
        <v>87346.183649748156</v>
      </c>
      <c r="AD152" s="128">
        <f>AA152/AC152</f>
        <v>0.51619999999999999</v>
      </c>
      <c r="AE152" s="149">
        <f>4138.19+5458.76+919.54+4177.61+878.05+610.71+1043.3</f>
        <v>17226.16</v>
      </c>
      <c r="AF152" s="149">
        <f>5458.76+919.54</f>
        <v>6378.3</v>
      </c>
      <c r="AG152" s="206">
        <v>2015</v>
      </c>
      <c r="AH152" s="149">
        <f>34988.65</f>
        <v>34988.65</v>
      </c>
      <c r="AI152" s="128">
        <f>AF152/AH152</f>
        <v>0.18229625892968149</v>
      </c>
      <c r="AJ152" s="149">
        <f>4461.35+6205.34+4987.67+610.71+1482.54+408.74</f>
        <v>18156.350000000002</v>
      </c>
      <c r="AK152" s="149">
        <f>6205.34</f>
        <v>6205.34</v>
      </c>
      <c r="AL152" s="214">
        <v>2015</v>
      </c>
      <c r="AM152" s="149">
        <f>578.37</f>
        <v>578.37</v>
      </c>
      <c r="AN152" s="128">
        <f>AK152/AM152</f>
        <v>10.729014298805263</v>
      </c>
      <c r="AO152" s="149"/>
      <c r="AP152" s="149"/>
      <c r="AQ152" s="57"/>
      <c r="AR152" s="149"/>
      <c r="AS152" s="128"/>
      <c r="AT152" s="149">
        <f>302198989/10000</f>
        <v>30219.8989</v>
      </c>
      <c r="AU152" s="149">
        <f>155372400/10000</f>
        <v>15537.24</v>
      </c>
      <c r="AV152" s="214">
        <v>2018</v>
      </c>
      <c r="AW152" s="149">
        <f>899936468.41/10000</f>
        <v>89993.646840999994</v>
      </c>
      <c r="AX152" s="128">
        <f>AU152/AW152</f>
        <v>0.17264818734872545</v>
      </c>
      <c r="AY152" s="197" t="s">
        <v>1473</v>
      </c>
      <c r="AZ152" s="161" t="str">
        <f t="shared" si="104"/>
        <v>N</v>
      </c>
      <c r="BA152" s="161" t="str">
        <f t="shared" si="105"/>
        <v>Y</v>
      </c>
      <c r="BB152" s="161" t="str">
        <f t="shared" si="106"/>
        <v>N</v>
      </c>
      <c r="BC152" s="161" t="str">
        <f t="shared" si="107"/>
        <v>N</v>
      </c>
      <c r="BD152" s="161" t="str">
        <f t="shared" si="108"/>
        <v>N</v>
      </c>
      <c r="BE152" s="161" t="str">
        <f t="shared" si="109"/>
        <v>Y</v>
      </c>
      <c r="BF152" s="161" t="str">
        <f t="shared" si="110"/>
        <v>Y</v>
      </c>
      <c r="BG152" s="161" t="str">
        <f t="shared" si="111"/>
        <v>N</v>
      </c>
      <c r="BH152" s="161" t="str">
        <f t="shared" si="112"/>
        <v>N</v>
      </c>
      <c r="BI152" s="161" t="str">
        <f t="shared" si="113"/>
        <v>N</v>
      </c>
      <c r="BJ152" s="161" t="str">
        <f t="shared" si="114"/>
        <v>N</v>
      </c>
      <c r="BK152" s="161" t="str">
        <f t="shared" si="115"/>
        <v>N</v>
      </c>
      <c r="BL152" s="161" t="str">
        <f t="shared" si="116"/>
        <v>N</v>
      </c>
      <c r="BM152" s="161" t="str">
        <f t="shared" si="117"/>
        <v>Y</v>
      </c>
      <c r="BN152" s="176" t="str">
        <f t="shared" si="118"/>
        <v>Y</v>
      </c>
      <c r="BO152" s="222" t="s">
        <v>833</v>
      </c>
      <c r="BP152" s="174" t="str">
        <f t="shared" si="119"/>
        <v>深交所创业板</v>
      </c>
      <c r="BQ152" s="219" t="s">
        <v>317</v>
      </c>
      <c r="BR152" s="173">
        <f t="shared" si="120"/>
        <v>41639</v>
      </c>
      <c r="BS152" s="171" t="str">
        <f t="shared" si="121"/>
        <v>N</v>
      </c>
    </row>
    <row r="153" spans="1:163" ht="15" customHeight="1" x14ac:dyDescent="0.25">
      <c r="A153" s="31">
        <v>148</v>
      </c>
      <c r="B153" s="55" t="s">
        <v>1474</v>
      </c>
      <c r="C153" s="57" t="s">
        <v>1475</v>
      </c>
      <c r="D153" s="57" t="s">
        <v>1476</v>
      </c>
      <c r="E153" s="57" t="s">
        <v>1477</v>
      </c>
      <c r="F153" s="57" t="s">
        <v>1478</v>
      </c>
      <c r="G153" s="57" t="s">
        <v>315</v>
      </c>
      <c r="H153" s="32" t="s">
        <v>368</v>
      </c>
      <c r="I153" s="78">
        <v>43567</v>
      </c>
      <c r="J153" s="78">
        <v>43903</v>
      </c>
      <c r="K153" s="85">
        <v>44104</v>
      </c>
      <c r="L153" s="79" t="s">
        <v>1479</v>
      </c>
      <c r="M153" s="69">
        <v>2016</v>
      </c>
      <c r="N153" s="69">
        <v>1</v>
      </c>
      <c r="O153" s="69" t="s">
        <v>1258</v>
      </c>
      <c r="P153" s="69" t="s">
        <v>1315</v>
      </c>
      <c r="Q153" s="32" t="s">
        <v>1480</v>
      </c>
      <c r="R153" s="85">
        <v>36745</v>
      </c>
      <c r="S153" s="197" t="s">
        <v>1041</v>
      </c>
      <c r="T153" s="161" t="s">
        <v>317</v>
      </c>
      <c r="U153" s="69" t="str">
        <f t="shared" si="103"/>
        <v>Y</v>
      </c>
      <c r="V153" s="57" t="s">
        <v>333</v>
      </c>
      <c r="W153" s="197" t="s">
        <v>444</v>
      </c>
      <c r="X153" s="197" t="s">
        <v>320</v>
      </c>
      <c r="Y153" s="213">
        <v>40</v>
      </c>
      <c r="Z153" s="149">
        <f>86298783.3/10000</f>
        <v>8629.8783299999996</v>
      </c>
      <c r="AA153" s="149">
        <f>86298783.3/10000</f>
        <v>8629.8783299999996</v>
      </c>
      <c r="AB153" s="214">
        <v>2016</v>
      </c>
      <c r="AC153" s="149">
        <f>39249.53-34756.29</f>
        <v>4493.239999999998</v>
      </c>
      <c r="AD153" s="128">
        <f>AA153/AC153</f>
        <v>1.9206359620229507</v>
      </c>
      <c r="AE153" s="149"/>
      <c r="AF153" s="149"/>
      <c r="AG153" s="206"/>
      <c r="AH153" s="149"/>
      <c r="AI153" s="128"/>
      <c r="AJ153" s="149"/>
      <c r="AK153" s="149"/>
      <c r="AL153" s="214"/>
      <c r="AM153" s="149"/>
      <c r="AN153" s="128"/>
      <c r="AO153" s="149"/>
      <c r="AP153" s="149"/>
      <c r="AQ153" s="57"/>
      <c r="AR153" s="149"/>
      <c r="AS153" s="128"/>
      <c r="AT153" s="149"/>
      <c r="AU153" s="149"/>
      <c r="AV153" s="214"/>
      <c r="AW153" s="149"/>
      <c r="AX153" s="128"/>
      <c r="AY153" s="197" t="s">
        <v>1481</v>
      </c>
      <c r="AZ153" s="161" t="str">
        <f t="shared" si="104"/>
        <v>N</v>
      </c>
      <c r="BA153" s="161" t="str">
        <f t="shared" si="105"/>
        <v>Y</v>
      </c>
      <c r="BB153" s="161" t="str">
        <f t="shared" si="106"/>
        <v>N</v>
      </c>
      <c r="BC153" s="161" t="str">
        <f t="shared" si="107"/>
        <v>N</v>
      </c>
      <c r="BD153" s="161" t="str">
        <f t="shared" si="108"/>
        <v>N</v>
      </c>
      <c r="BE153" s="161" t="str">
        <f t="shared" si="109"/>
        <v>N</v>
      </c>
      <c r="BF153" s="161" t="str">
        <f t="shared" si="110"/>
        <v>N</v>
      </c>
      <c r="BG153" s="161" t="str">
        <f t="shared" si="111"/>
        <v>N</v>
      </c>
      <c r="BH153" s="161" t="str">
        <f t="shared" si="112"/>
        <v>N</v>
      </c>
      <c r="BI153" s="161" t="str">
        <f t="shared" si="113"/>
        <v>N</v>
      </c>
      <c r="BJ153" s="161" t="str">
        <f t="shared" si="114"/>
        <v>N</v>
      </c>
      <c r="BK153" s="161" t="str">
        <f t="shared" si="115"/>
        <v>N</v>
      </c>
      <c r="BL153" s="161" t="str">
        <f t="shared" si="116"/>
        <v>N</v>
      </c>
      <c r="BM153" s="161" t="str">
        <f t="shared" si="117"/>
        <v>Y</v>
      </c>
      <c r="BN153" s="176" t="str">
        <f t="shared" si="118"/>
        <v>N</v>
      </c>
      <c r="BO153" s="222" t="s">
        <v>1482</v>
      </c>
      <c r="BP153" s="174" t="str">
        <f t="shared" si="119"/>
        <v>深交所主板</v>
      </c>
      <c r="BQ153" s="219" t="s">
        <v>317</v>
      </c>
      <c r="BR153" s="173">
        <f t="shared" si="120"/>
        <v>37621</v>
      </c>
      <c r="BS153" s="171" t="str">
        <f t="shared" si="121"/>
        <v>N</v>
      </c>
    </row>
    <row r="154" spans="1:163" ht="15" customHeight="1" x14ac:dyDescent="0.25">
      <c r="A154" s="31">
        <v>147</v>
      </c>
      <c r="B154" s="55" t="s">
        <v>1483</v>
      </c>
      <c r="C154" s="57" t="s">
        <v>1484</v>
      </c>
      <c r="D154" s="57" t="s">
        <v>313</v>
      </c>
      <c r="E154" s="57" t="s">
        <v>1485</v>
      </c>
      <c r="F154" s="57" t="s">
        <v>1486</v>
      </c>
      <c r="G154" s="57" t="s">
        <v>315</v>
      </c>
      <c r="H154" s="32" t="s">
        <v>327</v>
      </c>
      <c r="I154" s="78">
        <v>43118</v>
      </c>
      <c r="J154" s="78">
        <v>43899</v>
      </c>
      <c r="K154" s="85">
        <v>44125</v>
      </c>
      <c r="L154" s="194" t="s">
        <v>1487</v>
      </c>
      <c r="M154" s="69" t="s">
        <v>452</v>
      </c>
      <c r="N154" s="69">
        <v>1.5</v>
      </c>
      <c r="O154" s="69" t="str">
        <f>IF(N154&lt;1,"1年以内",IF(N154&lt;2,"1-2年",IF(N154&lt;3,"2-3年",IF(N154&lt;5,"3-5年","5年以上"))))</f>
        <v>1-2年</v>
      </c>
      <c r="P154" s="69" t="s">
        <v>1488</v>
      </c>
      <c r="Q154" s="32" t="s">
        <v>1489</v>
      </c>
      <c r="R154" s="85">
        <v>40337</v>
      </c>
      <c r="S154" s="197" t="s">
        <v>995</v>
      </c>
      <c r="T154" s="161" t="s">
        <v>317</v>
      </c>
      <c r="U154" s="69" t="str">
        <f t="shared" si="103"/>
        <v>Y</v>
      </c>
      <c r="V154" s="57" t="s">
        <v>607</v>
      </c>
      <c r="W154" s="197" t="s">
        <v>1282</v>
      </c>
      <c r="X154" s="197" t="s">
        <v>320</v>
      </c>
      <c r="Y154" s="213">
        <v>60</v>
      </c>
      <c r="Z154" s="149"/>
      <c r="AA154" s="149"/>
      <c r="AB154" s="214"/>
      <c r="AC154" s="149"/>
      <c r="AD154" s="128"/>
      <c r="AE154" s="149"/>
      <c r="AF154" s="149"/>
      <c r="AG154" s="206"/>
      <c r="AH154" s="149"/>
      <c r="AI154" s="128"/>
      <c r="AJ154" s="149"/>
      <c r="AK154" s="149"/>
      <c r="AL154" s="214"/>
      <c r="AM154" s="149"/>
      <c r="AN154" s="128"/>
      <c r="AO154" s="149"/>
      <c r="AP154" s="149"/>
      <c r="AQ154" s="57"/>
      <c r="AR154" s="149"/>
      <c r="AS154" s="128"/>
      <c r="AT154" s="149">
        <v>50700</v>
      </c>
      <c r="AU154" s="149">
        <v>38300</v>
      </c>
      <c r="AV154" s="214">
        <v>2018</v>
      </c>
      <c r="AW154" s="149">
        <v>74780.2</v>
      </c>
      <c r="AX154" s="128">
        <f>AU154/AW154</f>
        <v>0.51216765935367925</v>
      </c>
      <c r="AY154" s="197" t="s">
        <v>1490</v>
      </c>
      <c r="AZ154" s="161" t="str">
        <f t="shared" si="104"/>
        <v>N</v>
      </c>
      <c r="BA154" s="161" t="str">
        <f t="shared" si="105"/>
        <v>N</v>
      </c>
      <c r="BB154" s="161" t="str">
        <f t="shared" si="106"/>
        <v>N</v>
      </c>
      <c r="BC154" s="161" t="str">
        <f t="shared" si="107"/>
        <v>N</v>
      </c>
      <c r="BD154" s="161" t="str">
        <f t="shared" si="108"/>
        <v>N</v>
      </c>
      <c r="BE154" s="161" t="str">
        <f t="shared" si="109"/>
        <v>N</v>
      </c>
      <c r="BF154" s="161" t="str">
        <f t="shared" si="110"/>
        <v>N</v>
      </c>
      <c r="BG154" s="161" t="str">
        <f t="shared" si="111"/>
        <v>N</v>
      </c>
      <c r="BH154" s="161" t="str">
        <f t="shared" si="112"/>
        <v>N</v>
      </c>
      <c r="BI154" s="161" t="str">
        <f t="shared" si="113"/>
        <v>N</v>
      </c>
      <c r="BJ154" s="161" t="str">
        <f t="shared" si="114"/>
        <v>N</v>
      </c>
      <c r="BK154" s="161" t="str">
        <f t="shared" si="115"/>
        <v>Y</v>
      </c>
      <c r="BL154" s="161" t="str">
        <f t="shared" si="116"/>
        <v>N</v>
      </c>
      <c r="BM154" s="161" t="str">
        <f t="shared" si="117"/>
        <v>Y</v>
      </c>
      <c r="BN154" s="176" t="str">
        <f t="shared" si="118"/>
        <v>N</v>
      </c>
      <c r="BO154" s="222" t="s">
        <v>663</v>
      </c>
      <c r="BP154" s="174" t="str">
        <f t="shared" si="119"/>
        <v>深交所主板</v>
      </c>
      <c r="BQ154" s="219" t="s">
        <v>317</v>
      </c>
      <c r="BR154" s="173">
        <f t="shared" si="120"/>
        <v>41274</v>
      </c>
      <c r="BS154" s="171" t="str">
        <f t="shared" si="121"/>
        <v>N</v>
      </c>
    </row>
    <row r="155" spans="1:163" ht="15" customHeight="1" x14ac:dyDescent="0.25">
      <c r="A155" s="31">
        <v>146</v>
      </c>
      <c r="B155" s="55" t="s">
        <v>1491</v>
      </c>
      <c r="C155" s="57" t="s">
        <v>1492</v>
      </c>
      <c r="D155" s="57" t="s">
        <v>313</v>
      </c>
      <c r="E155" s="57" t="s">
        <v>314</v>
      </c>
      <c r="F155" s="57" t="s">
        <v>1493</v>
      </c>
      <c r="G155" s="57" t="s">
        <v>315</v>
      </c>
      <c r="H155" s="32" t="s">
        <v>368</v>
      </c>
      <c r="I155" s="78">
        <v>43216</v>
      </c>
      <c r="J155" s="78">
        <v>43885</v>
      </c>
      <c r="K155" s="78">
        <v>43931</v>
      </c>
      <c r="L155" s="194" t="s">
        <v>1494</v>
      </c>
      <c r="M155" s="69">
        <v>2017</v>
      </c>
      <c r="N155" s="69">
        <v>0.75</v>
      </c>
      <c r="O155" s="69" t="s">
        <v>1495</v>
      </c>
      <c r="P155" s="69" t="s">
        <v>1496</v>
      </c>
      <c r="Q155" s="32" t="s">
        <v>479</v>
      </c>
      <c r="R155" s="85">
        <v>39408</v>
      </c>
      <c r="S155" s="197" t="s">
        <v>822</v>
      </c>
      <c r="T155" s="161" t="s">
        <v>317</v>
      </c>
      <c r="U155" s="69" t="str">
        <f t="shared" si="103"/>
        <v>N</v>
      </c>
      <c r="V155" s="57" t="s">
        <v>318</v>
      </c>
      <c r="W155" s="197" t="s">
        <v>1023</v>
      </c>
      <c r="X155" s="197" t="s">
        <v>320</v>
      </c>
      <c r="Y155" s="213">
        <v>40</v>
      </c>
      <c r="Z155" s="149"/>
      <c r="AA155" s="149"/>
      <c r="AB155" s="214"/>
      <c r="AC155" s="149"/>
      <c r="AD155" s="128"/>
      <c r="AE155" s="149">
        <f>43936446.57/10000</f>
        <v>4393.6446569999998</v>
      </c>
      <c r="AF155" s="149">
        <f>43936446.57/10000</f>
        <v>4393.6446569999998</v>
      </c>
      <c r="AG155" s="206">
        <v>2017</v>
      </c>
      <c r="AH155" s="149">
        <f>59067.96</f>
        <v>59067.96</v>
      </c>
      <c r="AI155" s="128">
        <f>AF155/AH155</f>
        <v>7.4382874522837761E-2</v>
      </c>
      <c r="AJ155" s="149"/>
      <c r="AK155" s="149"/>
      <c r="AL155" s="214"/>
      <c r="AM155" s="149"/>
      <c r="AN155" s="128"/>
      <c r="AO155" s="149">
        <f>34938845.85/10000</f>
        <v>3493.8845850000002</v>
      </c>
      <c r="AP155" s="149">
        <f>34938845.85/10000</f>
        <v>3493.8845850000002</v>
      </c>
      <c r="AQ155" s="57">
        <v>2017</v>
      </c>
      <c r="AR155" s="149">
        <f>-203342.36</f>
        <v>-203342.36</v>
      </c>
      <c r="AS155" s="128">
        <f>AP155/AR155</f>
        <v>-1.7182276162232012E-2</v>
      </c>
      <c r="AT155" s="149"/>
      <c r="AU155" s="149"/>
      <c r="AV155" s="214"/>
      <c r="AW155" s="149"/>
      <c r="AX155" s="128"/>
      <c r="AY155" s="197" t="s">
        <v>1497</v>
      </c>
      <c r="AZ155" s="161" t="str">
        <f t="shared" si="104"/>
        <v>N</v>
      </c>
      <c r="BA155" s="161" t="str">
        <f t="shared" si="105"/>
        <v>N</v>
      </c>
      <c r="BB155" s="161" t="str">
        <f t="shared" si="106"/>
        <v>N</v>
      </c>
      <c r="BC155" s="161" t="str">
        <f t="shared" si="107"/>
        <v>N</v>
      </c>
      <c r="BD155" s="161" t="str">
        <f t="shared" si="108"/>
        <v>N</v>
      </c>
      <c r="BE155" s="161" t="str">
        <f t="shared" si="109"/>
        <v>N</v>
      </c>
      <c r="BF155" s="161" t="str">
        <f t="shared" si="110"/>
        <v>N</v>
      </c>
      <c r="BG155" s="161" t="str">
        <f t="shared" si="111"/>
        <v>N</v>
      </c>
      <c r="BH155" s="161" t="str">
        <f t="shared" si="112"/>
        <v>N</v>
      </c>
      <c r="BI155" s="161" t="str">
        <f t="shared" si="113"/>
        <v>N</v>
      </c>
      <c r="BJ155" s="161" t="str">
        <f t="shared" si="114"/>
        <v>N</v>
      </c>
      <c r="BK155" s="161" t="str">
        <f t="shared" si="115"/>
        <v>N</v>
      </c>
      <c r="BL155" s="161" t="str">
        <f t="shared" si="116"/>
        <v>N</v>
      </c>
      <c r="BM155" s="161" t="str">
        <f t="shared" si="117"/>
        <v>N</v>
      </c>
      <c r="BN155" s="176" t="str">
        <f t="shared" si="118"/>
        <v>N</v>
      </c>
      <c r="BO155" s="222" t="s">
        <v>1498</v>
      </c>
      <c r="BP155" s="174" t="str">
        <f t="shared" si="119"/>
        <v>深交所主板</v>
      </c>
      <c r="BQ155" s="219" t="s">
        <v>317</v>
      </c>
      <c r="BR155" s="173">
        <f t="shared" si="120"/>
        <v>40178</v>
      </c>
      <c r="BS155" s="171" t="str">
        <f t="shared" si="121"/>
        <v>N</v>
      </c>
    </row>
    <row r="156" spans="1:163" ht="15" customHeight="1" x14ac:dyDescent="0.35">
      <c r="A156" s="31">
        <v>145</v>
      </c>
      <c r="B156" s="32" t="s">
        <v>1499</v>
      </c>
      <c r="C156" s="23" t="s">
        <v>1500</v>
      </c>
      <c r="D156" s="44" t="s">
        <v>1476</v>
      </c>
      <c r="E156" s="44" t="s">
        <v>1501</v>
      </c>
      <c r="F156" s="190" t="s">
        <v>1502</v>
      </c>
      <c r="G156" s="42" t="s">
        <v>315</v>
      </c>
      <c r="H156" s="32" t="s">
        <v>327</v>
      </c>
      <c r="I156" s="78">
        <v>43720</v>
      </c>
      <c r="J156" s="78">
        <v>43843</v>
      </c>
      <c r="K156" s="78">
        <v>43843</v>
      </c>
      <c r="L156" s="79" t="s">
        <v>1503</v>
      </c>
      <c r="M156" s="198">
        <v>2018</v>
      </c>
      <c r="N156" s="23">
        <v>1</v>
      </c>
      <c r="O156" s="69" t="str">
        <f>IF(N156&lt;1,"1年以内",IF(N156&lt;2,"1-2年",IF(N156&lt;3,"2-3年",IF(N156&lt;5,"3-5年","5年以上"))))</f>
        <v>1-2年</v>
      </c>
      <c r="P156" s="69" t="s">
        <v>382</v>
      </c>
      <c r="Q156" s="191" t="s">
        <v>371</v>
      </c>
      <c r="R156" s="80">
        <v>40773</v>
      </c>
      <c r="S156" s="44" t="s">
        <v>555</v>
      </c>
      <c r="T156" s="207" t="s">
        <v>345</v>
      </c>
      <c r="U156" s="69" t="str">
        <f t="shared" si="103"/>
        <v>Y</v>
      </c>
      <c r="V156" s="44" t="s">
        <v>361</v>
      </c>
      <c r="W156" s="208" t="s">
        <v>361</v>
      </c>
      <c r="X156" s="44" t="s">
        <v>320</v>
      </c>
      <c r="Y156" s="215">
        <v>40</v>
      </c>
      <c r="Z156" s="216"/>
      <c r="AA156" s="148"/>
      <c r="AB156" s="44"/>
      <c r="AC156" s="148"/>
      <c r="AD156" s="148"/>
      <c r="AE156" s="148"/>
      <c r="AF156" s="148"/>
      <c r="AG156" s="218"/>
      <c r="AH156" s="148"/>
      <c r="AI156" s="128"/>
      <c r="AJ156" s="148"/>
      <c r="AK156" s="148"/>
      <c r="AL156" s="218"/>
      <c r="AM156" s="148"/>
      <c r="AN156" s="128"/>
      <c r="AO156" s="148"/>
      <c r="AP156" s="148"/>
      <c r="AQ156" s="44"/>
      <c r="AR156" s="148"/>
      <c r="AS156" s="128"/>
      <c r="AT156" s="148">
        <f>(2.88+8)*10000</f>
        <v>108799.99999999999</v>
      </c>
      <c r="AU156" s="148">
        <f>(2.88+8)*10000</f>
        <v>108799.99999999999</v>
      </c>
      <c r="AV156" s="218">
        <v>2018</v>
      </c>
      <c r="AW156" s="148">
        <f>15065572525.69/10000</f>
        <v>1506557.252569</v>
      </c>
      <c r="AX156" s="159">
        <f>AU156/AW156</f>
        <v>7.2217633823389638E-2</v>
      </c>
      <c r="AY156" s="198" t="s">
        <v>1504</v>
      </c>
      <c r="AZ156" s="161" t="str">
        <f t="shared" si="104"/>
        <v>N</v>
      </c>
      <c r="BA156" s="161" t="str">
        <f t="shared" si="105"/>
        <v>N</v>
      </c>
      <c r="BB156" s="161" t="str">
        <f t="shared" si="106"/>
        <v>N</v>
      </c>
      <c r="BC156" s="161" t="str">
        <f t="shared" si="107"/>
        <v>N</v>
      </c>
      <c r="BD156" s="161" t="str">
        <f t="shared" si="108"/>
        <v>N</v>
      </c>
      <c r="BE156" s="161" t="str">
        <f t="shared" si="109"/>
        <v>N</v>
      </c>
      <c r="BF156" s="161" t="str">
        <f t="shared" si="110"/>
        <v>N</v>
      </c>
      <c r="BG156" s="161" t="str">
        <f t="shared" si="111"/>
        <v>N</v>
      </c>
      <c r="BH156" s="161" t="str">
        <f t="shared" si="112"/>
        <v>N</v>
      </c>
      <c r="BI156" s="161" t="str">
        <f t="shared" si="113"/>
        <v>N</v>
      </c>
      <c r="BJ156" s="161" t="str">
        <f t="shared" si="114"/>
        <v>Y</v>
      </c>
      <c r="BK156" s="161" t="str">
        <f t="shared" si="115"/>
        <v>N</v>
      </c>
      <c r="BL156" s="161" t="str">
        <f t="shared" si="116"/>
        <v>Y</v>
      </c>
      <c r="BM156" s="161" t="str">
        <f t="shared" si="117"/>
        <v>N</v>
      </c>
      <c r="BN156" s="176" t="str">
        <f t="shared" si="118"/>
        <v>N</v>
      </c>
      <c r="BO156" s="170" t="s">
        <v>1505</v>
      </c>
      <c r="BP156" s="174" t="str">
        <f t="shared" si="119"/>
        <v>深交所主板</v>
      </c>
      <c r="BQ156" s="172" t="s">
        <v>345</v>
      </c>
      <c r="BR156" s="173">
        <f t="shared" si="120"/>
        <v>41639</v>
      </c>
      <c r="BS156" s="171" t="str">
        <f t="shared" si="121"/>
        <v>N</v>
      </c>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row>
    <row r="157" spans="1:163" ht="15" customHeight="1" x14ac:dyDescent="0.25">
      <c r="A157" s="31">
        <v>144</v>
      </c>
      <c r="B157" s="55" t="s">
        <v>1506</v>
      </c>
      <c r="C157" s="57" t="s">
        <v>1507</v>
      </c>
      <c r="D157" s="57" t="s">
        <v>1508</v>
      </c>
      <c r="E157" s="57" t="s">
        <v>1509</v>
      </c>
      <c r="F157" s="57" t="s">
        <v>1510</v>
      </c>
      <c r="G157" s="57" t="s">
        <v>315</v>
      </c>
      <c r="H157" s="32" t="s">
        <v>429</v>
      </c>
      <c r="I157" s="78">
        <v>43678</v>
      </c>
      <c r="J157" s="78">
        <v>43843</v>
      </c>
      <c r="K157" s="85">
        <v>43965</v>
      </c>
      <c r="L157" s="194" t="s">
        <v>1511</v>
      </c>
      <c r="M157" s="69">
        <v>2018</v>
      </c>
      <c r="N157" s="69">
        <v>0.75</v>
      </c>
      <c r="O157" s="69" t="s">
        <v>1495</v>
      </c>
      <c r="P157" s="69" t="s">
        <v>1512</v>
      </c>
      <c r="Q157" s="32" t="s">
        <v>371</v>
      </c>
      <c r="R157" s="85">
        <v>41642</v>
      </c>
      <c r="S157" s="197" t="s">
        <v>421</v>
      </c>
      <c r="T157" s="161" t="s">
        <v>317</v>
      </c>
      <c r="U157" s="69" t="str">
        <f t="shared" si="103"/>
        <v>Y</v>
      </c>
      <c r="V157" s="57" t="s">
        <v>607</v>
      </c>
      <c r="W157" s="197" t="s">
        <v>1513</v>
      </c>
      <c r="X157" s="197" t="s">
        <v>320</v>
      </c>
      <c r="Y157" s="213">
        <v>30</v>
      </c>
      <c r="Z157" s="149">
        <f>(1291+20791.34+20000+3000+3276+24385.06+20000+8500)</f>
        <v>101243.4</v>
      </c>
      <c r="AA157" s="149">
        <f>3276+24385.06+20000+8500</f>
        <v>56161.06</v>
      </c>
      <c r="AB157" s="214">
        <v>2018</v>
      </c>
      <c r="AC157" s="149">
        <f>437444.09-149122.53</f>
        <v>288321.56000000006</v>
      </c>
      <c r="AD157" s="128">
        <f>AA157/AC157</f>
        <v>0.19478619635659569</v>
      </c>
      <c r="AE157" s="149"/>
      <c r="AF157" s="149"/>
      <c r="AG157" s="206"/>
      <c r="AH157" s="149"/>
      <c r="AI157" s="128"/>
      <c r="AJ157" s="149">
        <f>928.85+867.12</f>
        <v>1795.97</v>
      </c>
      <c r="AK157" s="149">
        <v>928.85</v>
      </c>
      <c r="AL157" s="214">
        <v>2018</v>
      </c>
      <c r="AM157" s="149">
        <v>27504.639999999999</v>
      </c>
      <c r="AN157" s="128">
        <f>AK157/AM157</f>
        <v>3.377066560405808E-2</v>
      </c>
      <c r="AO157" s="149"/>
      <c r="AP157" s="149"/>
      <c r="AQ157" s="57"/>
      <c r="AR157" s="149"/>
      <c r="AS157" s="128"/>
      <c r="AT157" s="149">
        <f>53375+26474</f>
        <v>79849</v>
      </c>
      <c r="AU157" s="149">
        <v>79849</v>
      </c>
      <c r="AV157" s="214">
        <v>2018</v>
      </c>
      <c r="AW157" s="149">
        <f>437444.09-149122.53</f>
        <v>288321.56000000006</v>
      </c>
      <c r="AX157" s="128">
        <f>AU157/AW157</f>
        <v>0.27694425626720381</v>
      </c>
      <c r="AY157" s="197" t="s">
        <v>1514</v>
      </c>
      <c r="AZ157" s="161" t="str">
        <f t="shared" si="104"/>
        <v>Y</v>
      </c>
      <c r="BA157" s="161" t="str">
        <f t="shared" si="105"/>
        <v>N</v>
      </c>
      <c r="BB157" s="161" t="str">
        <f t="shared" si="106"/>
        <v>N</v>
      </c>
      <c r="BC157" s="161" t="str">
        <f t="shared" si="107"/>
        <v>N</v>
      </c>
      <c r="BD157" s="161" t="str">
        <f t="shared" si="108"/>
        <v>N</v>
      </c>
      <c r="BE157" s="161" t="str">
        <f t="shared" si="109"/>
        <v>N</v>
      </c>
      <c r="BF157" s="161" t="str">
        <f t="shared" si="110"/>
        <v>N</v>
      </c>
      <c r="BG157" s="161" t="str">
        <f t="shared" si="111"/>
        <v>N</v>
      </c>
      <c r="BH157" s="161" t="str">
        <f t="shared" si="112"/>
        <v>N</v>
      </c>
      <c r="BI157" s="161" t="str">
        <f t="shared" si="113"/>
        <v>N</v>
      </c>
      <c r="BJ157" s="161" t="str">
        <f t="shared" si="114"/>
        <v>N</v>
      </c>
      <c r="BK157" s="161" t="str">
        <f t="shared" si="115"/>
        <v>N</v>
      </c>
      <c r="BL157" s="161" t="str">
        <f t="shared" si="116"/>
        <v>Y</v>
      </c>
      <c r="BM157" s="161" t="str">
        <f t="shared" si="117"/>
        <v>N</v>
      </c>
      <c r="BN157" s="176" t="str">
        <f t="shared" si="118"/>
        <v>N</v>
      </c>
      <c r="BO157" s="222" t="s">
        <v>886</v>
      </c>
      <c r="BP157" s="174" t="str">
        <f t="shared" si="119"/>
        <v>深交所创业板</v>
      </c>
      <c r="BQ157" s="219" t="s">
        <v>317</v>
      </c>
      <c r="BR157" s="173">
        <f t="shared" si="120"/>
        <v>43100</v>
      </c>
      <c r="BS157" s="171" t="str">
        <f t="shared" si="121"/>
        <v>N</v>
      </c>
    </row>
    <row r="158" spans="1:163" ht="15" customHeight="1" x14ac:dyDescent="0.35">
      <c r="A158" s="31">
        <v>143</v>
      </c>
      <c r="B158" s="32" t="s">
        <v>1515</v>
      </c>
      <c r="C158" s="23" t="s">
        <v>1516</v>
      </c>
      <c r="D158" s="44" t="s">
        <v>1344</v>
      </c>
      <c r="E158" s="44" t="s">
        <v>1517</v>
      </c>
      <c r="F158" s="190" t="s">
        <v>1518</v>
      </c>
      <c r="G158" s="42" t="s">
        <v>315</v>
      </c>
      <c r="H158" s="32" t="s">
        <v>602</v>
      </c>
      <c r="I158" s="78">
        <v>43552</v>
      </c>
      <c r="J158" s="78">
        <v>43837</v>
      </c>
      <c r="K158" s="78">
        <v>43837</v>
      </c>
      <c r="L158" s="79" t="s">
        <v>1519</v>
      </c>
      <c r="M158" s="198">
        <v>2018</v>
      </c>
      <c r="N158" s="23">
        <v>0.5</v>
      </c>
      <c r="O158" s="69" t="str">
        <f>IF(N158&lt;1,"1年以内",IF(N158&lt;2,"1-2年",IF(N158&lt;3,"2-3年",IF(N158&lt;5,"3-5年","5年以上"))))</f>
        <v>1年以内</v>
      </c>
      <c r="P158" s="69" t="s">
        <v>906</v>
      </c>
      <c r="Q158" s="191" t="s">
        <v>1143</v>
      </c>
      <c r="R158" s="80">
        <v>42482</v>
      </c>
      <c r="S158" s="44" t="s">
        <v>669</v>
      </c>
      <c r="T158" s="207" t="s">
        <v>345</v>
      </c>
      <c r="U158" s="69" t="str">
        <f t="shared" si="103"/>
        <v>Y</v>
      </c>
      <c r="V158" s="44" t="s">
        <v>361</v>
      </c>
      <c r="W158" s="208" t="s">
        <v>361</v>
      </c>
      <c r="X158" s="44" t="s">
        <v>334</v>
      </c>
      <c r="Y158" s="215">
        <v>60</v>
      </c>
      <c r="Z158" s="216"/>
      <c r="AA158" s="148"/>
      <c r="AB158" s="44"/>
      <c r="AC158" s="148"/>
      <c r="AD158" s="148"/>
      <c r="AE158" s="148"/>
      <c r="AF158" s="148"/>
      <c r="AG158" s="218"/>
      <c r="AH158" s="148"/>
      <c r="AI158" s="128"/>
      <c r="AJ158" s="148"/>
      <c r="AK158" s="148"/>
      <c r="AL158" s="218"/>
      <c r="AM158" s="148"/>
      <c r="AN158" s="128"/>
      <c r="AO158" s="148"/>
      <c r="AP158" s="148"/>
      <c r="AQ158" s="44"/>
      <c r="AR158" s="148"/>
      <c r="AS158" s="128"/>
      <c r="AT158" s="148">
        <f>(760000000+675227777.81)/10000</f>
        <v>143522.77778099998</v>
      </c>
      <c r="AU158" s="148">
        <f>(760000000+675227777.81)/10000</f>
        <v>143522.77778099998</v>
      </c>
      <c r="AV158" s="218">
        <v>2018</v>
      </c>
      <c r="AW158" s="148">
        <f>8067408135.7/10000</f>
        <v>806740.81357</v>
      </c>
      <c r="AX158" s="159">
        <f>AU158/AW158</f>
        <v>0.17790444634365418</v>
      </c>
      <c r="AY158" s="198" t="s">
        <v>1520</v>
      </c>
      <c r="AZ158" s="161" t="str">
        <f t="shared" si="104"/>
        <v>N</v>
      </c>
      <c r="BA158" s="161" t="str">
        <f t="shared" si="105"/>
        <v>N</v>
      </c>
      <c r="BB158" s="161" t="str">
        <f t="shared" si="106"/>
        <v>N</v>
      </c>
      <c r="BC158" s="161" t="str">
        <f t="shared" si="107"/>
        <v>N</v>
      </c>
      <c r="BD158" s="161" t="str">
        <f t="shared" si="108"/>
        <v>N</v>
      </c>
      <c r="BE158" s="161" t="str">
        <f t="shared" si="109"/>
        <v>N</v>
      </c>
      <c r="BF158" s="161" t="str">
        <f t="shared" si="110"/>
        <v>N</v>
      </c>
      <c r="BG158" s="161" t="str">
        <f t="shared" si="111"/>
        <v>N</v>
      </c>
      <c r="BH158" s="161" t="str">
        <f t="shared" si="112"/>
        <v>N</v>
      </c>
      <c r="BI158" s="161" t="str">
        <f t="shared" si="113"/>
        <v>N</v>
      </c>
      <c r="BJ158" s="161" t="str">
        <f t="shared" si="114"/>
        <v>Y</v>
      </c>
      <c r="BK158" s="161" t="str">
        <f t="shared" si="115"/>
        <v>N</v>
      </c>
      <c r="BL158" s="161" t="str">
        <f t="shared" si="116"/>
        <v>Y</v>
      </c>
      <c r="BM158" s="161" t="str">
        <f t="shared" si="117"/>
        <v>N</v>
      </c>
      <c r="BN158" s="176" t="str">
        <f t="shared" si="118"/>
        <v>N</v>
      </c>
      <c r="BO158" s="170" t="s">
        <v>1521</v>
      </c>
      <c r="BP158" s="174" t="str">
        <f t="shared" si="119"/>
        <v>深交所主板</v>
      </c>
      <c r="BQ158" s="172" t="s">
        <v>345</v>
      </c>
      <c r="BR158" s="173">
        <f t="shared" si="120"/>
        <v>43465</v>
      </c>
      <c r="BS158" s="171" t="str">
        <f t="shared" si="121"/>
        <v>N</v>
      </c>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row>
    <row r="159" spans="1:163" ht="15" customHeight="1" x14ac:dyDescent="0.35">
      <c r="A159" s="31">
        <v>142</v>
      </c>
      <c r="B159" s="32" t="s">
        <v>1522</v>
      </c>
      <c r="C159" s="23" t="s">
        <v>1523</v>
      </c>
      <c r="D159" s="44" t="s">
        <v>351</v>
      </c>
      <c r="E159" s="44" t="s">
        <v>484</v>
      </c>
      <c r="F159" s="190" t="s">
        <v>1524</v>
      </c>
      <c r="G159" s="42" t="s">
        <v>315</v>
      </c>
      <c r="H159" s="32" t="s">
        <v>368</v>
      </c>
      <c r="I159" s="78">
        <v>43473</v>
      </c>
      <c r="J159" s="78">
        <v>43826</v>
      </c>
      <c r="K159" s="78">
        <v>43928</v>
      </c>
      <c r="L159" s="79" t="s">
        <v>1525</v>
      </c>
      <c r="M159" s="198" t="s">
        <v>748</v>
      </c>
      <c r="N159" s="23">
        <v>1.5</v>
      </c>
      <c r="O159" s="69" t="str">
        <f>IF(N159&lt;1,"1年以内",IF(N159&lt;2,"1-2年",IF(N159&lt;3,"2-3年",IF(N159&lt;5,"3-5年","5年以上"))))</f>
        <v>1-2年</v>
      </c>
      <c r="P159" s="69" t="s">
        <v>1526</v>
      </c>
      <c r="Q159" s="191" t="s">
        <v>358</v>
      </c>
      <c r="R159" s="80">
        <v>40515</v>
      </c>
      <c r="S159" s="44" t="s">
        <v>463</v>
      </c>
      <c r="T159" s="207" t="s">
        <v>317</v>
      </c>
      <c r="U159" s="69" t="str">
        <f t="shared" si="103"/>
        <v>N</v>
      </c>
      <c r="V159" s="44" t="s">
        <v>361</v>
      </c>
      <c r="W159" s="208" t="s">
        <v>361</v>
      </c>
      <c r="X159" s="44" t="s">
        <v>334</v>
      </c>
      <c r="Y159" s="229">
        <v>50</v>
      </c>
      <c r="Z159" s="216"/>
      <c r="AA159" s="148"/>
      <c r="AB159" s="44"/>
      <c r="AC159" s="148"/>
      <c r="AD159" s="148"/>
      <c r="AE159" s="148"/>
      <c r="AF159" s="148"/>
      <c r="AG159" s="218"/>
      <c r="AH159" s="147"/>
      <c r="AI159" s="128"/>
      <c r="AJ159" s="148"/>
      <c r="AK159" s="148"/>
      <c r="AL159" s="218"/>
      <c r="AM159" s="148"/>
      <c r="AN159" s="128"/>
      <c r="AO159" s="148"/>
      <c r="AP159" s="148"/>
      <c r="AQ159" s="44"/>
      <c r="AR159" s="148"/>
      <c r="AS159" s="128"/>
      <c r="AT159" s="148">
        <f>(357238261.32+244419477.1)/10000</f>
        <v>60165.773841999995</v>
      </c>
      <c r="AU159" s="148">
        <f>357238261.32/10000</f>
        <v>35723.826132000002</v>
      </c>
      <c r="AV159" s="218">
        <v>2016</v>
      </c>
      <c r="AW159" s="148">
        <f>2510887599.31/10000</f>
        <v>251088.75993100001</v>
      </c>
      <c r="AX159" s="159">
        <f>AU159/AW159</f>
        <v>0.14227568825389486</v>
      </c>
      <c r="AY159" s="198" t="s">
        <v>1527</v>
      </c>
      <c r="AZ159" s="161" t="str">
        <f t="shared" si="104"/>
        <v>N</v>
      </c>
      <c r="BA159" s="161" t="str">
        <f t="shared" si="105"/>
        <v>N</v>
      </c>
      <c r="BB159" s="161" t="str">
        <f t="shared" si="106"/>
        <v>N</v>
      </c>
      <c r="BC159" s="161" t="str">
        <f t="shared" si="107"/>
        <v>N</v>
      </c>
      <c r="BD159" s="161" t="str">
        <f t="shared" si="108"/>
        <v>N</v>
      </c>
      <c r="BE159" s="161" t="str">
        <f t="shared" si="109"/>
        <v>N</v>
      </c>
      <c r="BF159" s="161" t="str">
        <f t="shared" si="110"/>
        <v>N</v>
      </c>
      <c r="BG159" s="161" t="str">
        <f t="shared" si="111"/>
        <v>N</v>
      </c>
      <c r="BH159" s="161" t="str">
        <f t="shared" si="112"/>
        <v>N</v>
      </c>
      <c r="BI159" s="161" t="str">
        <f t="shared" si="113"/>
        <v>N</v>
      </c>
      <c r="BJ159" s="161" t="str">
        <f t="shared" si="114"/>
        <v>N</v>
      </c>
      <c r="BK159" s="161" t="str">
        <f t="shared" si="115"/>
        <v>N</v>
      </c>
      <c r="BL159" s="161" t="str">
        <f t="shared" si="116"/>
        <v>N</v>
      </c>
      <c r="BM159" s="161" t="str">
        <f t="shared" si="117"/>
        <v>N</v>
      </c>
      <c r="BN159" s="176" t="str">
        <f t="shared" si="118"/>
        <v>N</v>
      </c>
      <c r="BO159" s="170" t="s">
        <v>386</v>
      </c>
      <c r="BP159" s="174" t="str">
        <f t="shared" si="119"/>
        <v>深交所主板</v>
      </c>
      <c r="BQ159" s="172" t="s">
        <v>317</v>
      </c>
      <c r="BR159" s="173">
        <f t="shared" si="120"/>
        <v>41274</v>
      </c>
      <c r="BS159" s="171" t="str">
        <f t="shared" si="121"/>
        <v>N</v>
      </c>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row>
    <row r="160" spans="1:163" ht="15" customHeight="1" x14ac:dyDescent="0.35">
      <c r="A160" s="31">
        <v>141</v>
      </c>
      <c r="B160" s="32" t="s">
        <v>1528</v>
      </c>
      <c r="C160" s="23" t="s">
        <v>1529</v>
      </c>
      <c r="D160" s="44" t="s">
        <v>1066</v>
      </c>
      <c r="E160" s="44" t="s">
        <v>1530</v>
      </c>
      <c r="F160" s="190" t="s">
        <v>1531</v>
      </c>
      <c r="G160" s="42" t="s">
        <v>380</v>
      </c>
      <c r="H160" s="32" t="s">
        <v>327</v>
      </c>
      <c r="I160" s="78">
        <v>43229</v>
      </c>
      <c r="J160" s="78">
        <v>43815</v>
      </c>
      <c r="K160" s="78">
        <v>43892</v>
      </c>
      <c r="L160" s="79" t="s">
        <v>1532</v>
      </c>
      <c r="M160" s="198">
        <v>2017</v>
      </c>
      <c r="N160" s="23">
        <v>1</v>
      </c>
      <c r="O160" s="69" t="str">
        <f>IF(N160&lt;1,"1年以内",IF(N160&lt;2,"1-2年",IF(N160&lt;3,"2-3年",IF(N160&lt;5,"3-5年","5年以上"))))</f>
        <v>1-2年</v>
      </c>
      <c r="P160" s="69" t="s">
        <v>1533</v>
      </c>
      <c r="Q160" s="191" t="s">
        <v>1534</v>
      </c>
      <c r="R160" s="80">
        <v>33821</v>
      </c>
      <c r="S160" s="44" t="s">
        <v>463</v>
      </c>
      <c r="T160" s="207" t="s">
        <v>317</v>
      </c>
      <c r="U160" s="69" t="str">
        <f t="shared" si="103"/>
        <v>Y</v>
      </c>
      <c r="V160" s="44" t="s">
        <v>361</v>
      </c>
      <c r="W160" s="208" t="s">
        <v>361</v>
      </c>
      <c r="X160" s="44" t="s">
        <v>320</v>
      </c>
      <c r="Y160" s="229">
        <v>40</v>
      </c>
      <c r="Z160" s="216"/>
      <c r="AA160" s="148"/>
      <c r="AB160" s="44"/>
      <c r="AC160" s="148"/>
      <c r="AD160" s="128"/>
      <c r="AE160" s="148"/>
      <c r="AF160" s="148"/>
      <c r="AG160" s="218"/>
      <c r="AH160" s="147"/>
      <c r="AI160" s="128"/>
      <c r="AJ160" s="148"/>
      <c r="AK160" s="148"/>
      <c r="AL160" s="218"/>
      <c r="AM160" s="148"/>
      <c r="AN160" s="128"/>
      <c r="AO160" s="148"/>
      <c r="AP160" s="148"/>
      <c r="AQ160" s="44"/>
      <c r="AR160" s="148"/>
      <c r="AS160" s="128"/>
      <c r="AT160" s="148">
        <f>(89380000-67999609.34)/10000</f>
        <v>2138.0390659999998</v>
      </c>
      <c r="AU160" s="148">
        <f>(89380000-67999609.34)/10000</f>
        <v>2138.0390659999998</v>
      </c>
      <c r="AV160" s="218">
        <v>2017</v>
      </c>
      <c r="AW160" s="148">
        <f>35056205.46/10000</f>
        <v>3505.6205460000001</v>
      </c>
      <c r="AX160" s="159">
        <f>AU160/AW160</f>
        <v>0.6098889021059497</v>
      </c>
      <c r="AY160" s="198" t="s">
        <v>1535</v>
      </c>
      <c r="AZ160" s="161" t="str">
        <f t="shared" si="104"/>
        <v>N</v>
      </c>
      <c r="BA160" s="161" t="str">
        <f t="shared" si="105"/>
        <v>N</v>
      </c>
      <c r="BB160" s="161" t="str">
        <f t="shared" si="106"/>
        <v>N</v>
      </c>
      <c r="BC160" s="161" t="str">
        <f t="shared" si="107"/>
        <v>N</v>
      </c>
      <c r="BD160" s="161" t="str">
        <f t="shared" si="108"/>
        <v>N</v>
      </c>
      <c r="BE160" s="161" t="str">
        <f t="shared" si="109"/>
        <v>N</v>
      </c>
      <c r="BF160" s="161" t="str">
        <f t="shared" si="110"/>
        <v>N</v>
      </c>
      <c r="BG160" s="161" t="str">
        <f t="shared" si="111"/>
        <v>N</v>
      </c>
      <c r="BH160" s="161" t="str">
        <f t="shared" si="112"/>
        <v>N</v>
      </c>
      <c r="BI160" s="161" t="str">
        <f t="shared" si="113"/>
        <v>N</v>
      </c>
      <c r="BJ160" s="161" t="str">
        <f t="shared" si="114"/>
        <v>N</v>
      </c>
      <c r="BK160" s="161" t="str">
        <f t="shared" si="115"/>
        <v>Y</v>
      </c>
      <c r="BL160" s="161" t="str">
        <f t="shared" si="116"/>
        <v>N</v>
      </c>
      <c r="BM160" s="161" t="str">
        <f t="shared" si="117"/>
        <v>Y</v>
      </c>
      <c r="BN160" s="176" t="str">
        <f t="shared" si="118"/>
        <v>N</v>
      </c>
      <c r="BO160" s="170" t="s">
        <v>1189</v>
      </c>
      <c r="BP160" s="174" t="str">
        <f t="shared" si="119"/>
        <v>上交所主板</v>
      </c>
      <c r="BQ160" s="172" t="s">
        <v>317</v>
      </c>
      <c r="BR160" s="173">
        <f t="shared" si="120"/>
        <v>34699</v>
      </c>
      <c r="BS160" s="171" t="str">
        <f t="shared" si="121"/>
        <v>N</v>
      </c>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row>
    <row r="161" spans="1:163" ht="15" customHeight="1" x14ac:dyDescent="0.25">
      <c r="A161" s="31">
        <v>140</v>
      </c>
      <c r="B161" s="55" t="s">
        <v>1536</v>
      </c>
      <c r="C161" s="57" t="s">
        <v>1537</v>
      </c>
      <c r="D161" s="57" t="s">
        <v>313</v>
      </c>
      <c r="E161" s="57" t="s">
        <v>736</v>
      </c>
      <c r="F161" s="57" t="s">
        <v>1538</v>
      </c>
      <c r="G161" s="57" t="s">
        <v>354</v>
      </c>
      <c r="H161" s="32" t="s">
        <v>1539</v>
      </c>
      <c r="I161" s="78">
        <v>43595</v>
      </c>
      <c r="J161" s="78">
        <v>43808</v>
      </c>
      <c r="K161" s="85">
        <v>43829</v>
      </c>
      <c r="L161" s="194" t="s">
        <v>1540</v>
      </c>
      <c r="M161" s="69" t="s">
        <v>679</v>
      </c>
      <c r="N161" s="69">
        <v>2.5</v>
      </c>
      <c r="O161" s="69" t="s">
        <v>1305</v>
      </c>
      <c r="P161" s="69" t="s">
        <v>1392</v>
      </c>
      <c r="Q161" s="32" t="s">
        <v>479</v>
      </c>
      <c r="R161" s="85">
        <v>39657</v>
      </c>
      <c r="S161" s="197" t="s">
        <v>995</v>
      </c>
      <c r="T161" s="161" t="s">
        <v>317</v>
      </c>
      <c r="U161" s="69" t="str">
        <f t="shared" si="103"/>
        <v>Y</v>
      </c>
      <c r="V161" s="57" t="s">
        <v>361</v>
      </c>
      <c r="W161" s="197" t="s">
        <v>361</v>
      </c>
      <c r="X161" s="197" t="s">
        <v>320</v>
      </c>
      <c r="Y161" s="213">
        <v>60</v>
      </c>
      <c r="Z161" s="149"/>
      <c r="AA161" s="149"/>
      <c r="AB161" s="214"/>
      <c r="AC161" s="149"/>
      <c r="AD161" s="128"/>
      <c r="AE161" s="149"/>
      <c r="AF161" s="149"/>
      <c r="AG161" s="206"/>
      <c r="AH161" s="149"/>
      <c r="AI161" s="128"/>
      <c r="AJ161" s="149"/>
      <c r="AK161" s="149"/>
      <c r="AL161" s="214"/>
      <c r="AM161" s="149"/>
      <c r="AN161" s="128"/>
      <c r="AO161" s="149"/>
      <c r="AP161" s="149"/>
      <c r="AQ161" s="57"/>
      <c r="AR161" s="149"/>
      <c r="AS161" s="128"/>
      <c r="AT161" s="149">
        <v>270043.51938900002</v>
      </c>
      <c r="AU161" s="149">
        <v>110366.07515400001</v>
      </c>
      <c r="AV161" s="214">
        <v>2017</v>
      </c>
      <c r="AW161" s="149">
        <v>221569.70740799999</v>
      </c>
      <c r="AX161" s="128">
        <v>0.49810994673008802</v>
      </c>
      <c r="AY161" s="197" t="s">
        <v>1541</v>
      </c>
      <c r="AZ161" s="161" t="str">
        <f t="shared" si="104"/>
        <v>N</v>
      </c>
      <c r="BA161" s="161" t="str">
        <f t="shared" si="105"/>
        <v>N</v>
      </c>
      <c r="BB161" s="161" t="str">
        <f t="shared" si="106"/>
        <v>N</v>
      </c>
      <c r="BC161" s="161" t="str">
        <f t="shared" si="107"/>
        <v>N</v>
      </c>
      <c r="BD161" s="161" t="str">
        <f t="shared" si="108"/>
        <v>N</v>
      </c>
      <c r="BE161" s="161" t="str">
        <f t="shared" si="109"/>
        <v>N</v>
      </c>
      <c r="BF161" s="161" t="str">
        <f t="shared" si="110"/>
        <v>N</v>
      </c>
      <c r="BG161" s="161" t="str">
        <f t="shared" si="111"/>
        <v>N</v>
      </c>
      <c r="BH161" s="161" t="str">
        <f t="shared" si="112"/>
        <v>N</v>
      </c>
      <c r="BI161" s="161" t="str">
        <f t="shared" si="113"/>
        <v>N</v>
      </c>
      <c r="BJ161" s="161" t="str">
        <f t="shared" si="114"/>
        <v>Y</v>
      </c>
      <c r="BK161" s="161" t="str">
        <f t="shared" si="115"/>
        <v>N</v>
      </c>
      <c r="BL161" s="161" t="str">
        <f t="shared" si="116"/>
        <v>Y</v>
      </c>
      <c r="BM161" s="161" t="str">
        <f t="shared" si="117"/>
        <v>N</v>
      </c>
      <c r="BN161" s="176" t="str">
        <f t="shared" si="118"/>
        <v>N</v>
      </c>
      <c r="BO161" s="222" t="s">
        <v>374</v>
      </c>
      <c r="BP161" s="174" t="str">
        <f t="shared" si="119"/>
        <v>深交所主板</v>
      </c>
      <c r="BQ161" s="219" t="s">
        <v>317</v>
      </c>
      <c r="BR161" s="173">
        <f t="shared" si="120"/>
        <v>40543</v>
      </c>
      <c r="BS161" s="171" t="str">
        <f t="shared" si="121"/>
        <v>N</v>
      </c>
    </row>
    <row r="162" spans="1:163" ht="15" customHeight="1" x14ac:dyDescent="0.25">
      <c r="A162" s="31">
        <v>139</v>
      </c>
      <c r="B162" s="55" t="s">
        <v>1264</v>
      </c>
      <c r="C162" s="57" t="s">
        <v>1542</v>
      </c>
      <c r="D162" s="57" t="s">
        <v>351</v>
      </c>
      <c r="E162" s="57" t="s">
        <v>1266</v>
      </c>
      <c r="F162" s="57" t="s">
        <v>1543</v>
      </c>
      <c r="G162" s="57" t="s">
        <v>315</v>
      </c>
      <c r="H162" s="32" t="s">
        <v>327</v>
      </c>
      <c r="I162" s="78">
        <v>43213</v>
      </c>
      <c r="J162" s="78">
        <v>43801</v>
      </c>
      <c r="K162" s="85">
        <v>43823</v>
      </c>
      <c r="L162" s="194" t="s">
        <v>1544</v>
      </c>
      <c r="M162" s="69" t="s">
        <v>748</v>
      </c>
      <c r="N162" s="69">
        <v>1.75</v>
      </c>
      <c r="O162" s="69" t="s">
        <v>1258</v>
      </c>
      <c r="P162" s="69" t="s">
        <v>1496</v>
      </c>
      <c r="Q162" s="32" t="s">
        <v>371</v>
      </c>
      <c r="R162" s="85">
        <v>40490</v>
      </c>
      <c r="S162" s="197" t="s">
        <v>995</v>
      </c>
      <c r="T162" s="161" t="s">
        <v>345</v>
      </c>
      <c r="U162" s="69" t="str">
        <f t="shared" si="103"/>
        <v>Y</v>
      </c>
      <c r="V162" s="57" t="s">
        <v>333</v>
      </c>
      <c r="W162" s="197" t="s">
        <v>346</v>
      </c>
      <c r="X162" s="197" t="s">
        <v>320</v>
      </c>
      <c r="Y162" s="213">
        <v>60</v>
      </c>
      <c r="Z162" s="149"/>
      <c r="AA162" s="149"/>
      <c r="AB162" s="214"/>
      <c r="AC162" s="149"/>
      <c r="AD162" s="128"/>
      <c r="AE162" s="149">
        <f>(301212876.25+1238886522.43)/10000</f>
        <v>154009.93986800002</v>
      </c>
      <c r="AF162" s="149">
        <v>123888.652243</v>
      </c>
      <c r="AG162" s="206">
        <v>2017</v>
      </c>
      <c r="AH162" s="149">
        <v>395155.37</v>
      </c>
      <c r="AI162" s="128">
        <v>0.313518837522061</v>
      </c>
      <c r="AJ162" s="149">
        <f>(301212876.25-299605426.22+1238886522.43-1223438806.06)/10000</f>
        <v>1705.5166400000096</v>
      </c>
      <c r="AK162" s="149">
        <f>(1238886522.43-1223438806.06)/10000</f>
        <v>1544.7716370000123</v>
      </c>
      <c r="AL162" s="214">
        <v>2017</v>
      </c>
      <c r="AM162" s="149">
        <v>52802.67</v>
      </c>
      <c r="AN162" s="128">
        <v>2.9255559179109901E-2</v>
      </c>
      <c r="AO162" s="149"/>
      <c r="AP162" s="149"/>
      <c r="AQ162" s="57"/>
      <c r="AR162" s="149"/>
      <c r="AS162" s="128"/>
      <c r="AT162" s="149"/>
      <c r="AU162" s="149"/>
      <c r="AV162" s="214"/>
      <c r="AW162" s="149"/>
      <c r="AX162" s="128"/>
      <c r="AY162" s="197" t="s">
        <v>1545</v>
      </c>
      <c r="AZ162" s="161" t="str">
        <f t="shared" si="104"/>
        <v>N</v>
      </c>
      <c r="BA162" s="161" t="str">
        <f t="shared" si="105"/>
        <v>N</v>
      </c>
      <c r="BB162" s="161" t="str">
        <f t="shared" si="106"/>
        <v>Y</v>
      </c>
      <c r="BC162" s="161" t="str">
        <f t="shared" si="107"/>
        <v>N</v>
      </c>
      <c r="BD162" s="161" t="str">
        <f t="shared" si="108"/>
        <v>N</v>
      </c>
      <c r="BE162" s="161" t="str">
        <f t="shared" si="109"/>
        <v>N</v>
      </c>
      <c r="BF162" s="161" t="str">
        <f t="shared" si="110"/>
        <v>N</v>
      </c>
      <c r="BG162" s="161" t="str">
        <f t="shared" si="111"/>
        <v>N</v>
      </c>
      <c r="BH162" s="161" t="str">
        <f t="shared" si="112"/>
        <v>N</v>
      </c>
      <c r="BI162" s="161" t="str">
        <f t="shared" si="113"/>
        <v>N</v>
      </c>
      <c r="BJ162" s="161" t="str">
        <f t="shared" si="114"/>
        <v>N</v>
      </c>
      <c r="BK162" s="161" t="str">
        <f t="shared" si="115"/>
        <v>N</v>
      </c>
      <c r="BL162" s="161" t="str">
        <f t="shared" si="116"/>
        <v>Y</v>
      </c>
      <c r="BM162" s="161" t="str">
        <f t="shared" si="117"/>
        <v>N</v>
      </c>
      <c r="BN162" s="176" t="str">
        <f t="shared" si="118"/>
        <v>N</v>
      </c>
      <c r="BO162" s="222" t="s">
        <v>520</v>
      </c>
      <c r="BP162" s="174" t="str">
        <f t="shared" si="119"/>
        <v>深交所主板</v>
      </c>
      <c r="BQ162" s="219" t="s">
        <v>317</v>
      </c>
      <c r="BR162" s="173">
        <f t="shared" si="120"/>
        <v>41274</v>
      </c>
      <c r="BS162" s="171" t="str">
        <f t="shared" si="121"/>
        <v>N</v>
      </c>
    </row>
    <row r="163" spans="1:163" ht="15" customHeight="1" x14ac:dyDescent="0.25">
      <c r="A163" s="31">
        <v>138</v>
      </c>
      <c r="B163" s="223" t="s">
        <v>1546</v>
      </c>
      <c r="C163" s="57" t="s">
        <v>1547</v>
      </c>
      <c r="D163" s="57" t="s">
        <v>565</v>
      </c>
      <c r="E163" s="197" t="s">
        <v>566</v>
      </c>
      <c r="F163" s="197" t="s">
        <v>1548</v>
      </c>
      <c r="G163" s="57" t="s">
        <v>380</v>
      </c>
      <c r="H163" s="32" t="s">
        <v>429</v>
      </c>
      <c r="I163" s="78">
        <v>43116</v>
      </c>
      <c r="J163" s="78">
        <v>43798</v>
      </c>
      <c r="K163" s="78">
        <v>44049</v>
      </c>
      <c r="L163" s="79" t="s">
        <v>1549</v>
      </c>
      <c r="M163" s="69" t="s">
        <v>1431</v>
      </c>
      <c r="N163" s="69">
        <v>3</v>
      </c>
      <c r="O163" s="69" t="s">
        <v>1314</v>
      </c>
      <c r="P163" s="69" t="s">
        <v>1315</v>
      </c>
      <c r="Q163" s="32" t="s">
        <v>1047</v>
      </c>
      <c r="R163" s="85">
        <v>40674</v>
      </c>
      <c r="S163" s="197" t="s">
        <v>421</v>
      </c>
      <c r="T163" s="210" t="s">
        <v>317</v>
      </c>
      <c r="U163" s="69" t="str">
        <f t="shared" si="103"/>
        <v>Y</v>
      </c>
      <c r="V163" s="57" t="s">
        <v>434</v>
      </c>
      <c r="W163" s="197" t="s">
        <v>640</v>
      </c>
      <c r="X163" s="197" t="s">
        <v>334</v>
      </c>
      <c r="Y163" s="213">
        <v>15</v>
      </c>
      <c r="Z163" s="149">
        <v>34069.230000000003</v>
      </c>
      <c r="AA163" s="149">
        <v>20822.330000000002</v>
      </c>
      <c r="AB163" s="214">
        <v>2016</v>
      </c>
      <c r="AC163" s="149">
        <v>129439.92</v>
      </c>
      <c r="AD163" s="128">
        <v>0.16086482439111499</v>
      </c>
      <c r="AE163" s="149">
        <v>31350.26</v>
      </c>
      <c r="AF163" s="149">
        <v>22435.9</v>
      </c>
      <c r="AG163" s="206">
        <v>2016</v>
      </c>
      <c r="AH163" s="149">
        <v>76406.66</v>
      </c>
      <c r="AI163" s="128">
        <v>0.29363801532484202</v>
      </c>
      <c r="AJ163" s="149">
        <v>33339.79</v>
      </c>
      <c r="AK163" s="149">
        <v>25389.26</v>
      </c>
      <c r="AL163" s="214">
        <v>2016</v>
      </c>
      <c r="AM163" s="149">
        <v>22326.720000000001</v>
      </c>
      <c r="AN163" s="128">
        <v>1.1371692752003</v>
      </c>
      <c r="AO163" s="149"/>
      <c r="AP163" s="149"/>
      <c r="AQ163" s="57"/>
      <c r="AR163" s="149"/>
      <c r="AS163" s="128"/>
      <c r="AT163" s="149">
        <v>193954.06</v>
      </c>
      <c r="AU163" s="149">
        <v>193954.06</v>
      </c>
      <c r="AV163" s="214">
        <v>2017</v>
      </c>
      <c r="AW163" s="149">
        <v>75272.929999999993</v>
      </c>
      <c r="AX163" s="128">
        <v>2.5766774323784101</v>
      </c>
      <c r="AY163" s="235" t="s">
        <v>1550</v>
      </c>
      <c r="AZ163" s="161" t="str">
        <f t="shared" si="104"/>
        <v>N</v>
      </c>
      <c r="BA163" s="161" t="str">
        <f t="shared" si="105"/>
        <v>N</v>
      </c>
      <c r="BB163" s="161" t="str">
        <f t="shared" si="106"/>
        <v>N</v>
      </c>
      <c r="BC163" s="161" t="str">
        <f t="shared" si="107"/>
        <v>N</v>
      </c>
      <c r="BD163" s="161" t="str">
        <f t="shared" si="108"/>
        <v>N</v>
      </c>
      <c r="BE163" s="161" t="str">
        <f t="shared" si="109"/>
        <v>Y</v>
      </c>
      <c r="BF163" s="161" t="str">
        <f t="shared" si="110"/>
        <v>Y</v>
      </c>
      <c r="BG163" s="161" t="str">
        <f t="shared" si="111"/>
        <v>N</v>
      </c>
      <c r="BH163" s="161" t="str">
        <f t="shared" si="112"/>
        <v>N</v>
      </c>
      <c r="BI163" s="161" t="str">
        <f t="shared" si="113"/>
        <v>N</v>
      </c>
      <c r="BJ163" s="161" t="str">
        <f t="shared" si="114"/>
        <v>Y</v>
      </c>
      <c r="BK163" s="161" t="str">
        <f t="shared" si="115"/>
        <v>Y</v>
      </c>
      <c r="BL163" s="161" t="str">
        <f t="shared" si="116"/>
        <v>Y</v>
      </c>
      <c r="BM163" s="161" t="str">
        <f t="shared" si="117"/>
        <v>Y</v>
      </c>
      <c r="BN163" s="176" t="str">
        <f t="shared" si="118"/>
        <v>Y</v>
      </c>
      <c r="BO163" s="170" t="s">
        <v>562</v>
      </c>
      <c r="BP163" s="236" t="str">
        <f t="shared" si="119"/>
        <v>深交所创业板</v>
      </c>
      <c r="BQ163" s="172" t="s">
        <v>317</v>
      </c>
      <c r="BR163" s="175">
        <f t="shared" si="120"/>
        <v>42004</v>
      </c>
      <c r="BS163" s="237" t="str">
        <f t="shared" si="121"/>
        <v>N</v>
      </c>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c r="DU163" s="12"/>
      <c r="DV163" s="12"/>
      <c r="DW163" s="12"/>
      <c r="DX163" s="12"/>
      <c r="DY163" s="12"/>
      <c r="DZ163" s="12"/>
      <c r="EA163" s="12"/>
      <c r="EB163" s="12"/>
      <c r="EC163" s="12"/>
      <c r="ED163" s="12"/>
      <c r="EE163" s="12"/>
      <c r="EF163" s="12"/>
      <c r="EG163" s="12"/>
      <c r="EH163" s="12"/>
      <c r="EI163" s="12"/>
      <c r="EJ163" s="12"/>
      <c r="EK163" s="12"/>
      <c r="EL163" s="12"/>
      <c r="EM163" s="12"/>
      <c r="EN163" s="12"/>
      <c r="EO163" s="12"/>
      <c r="EP163" s="12"/>
      <c r="EQ163" s="12"/>
      <c r="ER163" s="12"/>
      <c r="ES163" s="12"/>
      <c r="ET163" s="12"/>
      <c r="EU163" s="12"/>
      <c r="EV163" s="12"/>
      <c r="EW163" s="12"/>
      <c r="EX163" s="12"/>
      <c r="EY163" s="12"/>
      <c r="EZ163" s="12"/>
      <c r="FA163" s="12"/>
      <c r="FB163" s="12"/>
      <c r="FC163" s="12"/>
      <c r="FD163" s="12"/>
      <c r="FE163" s="12"/>
      <c r="FF163" s="12"/>
      <c r="FG163" s="12"/>
    </row>
    <row r="164" spans="1:163" ht="15" customHeight="1" x14ac:dyDescent="0.25">
      <c r="A164" s="31">
        <v>137</v>
      </c>
      <c r="B164" s="55" t="s">
        <v>1551</v>
      </c>
      <c r="C164" s="57" t="s">
        <v>1552</v>
      </c>
      <c r="D164" s="57" t="s">
        <v>1553</v>
      </c>
      <c r="E164" s="57" t="s">
        <v>1554</v>
      </c>
      <c r="F164" s="57" t="s">
        <v>1555</v>
      </c>
      <c r="G164" s="57" t="s">
        <v>315</v>
      </c>
      <c r="H164" s="32" t="s">
        <v>429</v>
      </c>
      <c r="I164" s="78">
        <v>43636</v>
      </c>
      <c r="J164" s="78">
        <v>43794</v>
      </c>
      <c r="K164" s="85">
        <v>43800</v>
      </c>
      <c r="L164" s="194" t="s">
        <v>1556</v>
      </c>
      <c r="M164" s="69" t="s">
        <v>452</v>
      </c>
      <c r="N164" s="69">
        <v>2</v>
      </c>
      <c r="O164" s="69" t="s">
        <v>1305</v>
      </c>
      <c r="P164" s="69" t="s">
        <v>906</v>
      </c>
      <c r="Q164" s="32" t="s">
        <v>1047</v>
      </c>
      <c r="R164" s="85">
        <v>35244</v>
      </c>
      <c r="S164" s="197" t="s">
        <v>995</v>
      </c>
      <c r="T164" s="161" t="s">
        <v>317</v>
      </c>
      <c r="U164" s="69" t="str">
        <f t="shared" si="103"/>
        <v>Y</v>
      </c>
      <c r="V164" s="57" t="s">
        <v>988</v>
      </c>
      <c r="W164" s="197" t="s">
        <v>640</v>
      </c>
      <c r="X164" s="197" t="s">
        <v>334</v>
      </c>
      <c r="Y164" s="213">
        <v>60</v>
      </c>
      <c r="Z164" s="149">
        <v>52682.821871</v>
      </c>
      <c r="AA164" s="149">
        <v>28603.994778</v>
      </c>
      <c r="AB164" s="214">
        <v>2018</v>
      </c>
      <c r="AC164" s="149">
        <v>743520.18</v>
      </c>
      <c r="AD164" s="128">
        <v>3.8471040258786199E-2</v>
      </c>
      <c r="AE164" s="149">
        <v>60015.564729999998</v>
      </c>
      <c r="AF164" s="149">
        <v>46849.182048000002</v>
      </c>
      <c r="AG164" s="206">
        <v>2018</v>
      </c>
      <c r="AH164" s="149">
        <v>268056.83</v>
      </c>
      <c r="AI164" s="128">
        <v>0.17477331970239299</v>
      </c>
      <c r="AJ164" s="149">
        <v>60570.930456000002</v>
      </c>
      <c r="AK164" s="149">
        <v>47738.338551000001</v>
      </c>
      <c r="AL164" s="214">
        <v>2018</v>
      </c>
      <c r="AM164" s="149">
        <v>100541.84</v>
      </c>
      <c r="AN164" s="128">
        <v>0.474810671368258</v>
      </c>
      <c r="AO164" s="149"/>
      <c r="AP164" s="149"/>
      <c r="AQ164" s="57"/>
      <c r="AR164" s="149"/>
      <c r="AS164" s="128"/>
      <c r="AT164" s="149">
        <v>221402.58442299999</v>
      </c>
      <c r="AU164" s="149"/>
      <c r="AV164" s="214"/>
      <c r="AW164" s="149"/>
      <c r="AX164" s="128"/>
      <c r="AY164" s="197" t="s">
        <v>1557</v>
      </c>
      <c r="AZ164" s="161" t="str">
        <f t="shared" si="104"/>
        <v>N</v>
      </c>
      <c r="BA164" s="161" t="str">
        <f t="shared" si="105"/>
        <v>N</v>
      </c>
      <c r="BB164" s="161" t="str">
        <f t="shared" si="106"/>
        <v>N</v>
      </c>
      <c r="BC164" s="161" t="str">
        <f t="shared" si="107"/>
        <v>N</v>
      </c>
      <c r="BD164" s="161" t="str">
        <f t="shared" si="108"/>
        <v>N</v>
      </c>
      <c r="BE164" s="161" t="str">
        <f t="shared" si="109"/>
        <v>N</v>
      </c>
      <c r="BF164" s="161" t="str">
        <f t="shared" si="110"/>
        <v>N</v>
      </c>
      <c r="BG164" s="161" t="str">
        <f t="shared" si="111"/>
        <v>N</v>
      </c>
      <c r="BH164" s="161" t="str">
        <f t="shared" si="112"/>
        <v>N</v>
      </c>
      <c r="BI164" s="161" t="str">
        <f t="shared" si="113"/>
        <v>N</v>
      </c>
      <c r="BJ164" s="161" t="str">
        <f t="shared" si="114"/>
        <v>Y</v>
      </c>
      <c r="BK164" s="161" t="str">
        <f t="shared" si="115"/>
        <v>N</v>
      </c>
      <c r="BL164" s="161" t="str">
        <f t="shared" si="116"/>
        <v>Y</v>
      </c>
      <c r="BM164" s="161" t="str">
        <f t="shared" si="117"/>
        <v>N</v>
      </c>
      <c r="BN164" s="176" t="str">
        <f t="shared" si="118"/>
        <v>N</v>
      </c>
      <c r="BO164" s="222" t="s">
        <v>1558</v>
      </c>
      <c r="BP164" s="174" t="str">
        <f t="shared" si="119"/>
        <v>深交所主板</v>
      </c>
      <c r="BQ164" s="219" t="s">
        <v>345</v>
      </c>
      <c r="BR164" s="173">
        <f t="shared" si="120"/>
        <v>36160</v>
      </c>
      <c r="BS164" s="171" t="str">
        <f t="shared" si="121"/>
        <v>N</v>
      </c>
    </row>
    <row r="165" spans="1:163" ht="15" customHeight="1" x14ac:dyDescent="0.35">
      <c r="A165" s="31">
        <v>136</v>
      </c>
      <c r="B165" s="32" t="s">
        <v>1559</v>
      </c>
      <c r="C165" s="23" t="s">
        <v>1560</v>
      </c>
      <c r="D165" s="44" t="s">
        <v>623</v>
      </c>
      <c r="E165" s="44" t="s">
        <v>1561</v>
      </c>
      <c r="F165" s="190" t="s">
        <v>1562</v>
      </c>
      <c r="G165" s="42" t="s">
        <v>315</v>
      </c>
      <c r="H165" s="32" t="s">
        <v>602</v>
      </c>
      <c r="I165" s="78">
        <v>43488</v>
      </c>
      <c r="J165" s="78">
        <v>43791</v>
      </c>
      <c r="K165" s="78">
        <v>43991</v>
      </c>
      <c r="L165" s="79" t="s">
        <v>1563</v>
      </c>
      <c r="M165" s="225" t="s">
        <v>679</v>
      </c>
      <c r="N165" s="23">
        <v>2.5</v>
      </c>
      <c r="O165" s="69" t="str">
        <f>IF(N165&lt;1,"1年以内",IF(N165&lt;2,"1-2年",IF(N165&lt;3,"2-3年",IF(N165&lt;5,"3-5年","5年以上"))))</f>
        <v>2-3年</v>
      </c>
      <c r="P165" s="69" t="s">
        <v>1564</v>
      </c>
      <c r="Q165" s="191" t="s">
        <v>946</v>
      </c>
      <c r="R165" s="80">
        <v>35901</v>
      </c>
      <c r="S165" s="44" t="s">
        <v>359</v>
      </c>
      <c r="T165" s="207" t="s">
        <v>345</v>
      </c>
      <c r="U165" s="69" t="str">
        <f t="shared" si="103"/>
        <v>Y</v>
      </c>
      <c r="V165" s="44" t="s">
        <v>361</v>
      </c>
      <c r="W165" s="208" t="s">
        <v>361</v>
      </c>
      <c r="X165" s="44" t="s">
        <v>334</v>
      </c>
      <c r="Y165" s="229">
        <v>60</v>
      </c>
      <c r="Z165" s="216"/>
      <c r="AA165" s="148"/>
      <c r="AB165" s="44"/>
      <c r="AC165" s="148"/>
      <c r="AD165" s="148"/>
      <c r="AE165" s="148"/>
      <c r="AF165" s="148"/>
      <c r="AG165" s="218"/>
      <c r="AH165" s="147"/>
      <c r="AI165" s="128"/>
      <c r="AJ165" s="148"/>
      <c r="AK165" s="148"/>
      <c r="AL165" s="218"/>
      <c r="AM165" s="148"/>
      <c r="AN165" s="128"/>
      <c r="AO165" s="148"/>
      <c r="AP165" s="148"/>
      <c r="AQ165" s="44"/>
      <c r="AR165" s="148"/>
      <c r="AS165" s="128"/>
      <c r="AT165" s="148">
        <f>53000+40932+88767</f>
        <v>182699</v>
      </c>
      <c r="AU165" s="148">
        <v>88767</v>
      </c>
      <c r="AV165" s="218">
        <v>2018</v>
      </c>
      <c r="AW165" s="148">
        <f>1395080538.11/10000</f>
        <v>139508.05381099999</v>
      </c>
      <c r="AX165" s="159">
        <f>AU165/AW165</f>
        <v>0.63628584569216362</v>
      </c>
      <c r="AY165" s="198" t="s">
        <v>1565</v>
      </c>
      <c r="AZ165" s="161" t="str">
        <f t="shared" si="104"/>
        <v>N</v>
      </c>
      <c r="BA165" s="161" t="str">
        <f t="shared" si="105"/>
        <v>N</v>
      </c>
      <c r="BB165" s="161" t="str">
        <f t="shared" si="106"/>
        <v>N</v>
      </c>
      <c r="BC165" s="161" t="str">
        <f t="shared" si="107"/>
        <v>N</v>
      </c>
      <c r="BD165" s="161" t="str">
        <f t="shared" si="108"/>
        <v>N</v>
      </c>
      <c r="BE165" s="161" t="str">
        <f t="shared" si="109"/>
        <v>N</v>
      </c>
      <c r="BF165" s="161" t="str">
        <f t="shared" si="110"/>
        <v>N</v>
      </c>
      <c r="BG165" s="161" t="str">
        <f t="shared" si="111"/>
        <v>N</v>
      </c>
      <c r="BH165" s="161" t="str">
        <f t="shared" si="112"/>
        <v>N</v>
      </c>
      <c r="BI165" s="161" t="str">
        <f t="shared" si="113"/>
        <v>N</v>
      </c>
      <c r="BJ165" s="161" t="str">
        <f t="shared" si="114"/>
        <v>Y</v>
      </c>
      <c r="BK165" s="161" t="str">
        <f t="shared" si="115"/>
        <v>Y</v>
      </c>
      <c r="BL165" s="161" t="str">
        <f t="shared" si="116"/>
        <v>Y</v>
      </c>
      <c r="BM165" s="161" t="str">
        <f t="shared" si="117"/>
        <v>Y</v>
      </c>
      <c r="BN165" s="176" t="str">
        <f t="shared" si="118"/>
        <v>N</v>
      </c>
      <c r="BO165" s="170" t="s">
        <v>1566</v>
      </c>
      <c r="BP165" s="174" t="str">
        <f t="shared" si="119"/>
        <v>深交所主板</v>
      </c>
      <c r="BQ165" s="172" t="s">
        <v>317</v>
      </c>
      <c r="BR165" s="173">
        <f t="shared" si="120"/>
        <v>36891</v>
      </c>
      <c r="BS165" s="171" t="str">
        <f t="shared" si="121"/>
        <v>N</v>
      </c>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row>
    <row r="166" spans="1:163" ht="15" customHeight="1" x14ac:dyDescent="0.25">
      <c r="A166" s="31">
        <v>135</v>
      </c>
      <c r="B166" s="55" t="s">
        <v>1567</v>
      </c>
      <c r="C166" s="57" t="s">
        <v>1568</v>
      </c>
      <c r="D166" s="57" t="s">
        <v>448</v>
      </c>
      <c r="E166" s="197" t="s">
        <v>1569</v>
      </c>
      <c r="F166" s="57" t="s">
        <v>1570</v>
      </c>
      <c r="G166" s="57" t="s">
        <v>380</v>
      </c>
      <c r="H166" s="32" t="s">
        <v>1571</v>
      </c>
      <c r="I166" s="78">
        <v>43585</v>
      </c>
      <c r="J166" s="78">
        <v>43769</v>
      </c>
      <c r="K166" s="85">
        <v>43962</v>
      </c>
      <c r="L166" s="194" t="s">
        <v>1572</v>
      </c>
      <c r="M166" s="69" t="s">
        <v>1431</v>
      </c>
      <c r="N166" s="69">
        <v>3</v>
      </c>
      <c r="O166" s="69" t="s">
        <v>1314</v>
      </c>
      <c r="P166" s="69" t="s">
        <v>1315</v>
      </c>
      <c r="Q166" s="32" t="s">
        <v>740</v>
      </c>
      <c r="R166" s="85">
        <v>36426</v>
      </c>
      <c r="S166" s="197" t="s">
        <v>628</v>
      </c>
      <c r="T166" s="161" t="s">
        <v>345</v>
      </c>
      <c r="U166" s="69" t="str">
        <f t="shared" si="103"/>
        <v>Y</v>
      </c>
      <c r="V166" s="57" t="s">
        <v>607</v>
      </c>
      <c r="W166" s="197" t="s">
        <v>1573</v>
      </c>
      <c r="X166" s="197" t="s">
        <v>320</v>
      </c>
      <c r="Y166" s="213">
        <v>50</v>
      </c>
      <c r="Z166" s="149">
        <v>63217.661532999999</v>
      </c>
      <c r="AA166" s="149">
        <v>27280.863977000001</v>
      </c>
      <c r="AB166" s="214">
        <v>2016</v>
      </c>
      <c r="AC166" s="149">
        <v>1296089.3899999999</v>
      </c>
      <c r="AD166" s="128">
        <v>2.10485975639381E-2</v>
      </c>
      <c r="AE166" s="149"/>
      <c r="AF166" s="149"/>
      <c r="AG166" s="206"/>
      <c r="AH166" s="149"/>
      <c r="AI166" s="128"/>
      <c r="AJ166" s="149">
        <v>63217.661532999999</v>
      </c>
      <c r="AK166" s="149">
        <v>27280.863977000001</v>
      </c>
      <c r="AL166" s="214">
        <v>2016</v>
      </c>
      <c r="AM166" s="149">
        <v>41144.480000000003</v>
      </c>
      <c r="AN166" s="128">
        <v>0.66305040134180804</v>
      </c>
      <c r="AO166" s="149"/>
      <c r="AP166" s="149"/>
      <c r="AQ166" s="57"/>
      <c r="AR166" s="149"/>
      <c r="AS166" s="128"/>
      <c r="AT166" s="149">
        <v>88200</v>
      </c>
      <c r="AU166" s="149"/>
      <c r="AV166" s="214"/>
      <c r="AW166" s="149">
        <v>1296089.3908840001</v>
      </c>
      <c r="AX166" s="128">
        <v>2.26836205949866E-2</v>
      </c>
      <c r="AY166" s="197" t="s">
        <v>1574</v>
      </c>
      <c r="AZ166" s="161" t="str">
        <f t="shared" si="104"/>
        <v>N</v>
      </c>
      <c r="BA166" s="161" t="str">
        <f t="shared" si="105"/>
        <v>N</v>
      </c>
      <c r="BB166" s="161" t="str">
        <f t="shared" si="106"/>
        <v>N</v>
      </c>
      <c r="BC166" s="161" t="str">
        <f t="shared" si="107"/>
        <v>N</v>
      </c>
      <c r="BD166" s="161" t="str">
        <f t="shared" si="108"/>
        <v>N</v>
      </c>
      <c r="BE166" s="161" t="str">
        <f t="shared" si="109"/>
        <v>Y</v>
      </c>
      <c r="BF166" s="161" t="str">
        <f t="shared" si="110"/>
        <v>N</v>
      </c>
      <c r="BG166" s="161" t="str">
        <f t="shared" si="111"/>
        <v>N</v>
      </c>
      <c r="BH166" s="161" t="str">
        <f t="shared" si="112"/>
        <v>N</v>
      </c>
      <c r="BI166" s="161" t="str">
        <f t="shared" si="113"/>
        <v>N</v>
      </c>
      <c r="BJ166" s="161" t="str">
        <f t="shared" si="114"/>
        <v>N</v>
      </c>
      <c r="BK166" s="161" t="str">
        <f t="shared" si="115"/>
        <v>N</v>
      </c>
      <c r="BL166" s="161" t="str">
        <f t="shared" si="116"/>
        <v>N</v>
      </c>
      <c r="BM166" s="161" t="str">
        <f t="shared" si="117"/>
        <v>Y</v>
      </c>
      <c r="BN166" s="176" t="str">
        <f t="shared" si="118"/>
        <v>N</v>
      </c>
      <c r="BO166" s="222" t="s">
        <v>839</v>
      </c>
      <c r="BP166" s="174" t="str">
        <f t="shared" si="119"/>
        <v>深交所主板</v>
      </c>
      <c r="BQ166" s="219" t="s">
        <v>317</v>
      </c>
      <c r="BR166" s="173">
        <f t="shared" si="120"/>
        <v>37256</v>
      </c>
      <c r="BS166" s="171" t="str">
        <f t="shared" si="121"/>
        <v>N</v>
      </c>
    </row>
    <row r="167" spans="1:163" ht="15" customHeight="1" x14ac:dyDescent="0.25">
      <c r="A167" s="31">
        <v>134</v>
      </c>
      <c r="B167" s="55" t="s">
        <v>1575</v>
      </c>
      <c r="C167" s="57" t="s">
        <v>1576</v>
      </c>
      <c r="D167" s="57" t="s">
        <v>574</v>
      </c>
      <c r="E167" s="57" t="s">
        <v>575</v>
      </c>
      <c r="F167" s="57" t="s">
        <v>1577</v>
      </c>
      <c r="G167" s="57" t="s">
        <v>354</v>
      </c>
      <c r="H167" s="32" t="s">
        <v>327</v>
      </c>
      <c r="I167" s="78">
        <v>43649</v>
      </c>
      <c r="J167" s="78">
        <v>43762</v>
      </c>
      <c r="K167" s="85">
        <v>43770</v>
      </c>
      <c r="L167" s="194" t="s">
        <v>1578</v>
      </c>
      <c r="M167" s="69">
        <v>2017</v>
      </c>
      <c r="N167" s="69">
        <v>0.75</v>
      </c>
      <c r="O167" s="69" t="s">
        <v>1495</v>
      </c>
      <c r="P167" s="69" t="s">
        <v>1579</v>
      </c>
      <c r="Q167" s="32" t="s">
        <v>383</v>
      </c>
      <c r="R167" s="85">
        <v>33226</v>
      </c>
      <c r="S167" s="197" t="s">
        <v>660</v>
      </c>
      <c r="T167" s="161" t="s">
        <v>345</v>
      </c>
      <c r="U167" s="69" t="str">
        <f t="shared" si="103"/>
        <v>N</v>
      </c>
      <c r="V167" s="57" t="s">
        <v>318</v>
      </c>
      <c r="W167" s="197" t="s">
        <v>319</v>
      </c>
      <c r="X167" s="197" t="s">
        <v>320</v>
      </c>
      <c r="Y167" s="213">
        <v>60</v>
      </c>
      <c r="Z167" s="149"/>
      <c r="AA167" s="149"/>
      <c r="AB167" s="214"/>
      <c r="AC167" s="149"/>
      <c r="AD167" s="128"/>
      <c r="AE167" s="149">
        <v>72072</v>
      </c>
      <c r="AF167" s="149">
        <v>72072</v>
      </c>
      <c r="AG167" s="206">
        <v>2017</v>
      </c>
      <c r="AH167" s="149">
        <v>544484.56000000006</v>
      </c>
      <c r="AI167" s="128">
        <v>0.132367389811752</v>
      </c>
      <c r="AJ167" s="149">
        <v>15135</v>
      </c>
      <c r="AK167" s="149">
        <v>15135</v>
      </c>
      <c r="AL167" s="214">
        <v>2017</v>
      </c>
      <c r="AM167" s="149">
        <v>30563.47</v>
      </c>
      <c r="AN167" s="128">
        <v>0.49519900718079501</v>
      </c>
      <c r="AO167" s="149"/>
      <c r="AP167" s="149"/>
      <c r="AQ167" s="57"/>
      <c r="AR167" s="149"/>
      <c r="AS167" s="128"/>
      <c r="AT167" s="149"/>
      <c r="AU167" s="149"/>
      <c r="AV167" s="214"/>
      <c r="AW167" s="149"/>
      <c r="AX167" s="128"/>
      <c r="AY167" s="197" t="s">
        <v>1580</v>
      </c>
      <c r="AZ167" s="161" t="str">
        <f t="shared" si="104"/>
        <v>N</v>
      </c>
      <c r="BA167" s="161" t="str">
        <f t="shared" si="105"/>
        <v>N</v>
      </c>
      <c r="BB167" s="161" t="str">
        <f t="shared" si="106"/>
        <v>N</v>
      </c>
      <c r="BC167" s="161" t="str">
        <f t="shared" si="107"/>
        <v>N</v>
      </c>
      <c r="BD167" s="161" t="str">
        <f t="shared" si="108"/>
        <v>N</v>
      </c>
      <c r="BE167" s="161" t="str">
        <f t="shared" si="109"/>
        <v>N</v>
      </c>
      <c r="BF167" s="161" t="str">
        <f t="shared" si="110"/>
        <v>N</v>
      </c>
      <c r="BG167" s="161" t="str">
        <f t="shared" si="111"/>
        <v>N</v>
      </c>
      <c r="BH167" s="161" t="str">
        <f t="shared" si="112"/>
        <v>N</v>
      </c>
      <c r="BI167" s="161" t="str">
        <f t="shared" si="113"/>
        <v>N</v>
      </c>
      <c r="BJ167" s="161" t="str">
        <f t="shared" si="114"/>
        <v>N</v>
      </c>
      <c r="BK167" s="161" t="str">
        <f t="shared" si="115"/>
        <v>N</v>
      </c>
      <c r="BL167" s="161" t="str">
        <f t="shared" si="116"/>
        <v>N</v>
      </c>
      <c r="BM167" s="161" t="str">
        <f t="shared" si="117"/>
        <v>N</v>
      </c>
      <c r="BN167" s="176" t="str">
        <f t="shared" si="118"/>
        <v>N</v>
      </c>
      <c r="BO167" s="222" t="s">
        <v>1189</v>
      </c>
      <c r="BP167" s="174" t="str">
        <f t="shared" si="119"/>
        <v>上交所主板</v>
      </c>
      <c r="BQ167" s="219" t="s">
        <v>317</v>
      </c>
      <c r="BR167" s="173">
        <f t="shared" si="120"/>
        <v>33969</v>
      </c>
      <c r="BS167" s="171" t="str">
        <f t="shared" si="121"/>
        <v>N</v>
      </c>
    </row>
    <row r="168" spans="1:163" ht="15" customHeight="1" x14ac:dyDescent="0.35">
      <c r="A168" s="31">
        <v>133</v>
      </c>
      <c r="B168" s="32" t="s">
        <v>1581</v>
      </c>
      <c r="C168" s="23" t="s">
        <v>1582</v>
      </c>
      <c r="D168" s="44" t="s">
        <v>448</v>
      </c>
      <c r="E168" s="44" t="s">
        <v>1583</v>
      </c>
      <c r="F168" s="190" t="s">
        <v>1584</v>
      </c>
      <c r="G168" s="42" t="s">
        <v>315</v>
      </c>
      <c r="H168" s="32" t="s">
        <v>602</v>
      </c>
      <c r="I168" s="78">
        <v>43370</v>
      </c>
      <c r="J168" s="78">
        <v>43755</v>
      </c>
      <c r="K168" s="78">
        <v>43823</v>
      </c>
      <c r="L168" s="79" t="s">
        <v>1585</v>
      </c>
      <c r="M168" s="198">
        <v>2018</v>
      </c>
      <c r="N168" s="23">
        <v>1</v>
      </c>
      <c r="O168" s="69" t="str">
        <f>IF(N168&lt;1,"1年以内",IF(N168&lt;2,"1-2年",IF(N168&lt;3,"2-3年",IF(N168&lt;5,"3-5年","5年以上"))))</f>
        <v>1-2年</v>
      </c>
      <c r="P168" s="69" t="s">
        <v>382</v>
      </c>
      <c r="Q168" s="191" t="s">
        <v>740</v>
      </c>
      <c r="R168" s="80">
        <v>36643</v>
      </c>
      <c r="S168" s="44" t="s">
        <v>508</v>
      </c>
      <c r="T168" s="207" t="s">
        <v>317</v>
      </c>
      <c r="U168" s="69" t="str">
        <f t="shared" si="103"/>
        <v>N</v>
      </c>
      <c r="V168" s="44" t="s">
        <v>361</v>
      </c>
      <c r="W168" s="208" t="s">
        <v>361</v>
      </c>
      <c r="X168" s="44" t="s">
        <v>334</v>
      </c>
      <c r="Y168" s="229">
        <v>60</v>
      </c>
      <c r="Z168" s="216"/>
      <c r="AA168" s="148"/>
      <c r="AB168" s="44"/>
      <c r="AC168" s="148"/>
      <c r="AD168" s="128"/>
      <c r="AE168" s="148"/>
      <c r="AF168" s="148"/>
      <c r="AG168" s="218"/>
      <c r="AH168" s="147"/>
      <c r="AI168" s="128"/>
      <c r="AJ168" s="148"/>
      <c r="AK168" s="148"/>
      <c r="AL168" s="218"/>
      <c r="AM168" s="148"/>
      <c r="AN168" s="128"/>
      <c r="AO168" s="148"/>
      <c r="AP168" s="148"/>
      <c r="AQ168" s="44"/>
      <c r="AR168" s="148"/>
      <c r="AS168" s="128"/>
      <c r="AT168" s="148">
        <v>4000</v>
      </c>
      <c r="AU168" s="148">
        <v>4000</v>
      </c>
      <c r="AV168" s="218">
        <v>2018</v>
      </c>
      <c r="AW168" s="148">
        <f>1940059104.42/10000</f>
        <v>194005.91044200002</v>
      </c>
      <c r="AX168" s="159">
        <f>AU168/AW168</f>
        <v>2.0617928551181122E-2</v>
      </c>
      <c r="AY168" s="198" t="s">
        <v>1586</v>
      </c>
      <c r="AZ168" s="161" t="str">
        <f t="shared" si="104"/>
        <v>N</v>
      </c>
      <c r="BA168" s="161" t="str">
        <f t="shared" si="105"/>
        <v>N</v>
      </c>
      <c r="BB168" s="161" t="str">
        <f t="shared" si="106"/>
        <v>N</v>
      </c>
      <c r="BC168" s="161" t="str">
        <f t="shared" si="107"/>
        <v>N</v>
      </c>
      <c r="BD168" s="161" t="str">
        <f t="shared" si="108"/>
        <v>N</v>
      </c>
      <c r="BE168" s="161" t="str">
        <f t="shared" si="109"/>
        <v>N</v>
      </c>
      <c r="BF168" s="161" t="str">
        <f t="shared" si="110"/>
        <v>N</v>
      </c>
      <c r="BG168" s="161" t="str">
        <f t="shared" si="111"/>
        <v>N</v>
      </c>
      <c r="BH168" s="161" t="str">
        <f t="shared" si="112"/>
        <v>N</v>
      </c>
      <c r="BI168" s="161" t="str">
        <f t="shared" si="113"/>
        <v>N</v>
      </c>
      <c r="BJ168" s="161" t="str">
        <f t="shared" si="114"/>
        <v>N</v>
      </c>
      <c r="BK168" s="161" t="str">
        <f t="shared" si="115"/>
        <v>N</v>
      </c>
      <c r="BL168" s="161" t="str">
        <f t="shared" si="116"/>
        <v>N</v>
      </c>
      <c r="BM168" s="161" t="str">
        <f t="shared" si="117"/>
        <v>N</v>
      </c>
      <c r="BN168" s="176" t="str">
        <f t="shared" si="118"/>
        <v>N</v>
      </c>
      <c r="BO168" s="170" t="s">
        <v>1587</v>
      </c>
      <c r="BP168" s="174" t="str">
        <f t="shared" si="119"/>
        <v>深交所主板</v>
      </c>
      <c r="BQ168" s="172" t="s">
        <v>317</v>
      </c>
      <c r="BR168" s="173">
        <f t="shared" si="120"/>
        <v>37621</v>
      </c>
      <c r="BS168" s="171" t="str">
        <f t="shared" si="121"/>
        <v>N</v>
      </c>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c r="ET168" s="7"/>
      <c r="EU168" s="7"/>
      <c r="EV168" s="7"/>
      <c r="EW168" s="7"/>
      <c r="EX168" s="7"/>
      <c r="EY168" s="7"/>
      <c r="EZ168" s="7"/>
      <c r="FA168" s="7"/>
      <c r="FB168" s="7"/>
      <c r="FC168" s="7"/>
      <c r="FD168" s="7"/>
      <c r="FE168" s="7"/>
      <c r="FF168" s="7"/>
      <c r="FG168" s="7"/>
    </row>
    <row r="169" spans="1:163" ht="15" customHeight="1" x14ac:dyDescent="0.25">
      <c r="A169" s="31">
        <v>132</v>
      </c>
      <c r="B169" s="55" t="s">
        <v>1588</v>
      </c>
      <c r="C169" s="57" t="s">
        <v>1589</v>
      </c>
      <c r="D169" s="57" t="s">
        <v>1344</v>
      </c>
      <c r="E169" s="57" t="s">
        <v>1590</v>
      </c>
      <c r="F169" s="57" t="s">
        <v>1591</v>
      </c>
      <c r="G169" s="57" t="s">
        <v>315</v>
      </c>
      <c r="H169" s="32" t="s">
        <v>602</v>
      </c>
      <c r="I169" s="78">
        <v>43552</v>
      </c>
      <c r="J169" s="78">
        <v>43727</v>
      </c>
      <c r="K169" s="85">
        <v>43777</v>
      </c>
      <c r="L169" s="194" t="s">
        <v>1592</v>
      </c>
      <c r="M169" s="69" t="s">
        <v>748</v>
      </c>
      <c r="N169" s="69">
        <v>2</v>
      </c>
      <c r="O169" s="69" t="s">
        <v>1305</v>
      </c>
      <c r="P169" s="69" t="s">
        <v>1315</v>
      </c>
      <c r="Q169" s="32" t="s">
        <v>946</v>
      </c>
      <c r="R169" s="85">
        <v>40354</v>
      </c>
      <c r="S169" s="197" t="s">
        <v>628</v>
      </c>
      <c r="T169" s="161" t="s">
        <v>345</v>
      </c>
      <c r="U169" s="69" t="str">
        <f t="shared" si="103"/>
        <v>Y</v>
      </c>
      <c r="V169" s="57" t="s">
        <v>607</v>
      </c>
      <c r="W169" s="197" t="s">
        <v>1593</v>
      </c>
      <c r="X169" s="197" t="s">
        <v>334</v>
      </c>
      <c r="Y169" s="213">
        <v>60</v>
      </c>
      <c r="Z169" s="149">
        <f>978389345.44/10000</f>
        <v>97838.934544000003</v>
      </c>
      <c r="AA169" s="149">
        <v>97838.934544000003</v>
      </c>
      <c r="AB169" s="214">
        <v>2016</v>
      </c>
      <c r="AC169" s="149">
        <v>521462.88705199998</v>
      </c>
      <c r="AD169" s="128">
        <v>0.18762396514374299</v>
      </c>
      <c r="AE169" s="149"/>
      <c r="AF169" s="149"/>
      <c r="AG169" s="206"/>
      <c r="AH169" s="149"/>
      <c r="AI169" s="128"/>
      <c r="AJ169" s="149"/>
      <c r="AK169" s="149"/>
      <c r="AL169" s="214"/>
      <c r="AM169" s="149"/>
      <c r="AN169" s="128"/>
      <c r="AO169" s="149"/>
      <c r="AP169" s="149"/>
      <c r="AQ169" s="57"/>
      <c r="AR169" s="149"/>
      <c r="AS169" s="128"/>
      <c r="AT169" s="149">
        <v>204864.5</v>
      </c>
      <c r="AU169" s="149">
        <v>204864.5</v>
      </c>
      <c r="AV169" s="214">
        <v>2017</v>
      </c>
      <c r="AW169" s="149">
        <v>389243.92</v>
      </c>
      <c r="AX169" s="128">
        <v>0.52631393702951101</v>
      </c>
      <c r="AY169" s="197" t="s">
        <v>1594</v>
      </c>
      <c r="AZ169" s="161" t="str">
        <f t="shared" si="104"/>
        <v>N</v>
      </c>
      <c r="BA169" s="161" t="str">
        <f t="shared" si="105"/>
        <v>N</v>
      </c>
      <c r="BB169" s="161" t="str">
        <f t="shared" si="106"/>
        <v>N</v>
      </c>
      <c r="BC169" s="161" t="str">
        <f t="shared" si="107"/>
        <v>N</v>
      </c>
      <c r="BD169" s="161" t="str">
        <f t="shared" si="108"/>
        <v>N</v>
      </c>
      <c r="BE169" s="161" t="str">
        <f t="shared" si="109"/>
        <v>N</v>
      </c>
      <c r="BF169" s="161" t="str">
        <f t="shared" si="110"/>
        <v>N</v>
      </c>
      <c r="BG169" s="161" t="str">
        <f t="shared" si="111"/>
        <v>N</v>
      </c>
      <c r="BH169" s="161" t="str">
        <f t="shared" si="112"/>
        <v>N</v>
      </c>
      <c r="BI169" s="161" t="str">
        <f t="shared" si="113"/>
        <v>N</v>
      </c>
      <c r="BJ169" s="161" t="str">
        <f t="shared" si="114"/>
        <v>Y</v>
      </c>
      <c r="BK169" s="161" t="str">
        <f t="shared" si="115"/>
        <v>Y</v>
      </c>
      <c r="BL169" s="161" t="str">
        <f t="shared" si="116"/>
        <v>Y</v>
      </c>
      <c r="BM169" s="161" t="str">
        <f t="shared" si="117"/>
        <v>Y</v>
      </c>
      <c r="BN169" s="176" t="str">
        <f t="shared" si="118"/>
        <v>N</v>
      </c>
      <c r="BO169" s="222" t="s">
        <v>1595</v>
      </c>
      <c r="BP169" s="174" t="str">
        <f t="shared" si="119"/>
        <v>深交所创业板</v>
      </c>
      <c r="BQ169" s="219" t="s">
        <v>317</v>
      </c>
      <c r="BR169" s="173">
        <f t="shared" si="120"/>
        <v>41639</v>
      </c>
      <c r="BS169" s="171" t="str">
        <f t="shared" si="121"/>
        <v>N</v>
      </c>
    </row>
    <row r="170" spans="1:163" ht="15" customHeight="1" x14ac:dyDescent="0.25">
      <c r="A170" s="31">
        <v>131</v>
      </c>
      <c r="B170" s="55" t="s">
        <v>963</v>
      </c>
      <c r="C170" s="57" t="s">
        <v>964</v>
      </c>
      <c r="D170" s="57" t="s">
        <v>809</v>
      </c>
      <c r="E170" s="57" t="s">
        <v>965</v>
      </c>
      <c r="F170" s="57" t="s">
        <v>1596</v>
      </c>
      <c r="G170" s="57" t="s">
        <v>315</v>
      </c>
      <c r="H170" s="32" t="s">
        <v>327</v>
      </c>
      <c r="I170" s="78">
        <v>43590</v>
      </c>
      <c r="J170" s="78">
        <v>43727</v>
      </c>
      <c r="K170" s="85">
        <v>43735</v>
      </c>
      <c r="L170" s="79" t="s">
        <v>1597</v>
      </c>
      <c r="M170" s="69" t="s">
        <v>679</v>
      </c>
      <c r="N170" s="69">
        <v>3</v>
      </c>
      <c r="O170" s="69" t="s">
        <v>1314</v>
      </c>
      <c r="P170" s="69" t="s">
        <v>1598</v>
      </c>
      <c r="Q170" s="32" t="s">
        <v>396</v>
      </c>
      <c r="R170" s="85">
        <v>39049</v>
      </c>
      <c r="S170" s="197" t="s">
        <v>543</v>
      </c>
      <c r="T170" s="161" t="s">
        <v>317</v>
      </c>
      <c r="U170" s="69" t="str">
        <f t="shared" si="103"/>
        <v>Y</v>
      </c>
      <c r="V170" s="57" t="s">
        <v>607</v>
      </c>
      <c r="W170" s="197" t="s">
        <v>1599</v>
      </c>
      <c r="X170" s="197" t="s">
        <v>320</v>
      </c>
      <c r="Y170" s="213">
        <v>60</v>
      </c>
      <c r="Z170" s="149">
        <f>125.27+196.3+13.25+3000+58610+27400+20400+10400+7425+3925</f>
        <v>131494.82</v>
      </c>
      <c r="AA170" s="149">
        <f>196.3+3000+20400+7425</f>
        <v>31021.3</v>
      </c>
      <c r="AB170" s="214">
        <v>2017</v>
      </c>
      <c r="AC170" s="149">
        <v>299924.53000000003</v>
      </c>
      <c r="AD170" s="128">
        <v>0.11983447969394199</v>
      </c>
      <c r="AE170" s="149"/>
      <c r="AF170" s="149"/>
      <c r="AG170" s="206"/>
      <c r="AH170" s="149"/>
      <c r="AI170" s="128"/>
      <c r="AJ170" s="149"/>
      <c r="AK170" s="149"/>
      <c r="AL170" s="214"/>
      <c r="AM170" s="149"/>
      <c r="AN170" s="128"/>
      <c r="AO170" s="149"/>
      <c r="AP170" s="149"/>
      <c r="AQ170" s="57"/>
      <c r="AR170" s="149"/>
      <c r="AS170" s="128"/>
      <c r="AT170" s="149">
        <v>275701.43</v>
      </c>
      <c r="AU170" s="149">
        <v>121391.43</v>
      </c>
      <c r="AV170" s="214">
        <v>2018</v>
      </c>
      <c r="AW170" s="149">
        <v>277710.87780999998</v>
      </c>
      <c r="AX170" s="128">
        <v>0.43711442258683098</v>
      </c>
      <c r="AY170" s="197" t="s">
        <v>1600</v>
      </c>
      <c r="AZ170" s="161" t="str">
        <f t="shared" si="104"/>
        <v>Y</v>
      </c>
      <c r="BA170" s="161" t="str">
        <f t="shared" si="105"/>
        <v>N</v>
      </c>
      <c r="BB170" s="161" t="str">
        <f t="shared" si="106"/>
        <v>N</v>
      </c>
      <c r="BC170" s="161" t="str">
        <f t="shared" si="107"/>
        <v>N</v>
      </c>
      <c r="BD170" s="161" t="str">
        <f t="shared" si="108"/>
        <v>N</v>
      </c>
      <c r="BE170" s="161" t="str">
        <f t="shared" si="109"/>
        <v>N</v>
      </c>
      <c r="BF170" s="161" t="str">
        <f t="shared" si="110"/>
        <v>N</v>
      </c>
      <c r="BG170" s="161" t="str">
        <f t="shared" si="111"/>
        <v>N</v>
      </c>
      <c r="BH170" s="161" t="str">
        <f t="shared" si="112"/>
        <v>N</v>
      </c>
      <c r="BI170" s="161" t="str">
        <f t="shared" si="113"/>
        <v>N</v>
      </c>
      <c r="BJ170" s="161" t="str">
        <f t="shared" si="114"/>
        <v>Y</v>
      </c>
      <c r="BK170" s="161" t="str">
        <f t="shared" si="115"/>
        <v>N</v>
      </c>
      <c r="BL170" s="161" t="str">
        <f t="shared" si="116"/>
        <v>Y</v>
      </c>
      <c r="BM170" s="161" t="str">
        <f t="shared" si="117"/>
        <v>N</v>
      </c>
      <c r="BN170" s="176" t="str">
        <f t="shared" si="118"/>
        <v>N</v>
      </c>
      <c r="BO170" s="222" t="s">
        <v>971</v>
      </c>
      <c r="BP170" s="174" t="str">
        <f t="shared" si="119"/>
        <v>深交所主板</v>
      </c>
      <c r="BQ170" s="219" t="s">
        <v>317</v>
      </c>
      <c r="BR170" s="173">
        <f t="shared" si="120"/>
        <v>39813</v>
      </c>
      <c r="BS170" s="171" t="str">
        <f t="shared" si="121"/>
        <v>N</v>
      </c>
    </row>
    <row r="171" spans="1:163" ht="15" customHeight="1" x14ac:dyDescent="0.25">
      <c r="A171" s="31">
        <v>130</v>
      </c>
      <c r="B171" s="55" t="s">
        <v>1601</v>
      </c>
      <c r="C171" s="57" t="s">
        <v>1602</v>
      </c>
      <c r="D171" s="57" t="s">
        <v>565</v>
      </c>
      <c r="E171" s="57" t="s">
        <v>1603</v>
      </c>
      <c r="F171" s="57" t="s">
        <v>1604</v>
      </c>
      <c r="G171" s="57" t="s">
        <v>315</v>
      </c>
      <c r="H171" s="32" t="s">
        <v>602</v>
      </c>
      <c r="I171" s="78">
        <v>43621</v>
      </c>
      <c r="J171" s="78">
        <v>43726</v>
      </c>
      <c r="K171" s="85">
        <v>43873</v>
      </c>
      <c r="L171" s="194" t="s">
        <v>1605</v>
      </c>
      <c r="M171" s="69">
        <v>2017</v>
      </c>
      <c r="N171" s="69">
        <v>0.5</v>
      </c>
      <c r="O171" s="69" t="s">
        <v>1495</v>
      </c>
      <c r="P171" s="69" t="s">
        <v>1315</v>
      </c>
      <c r="Q171" s="32" t="s">
        <v>371</v>
      </c>
      <c r="R171" s="85">
        <v>40913</v>
      </c>
      <c r="S171" s="197" t="s">
        <v>1041</v>
      </c>
      <c r="T171" s="161" t="s">
        <v>317</v>
      </c>
      <c r="U171" s="69" t="str">
        <f t="shared" si="103"/>
        <v>N</v>
      </c>
      <c r="V171" s="57" t="s">
        <v>361</v>
      </c>
      <c r="W171" s="197" t="s">
        <v>361</v>
      </c>
      <c r="X171" s="197" t="s">
        <v>320</v>
      </c>
      <c r="Y171" s="213">
        <v>40</v>
      </c>
      <c r="Z171" s="149"/>
      <c r="AA171" s="149"/>
      <c r="AB171" s="214"/>
      <c r="AC171" s="149"/>
      <c r="AD171" s="128"/>
      <c r="AE171" s="149"/>
      <c r="AF171" s="149"/>
      <c r="AG171" s="206"/>
      <c r="AH171" s="149"/>
      <c r="AI171" s="128"/>
      <c r="AJ171" s="149"/>
      <c r="AK171" s="149"/>
      <c r="AL171" s="214"/>
      <c r="AM171" s="149"/>
      <c r="AN171" s="128"/>
      <c r="AO171" s="149"/>
      <c r="AP171" s="149"/>
      <c r="AQ171" s="57"/>
      <c r="AR171" s="149"/>
      <c r="AS171" s="128"/>
      <c r="AT171" s="149">
        <v>5400</v>
      </c>
      <c r="AU171" s="149">
        <v>5400</v>
      </c>
      <c r="AV171" s="214">
        <v>2018</v>
      </c>
      <c r="AW171" s="149">
        <v>217434.7</v>
      </c>
      <c r="AX171" s="128">
        <v>2.48350424288304E-2</v>
      </c>
      <c r="AY171" s="197" t="s">
        <v>1606</v>
      </c>
      <c r="AZ171" s="161" t="str">
        <f t="shared" si="104"/>
        <v>N</v>
      </c>
      <c r="BA171" s="161" t="str">
        <f t="shared" si="105"/>
        <v>N</v>
      </c>
      <c r="BB171" s="161" t="str">
        <f t="shared" si="106"/>
        <v>N</v>
      </c>
      <c r="BC171" s="161" t="str">
        <f t="shared" si="107"/>
        <v>N</v>
      </c>
      <c r="BD171" s="161" t="str">
        <f t="shared" si="108"/>
        <v>N</v>
      </c>
      <c r="BE171" s="161" t="str">
        <f t="shared" si="109"/>
        <v>N</v>
      </c>
      <c r="BF171" s="161" t="str">
        <f t="shared" si="110"/>
        <v>N</v>
      </c>
      <c r="BG171" s="161" t="str">
        <f t="shared" si="111"/>
        <v>N</v>
      </c>
      <c r="BH171" s="161" t="str">
        <f t="shared" si="112"/>
        <v>N</v>
      </c>
      <c r="BI171" s="161" t="str">
        <f t="shared" si="113"/>
        <v>N</v>
      </c>
      <c r="BJ171" s="161" t="str">
        <f t="shared" si="114"/>
        <v>N</v>
      </c>
      <c r="BK171" s="161" t="str">
        <f t="shared" si="115"/>
        <v>N</v>
      </c>
      <c r="BL171" s="161" t="str">
        <f t="shared" si="116"/>
        <v>N</v>
      </c>
      <c r="BM171" s="161" t="str">
        <f t="shared" si="117"/>
        <v>N</v>
      </c>
      <c r="BN171" s="176" t="str">
        <f t="shared" si="118"/>
        <v>N</v>
      </c>
      <c r="BO171" s="222" t="s">
        <v>642</v>
      </c>
      <c r="BP171" s="174" t="str">
        <f t="shared" si="119"/>
        <v>深交所主板</v>
      </c>
      <c r="BQ171" s="219" t="s">
        <v>317</v>
      </c>
      <c r="BR171" s="173">
        <f t="shared" si="120"/>
        <v>42004</v>
      </c>
      <c r="BS171" s="171" t="str">
        <f t="shared" si="121"/>
        <v>N</v>
      </c>
    </row>
    <row r="172" spans="1:163" ht="15" customHeight="1" x14ac:dyDescent="0.25">
      <c r="A172" s="31">
        <v>129</v>
      </c>
      <c r="B172" s="55" t="s">
        <v>1607</v>
      </c>
      <c r="C172" s="57" t="s">
        <v>1608</v>
      </c>
      <c r="D172" s="57" t="s">
        <v>1508</v>
      </c>
      <c r="E172" s="57" t="s">
        <v>1509</v>
      </c>
      <c r="F172" s="57" t="s">
        <v>1609</v>
      </c>
      <c r="G172" s="57" t="s">
        <v>315</v>
      </c>
      <c r="H172" s="32" t="s">
        <v>327</v>
      </c>
      <c r="I172" s="78">
        <v>43552</v>
      </c>
      <c r="J172" s="78">
        <v>43720</v>
      </c>
      <c r="K172" s="85">
        <v>43720</v>
      </c>
      <c r="L172" s="194" t="s">
        <v>1610</v>
      </c>
      <c r="M172" s="69">
        <v>2018</v>
      </c>
      <c r="N172" s="69">
        <v>0.75</v>
      </c>
      <c r="O172" s="69" t="s">
        <v>1495</v>
      </c>
      <c r="P172" s="69" t="s">
        <v>1611</v>
      </c>
      <c r="Q172" s="32" t="s">
        <v>371</v>
      </c>
      <c r="R172" s="85">
        <v>42052</v>
      </c>
      <c r="S172" s="197" t="s">
        <v>1472</v>
      </c>
      <c r="T172" s="161" t="s">
        <v>345</v>
      </c>
      <c r="U172" s="69" t="str">
        <f t="shared" si="103"/>
        <v>N</v>
      </c>
      <c r="V172" s="57" t="s">
        <v>988</v>
      </c>
      <c r="W172" s="197" t="s">
        <v>670</v>
      </c>
      <c r="X172" s="197" t="s">
        <v>320</v>
      </c>
      <c r="Y172" s="213">
        <v>30</v>
      </c>
      <c r="Z172" s="149"/>
      <c r="AA172" s="149"/>
      <c r="AB172" s="214"/>
      <c r="AC172" s="149"/>
      <c r="AD172" s="128"/>
      <c r="AE172" s="149"/>
      <c r="AF172" s="149"/>
      <c r="AG172" s="206"/>
      <c r="AH172" s="149"/>
      <c r="AI172" s="128"/>
      <c r="AJ172" s="149"/>
      <c r="AK172" s="149"/>
      <c r="AL172" s="214"/>
      <c r="AM172" s="149"/>
      <c r="AN172" s="128"/>
      <c r="AO172" s="149">
        <v>574.62</v>
      </c>
      <c r="AP172" s="149">
        <v>574.62</v>
      </c>
      <c r="AQ172" s="57">
        <v>2018</v>
      </c>
      <c r="AR172" s="149">
        <v>14051.85</v>
      </c>
      <c r="AS172" s="128">
        <v>4.08928361745962E-2</v>
      </c>
      <c r="AT172" s="149">
        <v>44900</v>
      </c>
      <c r="AU172" s="149">
        <v>44900</v>
      </c>
      <c r="AV172" s="214">
        <v>2018</v>
      </c>
      <c r="AW172" s="149">
        <v>175600.6</v>
      </c>
      <c r="AX172" s="128">
        <v>0.255693887150727</v>
      </c>
      <c r="AY172" s="197" t="s">
        <v>1612</v>
      </c>
      <c r="AZ172" s="161" t="str">
        <f t="shared" si="104"/>
        <v>N</v>
      </c>
      <c r="BA172" s="161" t="str">
        <f t="shared" si="105"/>
        <v>N</v>
      </c>
      <c r="BB172" s="161" t="str">
        <f t="shared" si="106"/>
        <v>N</v>
      </c>
      <c r="BC172" s="161" t="str">
        <f t="shared" si="107"/>
        <v>N</v>
      </c>
      <c r="BD172" s="161" t="str">
        <f t="shared" si="108"/>
        <v>N</v>
      </c>
      <c r="BE172" s="161" t="str">
        <f t="shared" si="109"/>
        <v>N</v>
      </c>
      <c r="BF172" s="161" t="str">
        <f t="shared" si="110"/>
        <v>N</v>
      </c>
      <c r="BG172" s="161" t="str">
        <f t="shared" si="111"/>
        <v>N</v>
      </c>
      <c r="BH172" s="161" t="str">
        <f t="shared" si="112"/>
        <v>N</v>
      </c>
      <c r="BI172" s="161" t="str">
        <f t="shared" si="113"/>
        <v>N</v>
      </c>
      <c r="BJ172" s="161" t="str">
        <f t="shared" si="114"/>
        <v>N</v>
      </c>
      <c r="BK172" s="161" t="str">
        <f t="shared" si="115"/>
        <v>N</v>
      </c>
      <c r="BL172" s="161" t="str">
        <f t="shared" si="116"/>
        <v>N</v>
      </c>
      <c r="BM172" s="161" t="str">
        <f t="shared" si="117"/>
        <v>N</v>
      </c>
      <c r="BN172" s="176" t="str">
        <f t="shared" si="118"/>
        <v>N</v>
      </c>
      <c r="BO172" s="222" t="s">
        <v>536</v>
      </c>
      <c r="BP172" s="174" t="str">
        <f t="shared" si="119"/>
        <v>深交所主板</v>
      </c>
      <c r="BQ172" s="219" t="s">
        <v>317</v>
      </c>
      <c r="BR172" s="173">
        <f t="shared" si="120"/>
        <v>43100</v>
      </c>
      <c r="BS172" s="171" t="str">
        <f t="shared" si="121"/>
        <v>N</v>
      </c>
    </row>
    <row r="173" spans="1:163" ht="15" customHeight="1" x14ac:dyDescent="0.25">
      <c r="A173" s="31">
        <v>128</v>
      </c>
      <c r="B173" s="55" t="s">
        <v>1613</v>
      </c>
      <c r="C173" s="57" t="s">
        <v>1614</v>
      </c>
      <c r="D173" s="57" t="s">
        <v>426</v>
      </c>
      <c r="E173" s="57" t="s">
        <v>1615</v>
      </c>
      <c r="F173" s="57" t="s">
        <v>1616</v>
      </c>
      <c r="G173" s="57" t="s">
        <v>354</v>
      </c>
      <c r="H173" s="32" t="s">
        <v>327</v>
      </c>
      <c r="I173" s="78">
        <v>43319</v>
      </c>
      <c r="J173" s="78">
        <v>43704</v>
      </c>
      <c r="K173" s="78">
        <v>43791</v>
      </c>
      <c r="L173" s="194" t="s">
        <v>1617</v>
      </c>
      <c r="M173" s="69" t="s">
        <v>1349</v>
      </c>
      <c r="N173" s="69">
        <v>2</v>
      </c>
      <c r="O173" s="69" t="s">
        <v>1305</v>
      </c>
      <c r="P173" s="69" t="s">
        <v>1618</v>
      </c>
      <c r="Q173" s="32" t="s">
        <v>507</v>
      </c>
      <c r="R173" s="85">
        <v>35398</v>
      </c>
      <c r="S173" s="197" t="s">
        <v>660</v>
      </c>
      <c r="T173" s="161" t="s">
        <v>317</v>
      </c>
      <c r="U173" s="69" t="str">
        <f t="shared" si="103"/>
        <v>N</v>
      </c>
      <c r="V173" s="57" t="s">
        <v>333</v>
      </c>
      <c r="W173" s="197" t="s">
        <v>1619</v>
      </c>
      <c r="X173" s="197" t="s">
        <v>320</v>
      </c>
      <c r="Y173" s="213">
        <v>40</v>
      </c>
      <c r="Z173" s="149">
        <v>12384.237026000001</v>
      </c>
      <c r="AA173" s="149">
        <v>6192.1185130000003</v>
      </c>
      <c r="AB173" s="214">
        <v>2016</v>
      </c>
      <c r="AC173" s="149">
        <v>457207.52</v>
      </c>
      <c r="AD173" s="128">
        <v>1.35433435412436E-2</v>
      </c>
      <c r="AE173" s="149"/>
      <c r="AF173" s="149"/>
      <c r="AG173" s="206"/>
      <c r="AH173" s="149"/>
      <c r="AI173" s="128"/>
      <c r="AJ173" s="149">
        <v>12384.237026000001</v>
      </c>
      <c r="AK173" s="149">
        <v>6192.1185130000003</v>
      </c>
      <c r="AL173" s="214">
        <v>2016</v>
      </c>
      <c r="AM173" s="149">
        <v>18737.060000000001</v>
      </c>
      <c r="AN173" s="128">
        <v>0.33047439208712598</v>
      </c>
      <c r="AO173" s="149"/>
      <c r="AP173" s="149"/>
      <c r="AQ173" s="57"/>
      <c r="AR173" s="149"/>
      <c r="AS173" s="128"/>
      <c r="AT173" s="149"/>
      <c r="AU173" s="149"/>
      <c r="AV173" s="214"/>
      <c r="AW173" s="149"/>
      <c r="AX173" s="128"/>
      <c r="AY173" s="197" t="s">
        <v>1620</v>
      </c>
      <c r="AZ173" s="161" t="str">
        <f t="shared" si="104"/>
        <v>N</v>
      </c>
      <c r="BA173" s="161" t="str">
        <f t="shared" si="105"/>
        <v>N</v>
      </c>
      <c r="BB173" s="161" t="str">
        <f t="shared" si="106"/>
        <v>N</v>
      </c>
      <c r="BC173" s="161" t="str">
        <f t="shared" si="107"/>
        <v>N</v>
      </c>
      <c r="BD173" s="161" t="str">
        <f t="shared" si="108"/>
        <v>N</v>
      </c>
      <c r="BE173" s="161" t="str">
        <f t="shared" si="109"/>
        <v>N</v>
      </c>
      <c r="BF173" s="161" t="str">
        <f t="shared" si="110"/>
        <v>N</v>
      </c>
      <c r="BG173" s="161" t="str">
        <f t="shared" si="111"/>
        <v>N</v>
      </c>
      <c r="BH173" s="161" t="str">
        <f t="shared" si="112"/>
        <v>N</v>
      </c>
      <c r="BI173" s="161" t="str">
        <f t="shared" si="113"/>
        <v>N</v>
      </c>
      <c r="BJ173" s="161" t="str">
        <f t="shared" si="114"/>
        <v>N</v>
      </c>
      <c r="BK173" s="161" t="str">
        <f t="shared" si="115"/>
        <v>N</v>
      </c>
      <c r="BL173" s="161" t="str">
        <f t="shared" si="116"/>
        <v>N</v>
      </c>
      <c r="BM173" s="161" t="str">
        <f t="shared" si="117"/>
        <v>N</v>
      </c>
      <c r="BN173" s="176" t="str">
        <f t="shared" si="118"/>
        <v>N</v>
      </c>
      <c r="BO173" s="222" t="s">
        <v>1621</v>
      </c>
      <c r="BP173" s="174" t="str">
        <f t="shared" si="119"/>
        <v>深交所主板</v>
      </c>
      <c r="BQ173" s="219" t="s">
        <v>317</v>
      </c>
      <c r="BR173" s="173">
        <f t="shared" si="120"/>
        <v>36160</v>
      </c>
      <c r="BS173" s="171" t="str">
        <f t="shared" si="121"/>
        <v>N</v>
      </c>
    </row>
    <row r="174" spans="1:163" ht="15" customHeight="1" x14ac:dyDescent="0.35">
      <c r="A174" s="31">
        <v>127</v>
      </c>
      <c r="B174" s="32" t="s">
        <v>1622</v>
      </c>
      <c r="C174" s="23" t="s">
        <v>1623</v>
      </c>
      <c r="D174" s="44" t="s">
        <v>448</v>
      </c>
      <c r="E174" s="44" t="s">
        <v>1624</v>
      </c>
      <c r="F174" s="190" t="s">
        <v>1625</v>
      </c>
      <c r="G174" s="42" t="s">
        <v>315</v>
      </c>
      <c r="H174" s="32" t="s">
        <v>327</v>
      </c>
      <c r="I174" s="78">
        <v>42674</v>
      </c>
      <c r="J174" s="78">
        <v>43693</v>
      </c>
      <c r="K174" s="78">
        <v>43999</v>
      </c>
      <c r="L174" s="79" t="s">
        <v>1626</v>
      </c>
      <c r="M174" s="198">
        <v>2014</v>
      </c>
      <c r="N174" s="23">
        <v>1</v>
      </c>
      <c r="O174" s="69" t="str">
        <f>IF(N174&lt;1,"1年以内",IF(N174&lt;2,"1-2年",IF(N174&lt;3,"2-3年",IF(N174&lt;5,"3-5年","5年以上"))))</f>
        <v>1-2年</v>
      </c>
      <c r="P174" s="69" t="s">
        <v>1627</v>
      </c>
      <c r="Q174" s="191" t="s">
        <v>1055</v>
      </c>
      <c r="R174" s="80">
        <v>39008</v>
      </c>
      <c r="S174" s="44" t="s">
        <v>750</v>
      </c>
      <c r="T174" s="207" t="s">
        <v>317</v>
      </c>
      <c r="U174" s="69" t="str">
        <f t="shared" si="103"/>
        <v>Y</v>
      </c>
      <c r="V174" s="44" t="s">
        <v>318</v>
      </c>
      <c r="W174" s="208" t="s">
        <v>1628</v>
      </c>
      <c r="X174" s="44" t="s">
        <v>334</v>
      </c>
      <c r="Y174" s="229">
        <v>60</v>
      </c>
      <c r="Z174" s="216">
        <f>13761054.44/10000</f>
        <v>1376.105444</v>
      </c>
      <c r="AA174" s="148">
        <f>13761054.44/10000</f>
        <v>1376.105444</v>
      </c>
      <c r="AB174" s="44">
        <v>2014</v>
      </c>
      <c r="AC174" s="148">
        <f>187398865.32/10000</f>
        <v>18739.886532</v>
      </c>
      <c r="AD174" s="128">
        <f>AA174/AC174</f>
        <v>7.343189840825233E-2</v>
      </c>
      <c r="AE174" s="148"/>
      <c r="AF174" s="148"/>
      <c r="AG174" s="218"/>
      <c r="AH174" s="147"/>
      <c r="AI174" s="128"/>
      <c r="AJ174" s="148"/>
      <c r="AK174" s="148"/>
      <c r="AL174" s="218"/>
      <c r="AM174" s="148"/>
      <c r="AN174" s="128"/>
      <c r="AO174" s="148">
        <f>13761054.44/10000</f>
        <v>1376.105444</v>
      </c>
      <c r="AP174" s="148">
        <f>13761054.44/10000</f>
        <v>1376.105444</v>
      </c>
      <c r="AQ174" s="44">
        <v>2014</v>
      </c>
      <c r="AR174" s="148">
        <f>4592194.88/10000</f>
        <v>459.21948800000001</v>
      </c>
      <c r="AS174" s="128">
        <f>AP174/AR174</f>
        <v>2.9966181313280851</v>
      </c>
      <c r="AT174" s="148"/>
      <c r="AU174" s="148"/>
      <c r="AV174" s="218"/>
      <c r="AW174" s="148"/>
      <c r="AX174" s="159"/>
      <c r="AY174" s="198" t="s">
        <v>1629</v>
      </c>
      <c r="AZ174" s="161" t="str">
        <f t="shared" si="104"/>
        <v>N</v>
      </c>
      <c r="BA174" s="161" t="str">
        <f t="shared" si="105"/>
        <v>N</v>
      </c>
      <c r="BB174" s="161" t="str">
        <f t="shared" si="106"/>
        <v>N</v>
      </c>
      <c r="BC174" s="161" t="str">
        <f t="shared" si="107"/>
        <v>N</v>
      </c>
      <c r="BD174" s="161" t="str">
        <f t="shared" si="108"/>
        <v>N</v>
      </c>
      <c r="BE174" s="161" t="str">
        <f t="shared" si="109"/>
        <v>N</v>
      </c>
      <c r="BF174" s="161" t="str">
        <f t="shared" si="110"/>
        <v>N</v>
      </c>
      <c r="BG174" s="161" t="str">
        <f t="shared" si="111"/>
        <v>N</v>
      </c>
      <c r="BH174" s="161" t="str">
        <f t="shared" si="112"/>
        <v>Y</v>
      </c>
      <c r="BI174" s="161" t="str">
        <f t="shared" si="113"/>
        <v>Y</v>
      </c>
      <c r="BJ174" s="161" t="str">
        <f t="shared" si="114"/>
        <v>N</v>
      </c>
      <c r="BK174" s="161" t="str">
        <f t="shared" si="115"/>
        <v>N</v>
      </c>
      <c r="BL174" s="161" t="str">
        <f t="shared" si="116"/>
        <v>N</v>
      </c>
      <c r="BM174" s="161" t="str">
        <f t="shared" si="117"/>
        <v>Y</v>
      </c>
      <c r="BN174" s="176" t="str">
        <f t="shared" si="118"/>
        <v>Y</v>
      </c>
      <c r="BO174" s="170" t="s">
        <v>520</v>
      </c>
      <c r="BP174" s="174" t="str">
        <f t="shared" si="119"/>
        <v>深交所主板</v>
      </c>
      <c r="BQ174" s="172" t="s">
        <v>317</v>
      </c>
      <c r="BR174" s="173">
        <f t="shared" si="120"/>
        <v>39813</v>
      </c>
      <c r="BS174" s="171" t="str">
        <f t="shared" si="121"/>
        <v>N</v>
      </c>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row>
    <row r="175" spans="1:163" ht="15" customHeight="1" x14ac:dyDescent="0.25">
      <c r="A175" s="31">
        <v>126</v>
      </c>
      <c r="B175" s="55" t="s">
        <v>1630</v>
      </c>
      <c r="C175" s="57" t="s">
        <v>1631</v>
      </c>
      <c r="D175" s="57" t="s">
        <v>426</v>
      </c>
      <c r="E175" s="57" t="s">
        <v>1001</v>
      </c>
      <c r="F175" s="57" t="s">
        <v>1632</v>
      </c>
      <c r="G175" s="57" t="s">
        <v>315</v>
      </c>
      <c r="H175" s="32" t="s">
        <v>327</v>
      </c>
      <c r="I175" s="78">
        <v>43462</v>
      </c>
      <c r="J175" s="78">
        <v>43693</v>
      </c>
      <c r="K175" s="85">
        <v>43965</v>
      </c>
      <c r="L175" s="194" t="s">
        <v>1633</v>
      </c>
      <c r="M175" s="69" t="s">
        <v>679</v>
      </c>
      <c r="N175" s="69">
        <v>2.5</v>
      </c>
      <c r="O175" s="69" t="s">
        <v>1305</v>
      </c>
      <c r="P175" s="32" t="s">
        <v>1634</v>
      </c>
      <c r="Q175" s="32" t="s">
        <v>1635</v>
      </c>
      <c r="R175" s="85">
        <v>36969</v>
      </c>
      <c r="S175" s="197" t="s">
        <v>421</v>
      </c>
      <c r="T175" s="161" t="s">
        <v>345</v>
      </c>
      <c r="U175" s="69" t="str">
        <f t="shared" si="103"/>
        <v>Y</v>
      </c>
      <c r="V175" s="57" t="s">
        <v>988</v>
      </c>
      <c r="W175" s="197" t="s">
        <v>1062</v>
      </c>
      <c r="X175" s="197" t="s">
        <v>334</v>
      </c>
      <c r="Y175" s="213">
        <v>60</v>
      </c>
      <c r="Z175" s="149">
        <f>(22548513485.42+29944309821.45+36188038359.5)/10000+(11.89+4.01+20.15)*10000</f>
        <v>9228586.1666369997</v>
      </c>
      <c r="AA175" s="149">
        <v>3618803.8359500002</v>
      </c>
      <c r="AB175" s="214">
        <v>2018</v>
      </c>
      <c r="AC175" s="149">
        <v>2830002.53</v>
      </c>
      <c r="AD175" s="128">
        <v>1.2787281274797999</v>
      </c>
      <c r="AE175" s="149">
        <f>(89.99+100.32+16.13)*10000</f>
        <v>2064400</v>
      </c>
      <c r="AF175" s="149">
        <f>100.32*10000</f>
        <v>1003199.9999999999</v>
      </c>
      <c r="AG175" s="206">
        <v>2017</v>
      </c>
      <c r="AH175" s="149">
        <v>2647697.1</v>
      </c>
      <c r="AI175" s="128">
        <v>0.38750656183443299</v>
      </c>
      <c r="AJ175" s="149">
        <f>(6.56+12.51+1.65)*10000</f>
        <v>207200</v>
      </c>
      <c r="AK175" s="149">
        <f>12.51*10000</f>
        <v>125100</v>
      </c>
      <c r="AL175" s="214">
        <v>2017</v>
      </c>
      <c r="AM175" s="149">
        <f>AK175/AN175</f>
        <v>482825.16402933229</v>
      </c>
      <c r="AN175" s="128">
        <v>0.2591</v>
      </c>
      <c r="AO175" s="149"/>
      <c r="AP175" s="149"/>
      <c r="AQ175" s="57"/>
      <c r="AR175" s="149"/>
      <c r="AS175" s="128"/>
      <c r="AT175" s="149">
        <v>1161913.0802740001</v>
      </c>
      <c r="AU175" s="149"/>
      <c r="AV175" s="214"/>
      <c r="AW175" s="149"/>
      <c r="AX175" s="128"/>
      <c r="AY175" s="197" t="s">
        <v>1636</v>
      </c>
      <c r="AZ175" s="161" t="str">
        <f t="shared" si="104"/>
        <v>Y</v>
      </c>
      <c r="BA175" s="161" t="str">
        <f t="shared" si="105"/>
        <v>Y</v>
      </c>
      <c r="BB175" s="161" t="str">
        <f t="shared" si="106"/>
        <v>Y</v>
      </c>
      <c r="BC175" s="161" t="str">
        <f t="shared" si="107"/>
        <v>N</v>
      </c>
      <c r="BD175" s="161" t="str">
        <f t="shared" si="108"/>
        <v>Y</v>
      </c>
      <c r="BE175" s="161" t="str">
        <f t="shared" si="109"/>
        <v>N</v>
      </c>
      <c r="BF175" s="161" t="str">
        <f t="shared" si="110"/>
        <v>N</v>
      </c>
      <c r="BG175" s="161" t="str">
        <f t="shared" si="111"/>
        <v>N</v>
      </c>
      <c r="BH175" s="161" t="str">
        <f t="shared" si="112"/>
        <v>N</v>
      </c>
      <c r="BI175" s="161" t="str">
        <f t="shared" si="113"/>
        <v>N</v>
      </c>
      <c r="BJ175" s="161" t="str">
        <f t="shared" si="114"/>
        <v>Y</v>
      </c>
      <c r="BK175" s="161" t="str">
        <f t="shared" si="115"/>
        <v>N</v>
      </c>
      <c r="BL175" s="161" t="str">
        <f t="shared" si="116"/>
        <v>Y</v>
      </c>
      <c r="BM175" s="161" t="str">
        <f t="shared" si="117"/>
        <v>Y</v>
      </c>
      <c r="BN175" s="176" t="str">
        <f t="shared" si="118"/>
        <v>N</v>
      </c>
      <c r="BO175" s="222" t="s">
        <v>348</v>
      </c>
      <c r="BP175" s="174" t="str">
        <f t="shared" si="119"/>
        <v>上交所主板</v>
      </c>
      <c r="BQ175" s="219" t="s">
        <v>317</v>
      </c>
      <c r="BR175" s="173">
        <f t="shared" si="120"/>
        <v>37986</v>
      </c>
      <c r="BS175" s="171" t="str">
        <f t="shared" si="121"/>
        <v>N</v>
      </c>
    </row>
    <row r="176" spans="1:163" ht="15" customHeight="1" x14ac:dyDescent="0.25">
      <c r="A176" s="31">
        <v>125</v>
      </c>
      <c r="B176" s="55" t="s">
        <v>1637</v>
      </c>
      <c r="C176" s="57" t="s">
        <v>1638</v>
      </c>
      <c r="D176" s="57" t="s">
        <v>809</v>
      </c>
      <c r="E176" s="57" t="s">
        <v>1639</v>
      </c>
      <c r="F176" s="57" t="s">
        <v>1640</v>
      </c>
      <c r="G176" s="57" t="s">
        <v>380</v>
      </c>
      <c r="H176" s="32" t="s">
        <v>602</v>
      </c>
      <c r="I176" s="78">
        <v>43222</v>
      </c>
      <c r="J176" s="78">
        <v>43690</v>
      </c>
      <c r="K176" s="78">
        <v>43763</v>
      </c>
      <c r="L176" s="194" t="s">
        <v>1641</v>
      </c>
      <c r="M176" s="69" t="s">
        <v>1642</v>
      </c>
      <c r="N176" s="69">
        <v>4</v>
      </c>
      <c r="O176" s="69" t="s">
        <v>1314</v>
      </c>
      <c r="P176" s="69" t="s">
        <v>1643</v>
      </c>
      <c r="Q176" s="32" t="s">
        <v>1047</v>
      </c>
      <c r="R176" s="85">
        <v>34337</v>
      </c>
      <c r="S176" s="197" t="s">
        <v>669</v>
      </c>
      <c r="T176" s="161" t="s">
        <v>317</v>
      </c>
      <c r="U176" s="69" t="str">
        <f t="shared" si="103"/>
        <v>Y</v>
      </c>
      <c r="V176" s="57" t="s">
        <v>607</v>
      </c>
      <c r="W176" s="197" t="s">
        <v>1644</v>
      </c>
      <c r="X176" s="197" t="s">
        <v>334</v>
      </c>
      <c r="Y176" s="213">
        <v>60</v>
      </c>
      <c r="Z176" s="149"/>
      <c r="AA176" s="149"/>
      <c r="AB176" s="214"/>
      <c r="AC176" s="149"/>
      <c r="AD176" s="128"/>
      <c r="AE176" s="149"/>
      <c r="AF176" s="149"/>
      <c r="AG176" s="206"/>
      <c r="AH176" s="149"/>
      <c r="AI176" s="128"/>
      <c r="AJ176" s="149">
        <f>14596.83+1094.66+34.99+5257.17+2319.92+2260.8+6902.06+5731.23+6259.24</f>
        <v>44456.9</v>
      </c>
      <c r="AK176" s="149">
        <f>5257.17+2260.8</f>
        <v>7517.97</v>
      </c>
      <c r="AL176" s="214">
        <v>2017</v>
      </c>
      <c r="AM176" s="149">
        <v>-15610.71</v>
      </c>
      <c r="AN176" s="128">
        <f>ABS(AK176/AM176)</f>
        <v>0.48159052342910735</v>
      </c>
      <c r="AO176" s="149">
        <f>809.36+168.34+849.44</f>
        <v>1827.14</v>
      </c>
      <c r="AP176" s="149">
        <v>809.36</v>
      </c>
      <c r="AQ176" s="57">
        <v>2016</v>
      </c>
      <c r="AR176" s="149">
        <v>12575.15</v>
      </c>
      <c r="AS176" s="128">
        <v>6.4361856518610094E-2</v>
      </c>
      <c r="AT176" s="149">
        <v>970009.72</v>
      </c>
      <c r="AU176" s="149">
        <v>501019.19</v>
      </c>
      <c r="AV176" s="214">
        <v>2017</v>
      </c>
      <c r="AW176" s="149">
        <v>174837.14</v>
      </c>
      <c r="AX176" s="128">
        <v>2.8656336405411298</v>
      </c>
      <c r="AY176" s="197" t="s">
        <v>1645</v>
      </c>
      <c r="AZ176" s="161" t="str">
        <f t="shared" ref="AZ176:AZ192" si="122">IFERROR(IF(Z176&gt;100000,"Y","N"),"N")</f>
        <v>N</v>
      </c>
      <c r="BA176" s="161" t="str">
        <f t="shared" ref="BA176:BA192" si="123">IFERROR(IF(AD176&gt;0.5,"Y","N"),"N")</f>
        <v>N</v>
      </c>
      <c r="BB176" s="161" t="str">
        <f t="shared" ref="BB176:BB192" si="124">IFERROR(IF(AE176&gt;100000,"Y","N"),"N")</f>
        <v>N</v>
      </c>
      <c r="BC176" s="161" t="str">
        <f t="shared" ref="BC176:BC192" si="125">IFERROR(IF(AI176&gt;0.5,"Y","N"),"N")</f>
        <v>N</v>
      </c>
      <c r="BD176" s="161" t="str">
        <f t="shared" ref="BD176:BD192" si="126">IFERROR(IF(AJ176&gt;100000,"Y","N"),"N")</f>
        <v>N</v>
      </c>
      <c r="BE176" s="161" t="str">
        <f t="shared" ref="BE176:BE192" si="127">IFERROR(IF(AN176&gt;0.5,"Y","N"),"N")</f>
        <v>N</v>
      </c>
      <c r="BF176" s="161" t="str">
        <f t="shared" ref="BF176:BF192" si="128">IFERROR(IF(AND(AM176-AK176&lt;0,AM176&gt;0),"Y","N"),"N")</f>
        <v>N</v>
      </c>
      <c r="BG176" s="161" t="str">
        <f t="shared" ref="BG176:BG192" si="129">IFERROR(IF(AO176&gt;100000,"Y","N"),"N")</f>
        <v>N</v>
      </c>
      <c r="BH176" s="161" t="str">
        <f t="shared" ref="BH176:BH192" si="130">IFERROR(IF(AS176&gt;0.5,"Y","N"),"N")</f>
        <v>N</v>
      </c>
      <c r="BI176" s="161" t="str">
        <f t="shared" ref="BI176:BI192" si="131">IFERROR(IF(AND(AR176-AP176&lt;0,AR176&gt;0),"Y","N"),"N")</f>
        <v>N</v>
      </c>
      <c r="BJ176" s="161" t="str">
        <f t="shared" ref="BJ176:BJ192" si="132">IFERROR(IF(AT176&gt;100000,"Y","N"),"N")</f>
        <v>Y</v>
      </c>
      <c r="BK176" s="161" t="str">
        <f t="shared" ref="BK176:BK192" si="133">IFERROR(IF(AX176&gt;0.5,"Y","N"),"N")</f>
        <v>Y</v>
      </c>
      <c r="BL176" s="161" t="str">
        <f t="shared" ref="BL176:BL192" si="134">IF(OR(AZ176="Y",BB176="Y",BD176="Y",BG176="Y",BJ176="Y"),"Y","N")</f>
        <v>Y</v>
      </c>
      <c r="BM176" s="161" t="str">
        <f t="shared" ref="BM176:BM192" si="135">IF(OR(BA176="Y",BC176="Y",BE176="Y",BH176="Y",BK176="Y"),"Y","N")</f>
        <v>Y</v>
      </c>
      <c r="BN176" s="176" t="str">
        <f t="shared" ref="BN176:BN192" si="136">IF(OR(BF176="Y",BI176="Y"),"Y","N")</f>
        <v>N</v>
      </c>
      <c r="BO176" s="222" t="s">
        <v>1646</v>
      </c>
      <c r="BP176" s="174" t="str">
        <f t="shared" ref="BP176:BP192" si="137">IF(LEFT(B176,2)="00","深交所主板",IF(LEFT(B176,2)="60","上交所主板",IF(LEFT(B176,2)="30","深交所创业板",IF(LEFT(B176,3)="688","上交所科创板",IF(RIGHT(B176,2)="BJ","北交所","")))))</f>
        <v>上交所主板</v>
      </c>
      <c r="BQ176" s="219" t="s">
        <v>345</v>
      </c>
      <c r="BR176" s="173">
        <f t="shared" ref="BR176:BR192" si="138">IF(OR(BP176="上交所主板",BP176="深交所主板"),DATE(YEAR(R176)+2,12,31),IF(OR(BP176="上交所科创板",BP176="深交所创业板",,BP176="北交所"),DATE(YEAR(R176)+3,12,31),""))</f>
        <v>35430</v>
      </c>
      <c r="BS176" s="171" t="str">
        <f t="shared" ref="BS176:BS192" si="139">IF(BQ176="是","N",IF(OR(R176="-",LEFT(R176)="A"),"Y",IF(OR(LEFT(M176,4)-YEAR(BR176)&gt;0,RIGHT(M176,4)-(YEAR(R176)-3)&lt;0),"N","Y")))</f>
        <v>N</v>
      </c>
    </row>
    <row r="177" spans="1:163" ht="15" customHeight="1" x14ac:dyDescent="0.25">
      <c r="A177" s="31">
        <v>124</v>
      </c>
      <c r="B177" s="55" t="s">
        <v>1647</v>
      </c>
      <c r="C177" s="57" t="s">
        <v>1648</v>
      </c>
      <c r="D177" s="57" t="s">
        <v>764</v>
      </c>
      <c r="E177" s="57" t="s">
        <v>765</v>
      </c>
      <c r="F177" s="57" t="s">
        <v>1649</v>
      </c>
      <c r="G177" s="57" t="s">
        <v>315</v>
      </c>
      <c r="H177" s="32" t="s">
        <v>327</v>
      </c>
      <c r="I177" s="78">
        <v>42895</v>
      </c>
      <c r="J177" s="78">
        <v>43679</v>
      </c>
      <c r="K177" s="78">
        <v>43728</v>
      </c>
      <c r="L177" s="194" t="s">
        <v>1650</v>
      </c>
      <c r="M177" s="69" t="s">
        <v>1217</v>
      </c>
      <c r="N177" s="69">
        <v>3</v>
      </c>
      <c r="O177" s="69" t="s">
        <v>1314</v>
      </c>
      <c r="P177" s="69" t="s">
        <v>1315</v>
      </c>
      <c r="Q177" s="32" t="s">
        <v>1651</v>
      </c>
      <c r="R177" s="227">
        <v>40599</v>
      </c>
      <c r="S177" s="197" t="s">
        <v>543</v>
      </c>
      <c r="T177" s="228" t="s">
        <v>317</v>
      </c>
      <c r="U177" s="69" t="str">
        <f t="shared" si="103"/>
        <v>Y</v>
      </c>
      <c r="V177" s="57" t="s">
        <v>333</v>
      </c>
      <c r="W177" s="197" t="s">
        <v>319</v>
      </c>
      <c r="X177" s="197" t="s">
        <v>320</v>
      </c>
      <c r="Y177" s="213">
        <v>60</v>
      </c>
      <c r="Z177" s="149"/>
      <c r="AA177" s="149"/>
      <c r="AB177" s="214"/>
      <c r="AC177" s="149"/>
      <c r="AD177" s="128"/>
      <c r="AE177" s="149">
        <v>8380.7666950000003</v>
      </c>
      <c r="AF177" s="149">
        <v>5405.7684250000002</v>
      </c>
      <c r="AG177" s="206">
        <v>2014</v>
      </c>
      <c r="AH177" s="149">
        <v>35566</v>
      </c>
      <c r="AI177" s="128">
        <v>0.151992589130068</v>
      </c>
      <c r="AJ177" s="149">
        <v>2515</v>
      </c>
      <c r="AK177" s="149">
        <v>2515</v>
      </c>
      <c r="AL177" s="214">
        <v>2015</v>
      </c>
      <c r="AM177" s="149">
        <f>7660900.27/10000</f>
        <v>766.09002699999996</v>
      </c>
      <c r="AN177" s="128">
        <f>AK177/AM177</f>
        <v>3.2829039817274634</v>
      </c>
      <c r="AO177" s="149"/>
      <c r="AP177" s="149"/>
      <c r="AQ177" s="57"/>
      <c r="AR177" s="149"/>
      <c r="AS177" s="128"/>
      <c r="AT177" s="149"/>
      <c r="AU177" s="149"/>
      <c r="AV177" s="214"/>
      <c r="AW177" s="149"/>
      <c r="AX177" s="128"/>
      <c r="AY177" s="233" t="s">
        <v>1652</v>
      </c>
      <c r="AZ177" s="161" t="str">
        <f t="shared" si="122"/>
        <v>N</v>
      </c>
      <c r="BA177" s="161" t="str">
        <f t="shared" si="123"/>
        <v>N</v>
      </c>
      <c r="BB177" s="161" t="str">
        <f t="shared" si="124"/>
        <v>N</v>
      </c>
      <c r="BC177" s="161" t="str">
        <f t="shared" si="125"/>
        <v>N</v>
      </c>
      <c r="BD177" s="161" t="str">
        <f t="shared" si="126"/>
        <v>N</v>
      </c>
      <c r="BE177" s="161" t="str">
        <f t="shared" si="127"/>
        <v>Y</v>
      </c>
      <c r="BF177" s="161" t="str">
        <f t="shared" si="128"/>
        <v>Y</v>
      </c>
      <c r="BG177" s="161" t="str">
        <f t="shared" si="129"/>
        <v>N</v>
      </c>
      <c r="BH177" s="161" t="str">
        <f t="shared" si="130"/>
        <v>N</v>
      </c>
      <c r="BI177" s="161" t="str">
        <f t="shared" si="131"/>
        <v>N</v>
      </c>
      <c r="BJ177" s="161" t="str">
        <f t="shared" si="132"/>
        <v>N</v>
      </c>
      <c r="BK177" s="161" t="str">
        <f t="shared" si="133"/>
        <v>N</v>
      </c>
      <c r="BL177" s="161" t="str">
        <f t="shared" si="134"/>
        <v>N</v>
      </c>
      <c r="BM177" s="161" t="str">
        <f t="shared" si="135"/>
        <v>Y</v>
      </c>
      <c r="BN177" s="176" t="str">
        <f t="shared" si="136"/>
        <v>Y</v>
      </c>
      <c r="BO177" s="222" t="s">
        <v>520</v>
      </c>
      <c r="BP177" s="174" t="str">
        <f t="shared" si="137"/>
        <v>深交所创业板</v>
      </c>
      <c r="BQ177" s="219" t="s">
        <v>317</v>
      </c>
      <c r="BR177" s="173">
        <f t="shared" si="138"/>
        <v>42004</v>
      </c>
      <c r="BS177" s="171" t="str">
        <f t="shared" si="139"/>
        <v>Y</v>
      </c>
    </row>
    <row r="178" spans="1:163" ht="15" customHeight="1" x14ac:dyDescent="0.25">
      <c r="A178" s="31">
        <v>123</v>
      </c>
      <c r="B178" s="55" t="s">
        <v>1653</v>
      </c>
      <c r="C178" s="57" t="s">
        <v>1654</v>
      </c>
      <c r="D178" s="57" t="s">
        <v>1508</v>
      </c>
      <c r="E178" s="57" t="s">
        <v>1509</v>
      </c>
      <c r="F178" s="57" t="s">
        <v>1655</v>
      </c>
      <c r="G178" s="57" t="s">
        <v>315</v>
      </c>
      <c r="H178" s="32" t="s">
        <v>327</v>
      </c>
      <c r="I178" s="78">
        <v>42933</v>
      </c>
      <c r="J178" s="78">
        <v>43675</v>
      </c>
      <c r="K178" s="78">
        <v>43773</v>
      </c>
      <c r="L178" s="194" t="s">
        <v>1656</v>
      </c>
      <c r="M178" s="69">
        <v>2016</v>
      </c>
      <c r="N178" s="69">
        <v>1</v>
      </c>
      <c r="O178" s="69" t="s">
        <v>1258</v>
      </c>
      <c r="P178" s="69" t="s">
        <v>1315</v>
      </c>
      <c r="Q178" s="32" t="s">
        <v>534</v>
      </c>
      <c r="R178" s="227">
        <v>36094</v>
      </c>
      <c r="S178" s="197" t="s">
        <v>822</v>
      </c>
      <c r="T178" s="228" t="s">
        <v>317</v>
      </c>
      <c r="U178" s="69" t="str">
        <f t="shared" si="103"/>
        <v>Y</v>
      </c>
      <c r="V178" s="57" t="s">
        <v>607</v>
      </c>
      <c r="W178" s="197" t="s">
        <v>1657</v>
      </c>
      <c r="X178" s="197" t="s">
        <v>320</v>
      </c>
      <c r="Y178" s="213">
        <v>30</v>
      </c>
      <c r="Z178" s="149">
        <v>2550</v>
      </c>
      <c r="AA178" s="149">
        <v>2550</v>
      </c>
      <c r="AB178" s="214">
        <v>2016</v>
      </c>
      <c r="AC178" s="149">
        <v>269827.59000000003</v>
      </c>
      <c r="AD178" s="128">
        <v>1.05067091174776E-2</v>
      </c>
      <c r="AE178" s="149">
        <f>(69396226.42+27894339.63)/10000</f>
        <v>9729.0566049999998</v>
      </c>
      <c r="AF178" s="149">
        <f>(69396226.42)/10000</f>
        <v>6939.6226420000003</v>
      </c>
      <c r="AG178" s="206">
        <v>2013</v>
      </c>
      <c r="AH178" s="149">
        <f>10965958.04/10000</f>
        <v>1096.5958039999998</v>
      </c>
      <c r="AI178" s="128">
        <f>AF178/AH178</f>
        <v>6.3283322958985178</v>
      </c>
      <c r="AJ178" s="149">
        <f>(4250000+4675000+52000+208000+2340000)/10000</f>
        <v>1152.5</v>
      </c>
      <c r="AK178" s="149">
        <f>(4250000+2340000)/10000</f>
        <v>659</v>
      </c>
      <c r="AL178" s="214">
        <v>2015</v>
      </c>
      <c r="AM178" s="149">
        <f>2814823.62/10000</f>
        <v>281.48236200000002</v>
      </c>
      <c r="AN178" s="128">
        <f>AK178/AM178</f>
        <v>2.3411768869553535</v>
      </c>
      <c r="AO178" s="149"/>
      <c r="AP178" s="149"/>
      <c r="AQ178" s="57"/>
      <c r="AR178" s="149"/>
      <c r="AS178" s="128"/>
      <c r="AT178" s="149">
        <v>3800</v>
      </c>
      <c r="AU178" s="149">
        <v>3800</v>
      </c>
      <c r="AV178" s="214">
        <v>2016</v>
      </c>
      <c r="AW178" s="149">
        <v>269827.59000000003</v>
      </c>
      <c r="AX178" s="128">
        <v>1.40830668946789E-2</v>
      </c>
      <c r="AY178" s="233" t="s">
        <v>1658</v>
      </c>
      <c r="AZ178" s="161" t="str">
        <f t="shared" si="122"/>
        <v>N</v>
      </c>
      <c r="BA178" s="161" t="str">
        <f t="shared" si="123"/>
        <v>N</v>
      </c>
      <c r="BB178" s="161" t="str">
        <f t="shared" si="124"/>
        <v>N</v>
      </c>
      <c r="BC178" s="161" t="str">
        <f t="shared" si="125"/>
        <v>Y</v>
      </c>
      <c r="BD178" s="161" t="str">
        <f t="shared" si="126"/>
        <v>N</v>
      </c>
      <c r="BE178" s="161" t="str">
        <f t="shared" si="127"/>
        <v>Y</v>
      </c>
      <c r="BF178" s="161" t="str">
        <f t="shared" si="128"/>
        <v>Y</v>
      </c>
      <c r="BG178" s="161" t="str">
        <f t="shared" si="129"/>
        <v>N</v>
      </c>
      <c r="BH178" s="161" t="str">
        <f t="shared" si="130"/>
        <v>N</v>
      </c>
      <c r="BI178" s="161" t="str">
        <f t="shared" si="131"/>
        <v>N</v>
      </c>
      <c r="BJ178" s="161" t="str">
        <f t="shared" si="132"/>
        <v>N</v>
      </c>
      <c r="BK178" s="161" t="str">
        <f t="shared" si="133"/>
        <v>N</v>
      </c>
      <c r="BL178" s="161" t="str">
        <f t="shared" si="134"/>
        <v>N</v>
      </c>
      <c r="BM178" s="161" t="str">
        <f t="shared" si="135"/>
        <v>Y</v>
      </c>
      <c r="BN178" s="176" t="str">
        <f t="shared" si="136"/>
        <v>Y</v>
      </c>
      <c r="BO178" s="222" t="s">
        <v>1659</v>
      </c>
      <c r="BP178" s="174" t="str">
        <f t="shared" si="137"/>
        <v>深交所主板</v>
      </c>
      <c r="BQ178" s="219" t="s">
        <v>345</v>
      </c>
      <c r="BR178" s="173">
        <f t="shared" si="138"/>
        <v>36891</v>
      </c>
      <c r="BS178" s="171" t="str">
        <f t="shared" si="139"/>
        <v>N</v>
      </c>
    </row>
    <row r="179" spans="1:163" ht="15" customHeight="1" x14ac:dyDescent="0.25">
      <c r="A179" s="31">
        <v>122</v>
      </c>
      <c r="B179" s="55" t="s">
        <v>1660</v>
      </c>
      <c r="C179" s="57" t="s">
        <v>1661</v>
      </c>
      <c r="D179" s="57" t="s">
        <v>754</v>
      </c>
      <c r="E179" s="57" t="s">
        <v>755</v>
      </c>
      <c r="F179" s="57" t="s">
        <v>1662</v>
      </c>
      <c r="G179" s="57" t="s">
        <v>585</v>
      </c>
      <c r="H179" s="32" t="s">
        <v>327</v>
      </c>
      <c r="I179" s="78">
        <v>43140</v>
      </c>
      <c r="J179" s="78">
        <v>43655</v>
      </c>
      <c r="K179" s="78">
        <v>44005</v>
      </c>
      <c r="L179" s="194" t="s">
        <v>1663</v>
      </c>
      <c r="M179" s="69" t="s">
        <v>748</v>
      </c>
      <c r="N179" s="69">
        <v>2</v>
      </c>
      <c r="O179" s="69" t="s">
        <v>1305</v>
      </c>
      <c r="P179" s="69" t="s">
        <v>1315</v>
      </c>
      <c r="Q179" s="32" t="s">
        <v>471</v>
      </c>
      <c r="R179" s="227">
        <v>38987</v>
      </c>
      <c r="S179" s="197" t="s">
        <v>543</v>
      </c>
      <c r="T179" s="228" t="s">
        <v>317</v>
      </c>
      <c r="U179" s="69" t="str">
        <f t="shared" si="103"/>
        <v>N</v>
      </c>
      <c r="V179" s="57" t="s">
        <v>333</v>
      </c>
      <c r="W179" s="197" t="s">
        <v>1664</v>
      </c>
      <c r="X179" s="197" t="s">
        <v>334</v>
      </c>
      <c r="Y179" s="213">
        <v>60</v>
      </c>
      <c r="Z179" s="149"/>
      <c r="AA179" s="149"/>
      <c r="AB179" s="214"/>
      <c r="AC179" s="149"/>
      <c r="AD179" s="128"/>
      <c r="AE179" s="149"/>
      <c r="AF179" s="149"/>
      <c r="AG179" s="206"/>
      <c r="AH179" s="149"/>
      <c r="AI179" s="128"/>
      <c r="AJ179" s="149">
        <v>40979.86</v>
      </c>
      <c r="AK179" s="149">
        <v>27865.09</v>
      </c>
      <c r="AL179" s="214">
        <v>2017</v>
      </c>
      <c r="AM179" s="149">
        <v>-72251.350000000006</v>
      </c>
      <c r="AN179" s="128">
        <v>-0.38566877989130999</v>
      </c>
      <c r="AO179" s="149"/>
      <c r="AP179" s="149"/>
      <c r="AQ179" s="57"/>
      <c r="AR179" s="149"/>
      <c r="AS179" s="128"/>
      <c r="AT179" s="149"/>
      <c r="AU179" s="149"/>
      <c r="AV179" s="214"/>
      <c r="AW179" s="149"/>
      <c r="AX179" s="128"/>
      <c r="AY179" s="233" t="s">
        <v>1665</v>
      </c>
      <c r="AZ179" s="161" t="str">
        <f t="shared" si="122"/>
        <v>N</v>
      </c>
      <c r="BA179" s="161" t="str">
        <f t="shared" si="123"/>
        <v>N</v>
      </c>
      <c r="BB179" s="161" t="str">
        <f t="shared" si="124"/>
        <v>N</v>
      </c>
      <c r="BC179" s="161" t="str">
        <f t="shared" si="125"/>
        <v>N</v>
      </c>
      <c r="BD179" s="161" t="str">
        <f t="shared" si="126"/>
        <v>N</v>
      </c>
      <c r="BE179" s="161" t="str">
        <f t="shared" si="127"/>
        <v>N</v>
      </c>
      <c r="BF179" s="161" t="str">
        <f t="shared" si="128"/>
        <v>N</v>
      </c>
      <c r="BG179" s="161" t="str">
        <f t="shared" si="129"/>
        <v>N</v>
      </c>
      <c r="BH179" s="161" t="str">
        <f t="shared" si="130"/>
        <v>N</v>
      </c>
      <c r="BI179" s="161" t="str">
        <f t="shared" si="131"/>
        <v>N</v>
      </c>
      <c r="BJ179" s="161" t="str">
        <f t="shared" si="132"/>
        <v>N</v>
      </c>
      <c r="BK179" s="161" t="str">
        <f t="shared" si="133"/>
        <v>N</v>
      </c>
      <c r="BL179" s="161" t="str">
        <f t="shared" si="134"/>
        <v>N</v>
      </c>
      <c r="BM179" s="161" t="str">
        <f t="shared" si="135"/>
        <v>N</v>
      </c>
      <c r="BN179" s="176" t="str">
        <f t="shared" si="136"/>
        <v>N</v>
      </c>
      <c r="BO179" s="222" t="s">
        <v>520</v>
      </c>
      <c r="BP179" s="174" t="str">
        <f t="shared" si="137"/>
        <v>深交所主板</v>
      </c>
      <c r="BQ179" s="219" t="s">
        <v>317</v>
      </c>
      <c r="BR179" s="173">
        <f t="shared" si="138"/>
        <v>39813</v>
      </c>
      <c r="BS179" s="171" t="str">
        <f t="shared" si="139"/>
        <v>N</v>
      </c>
    </row>
    <row r="180" spans="1:163" ht="15" customHeight="1" x14ac:dyDescent="0.25">
      <c r="A180" s="31">
        <v>121</v>
      </c>
      <c r="B180" s="55" t="s">
        <v>1666</v>
      </c>
      <c r="C180" s="57" t="s">
        <v>1667</v>
      </c>
      <c r="D180" s="57" t="s">
        <v>313</v>
      </c>
      <c r="E180" s="57" t="s">
        <v>366</v>
      </c>
      <c r="F180" s="57" t="s">
        <v>1668</v>
      </c>
      <c r="G180" s="57" t="s">
        <v>315</v>
      </c>
      <c r="H180" s="32" t="s">
        <v>327</v>
      </c>
      <c r="I180" s="78">
        <v>43217</v>
      </c>
      <c r="J180" s="78">
        <v>43655</v>
      </c>
      <c r="K180" s="78">
        <v>43774</v>
      </c>
      <c r="L180" s="194" t="s">
        <v>1669</v>
      </c>
      <c r="M180" s="69">
        <v>2017</v>
      </c>
      <c r="N180" s="69">
        <v>0.75</v>
      </c>
      <c r="O180" s="69" t="s">
        <v>1495</v>
      </c>
      <c r="P180" s="69" t="s">
        <v>1670</v>
      </c>
      <c r="Q180" s="32" t="s">
        <v>1260</v>
      </c>
      <c r="R180" s="227">
        <v>39169</v>
      </c>
      <c r="S180" s="197" t="s">
        <v>332</v>
      </c>
      <c r="T180" s="228" t="s">
        <v>317</v>
      </c>
      <c r="U180" s="69" t="str">
        <f t="shared" si="103"/>
        <v>Y</v>
      </c>
      <c r="V180" s="57" t="s">
        <v>988</v>
      </c>
      <c r="W180" s="197" t="s">
        <v>1671</v>
      </c>
      <c r="X180" s="197" t="s">
        <v>334</v>
      </c>
      <c r="Y180" s="213">
        <v>60</v>
      </c>
      <c r="Z180" s="149">
        <v>465200</v>
      </c>
      <c r="AA180" s="149">
        <v>232600</v>
      </c>
      <c r="AB180" s="214">
        <v>2017</v>
      </c>
      <c r="AC180" s="149">
        <v>404496.93</v>
      </c>
      <c r="AD180" s="128">
        <v>0.57503526664590499</v>
      </c>
      <c r="AE180" s="149"/>
      <c r="AF180" s="149"/>
      <c r="AG180" s="206"/>
      <c r="AH180" s="149"/>
      <c r="AI180" s="128"/>
      <c r="AJ180" s="149"/>
      <c r="AK180" s="149"/>
      <c r="AL180" s="214"/>
      <c r="AM180" s="149"/>
      <c r="AN180" s="128"/>
      <c r="AO180" s="149">
        <v>1604.4431999999999</v>
      </c>
      <c r="AP180" s="149">
        <v>1604.4431999999999</v>
      </c>
      <c r="AQ180" s="57">
        <v>2017</v>
      </c>
      <c r="AR180" s="149">
        <v>4498.1400000000003</v>
      </c>
      <c r="AS180" s="128">
        <v>0.35669036535101201</v>
      </c>
      <c r="AT180" s="149">
        <v>89600</v>
      </c>
      <c r="AU180" s="149">
        <v>89600</v>
      </c>
      <c r="AV180" s="214">
        <v>2017</v>
      </c>
      <c r="AW180" s="149">
        <v>404496.93</v>
      </c>
      <c r="AX180" s="128">
        <v>0.22150971578449299</v>
      </c>
      <c r="AY180" s="234" t="s">
        <v>1672</v>
      </c>
      <c r="AZ180" s="161" t="str">
        <f t="shared" si="122"/>
        <v>Y</v>
      </c>
      <c r="BA180" s="161" t="str">
        <f t="shared" si="123"/>
        <v>Y</v>
      </c>
      <c r="BB180" s="161" t="str">
        <f t="shared" si="124"/>
        <v>N</v>
      </c>
      <c r="BC180" s="161" t="str">
        <f t="shared" si="125"/>
        <v>N</v>
      </c>
      <c r="BD180" s="161" t="str">
        <f t="shared" si="126"/>
        <v>N</v>
      </c>
      <c r="BE180" s="161" t="str">
        <f t="shared" si="127"/>
        <v>N</v>
      </c>
      <c r="BF180" s="161" t="str">
        <f t="shared" si="128"/>
        <v>N</v>
      </c>
      <c r="BG180" s="161" t="str">
        <f t="shared" si="129"/>
        <v>N</v>
      </c>
      <c r="BH180" s="161" t="str">
        <f t="shared" si="130"/>
        <v>N</v>
      </c>
      <c r="BI180" s="161" t="str">
        <f t="shared" si="131"/>
        <v>N</v>
      </c>
      <c r="BJ180" s="161" t="str">
        <f t="shared" si="132"/>
        <v>N</v>
      </c>
      <c r="BK180" s="161" t="str">
        <f t="shared" si="133"/>
        <v>N</v>
      </c>
      <c r="BL180" s="161" t="str">
        <f t="shared" si="134"/>
        <v>Y</v>
      </c>
      <c r="BM180" s="161" t="str">
        <f t="shared" si="135"/>
        <v>Y</v>
      </c>
      <c r="BN180" s="176" t="str">
        <f t="shared" si="136"/>
        <v>N</v>
      </c>
      <c r="BO180" s="222" t="s">
        <v>663</v>
      </c>
      <c r="BP180" s="174" t="str">
        <f t="shared" si="137"/>
        <v>深交所主板</v>
      </c>
      <c r="BQ180" s="219" t="s">
        <v>317</v>
      </c>
      <c r="BR180" s="173">
        <f t="shared" si="138"/>
        <v>40178</v>
      </c>
      <c r="BS180" s="171" t="str">
        <f t="shared" si="139"/>
        <v>N</v>
      </c>
    </row>
    <row r="181" spans="1:163" ht="15" customHeight="1" x14ac:dyDescent="0.25">
      <c r="A181" s="31">
        <v>120</v>
      </c>
      <c r="B181" s="55" t="s">
        <v>1673</v>
      </c>
      <c r="C181" s="57" t="s">
        <v>1674</v>
      </c>
      <c r="D181" s="57" t="s">
        <v>754</v>
      </c>
      <c r="E181" s="57" t="s">
        <v>1675</v>
      </c>
      <c r="F181" s="57" t="s">
        <v>1676</v>
      </c>
      <c r="G181" s="57" t="s">
        <v>315</v>
      </c>
      <c r="H181" s="32" t="s">
        <v>368</v>
      </c>
      <c r="I181" s="78">
        <v>43180</v>
      </c>
      <c r="J181" s="78">
        <v>43654</v>
      </c>
      <c r="K181" s="78">
        <v>43825</v>
      </c>
      <c r="L181" s="194" t="s">
        <v>1677</v>
      </c>
      <c r="M181" s="69" t="s">
        <v>1249</v>
      </c>
      <c r="N181" s="69">
        <v>7.75</v>
      </c>
      <c r="O181" s="69" t="s">
        <v>1391</v>
      </c>
      <c r="P181" s="69" t="s">
        <v>1678</v>
      </c>
      <c r="Q181" s="32" t="s">
        <v>731</v>
      </c>
      <c r="R181" s="85">
        <v>39155</v>
      </c>
      <c r="S181" s="197" t="s">
        <v>1679</v>
      </c>
      <c r="T181" s="161" t="s">
        <v>317</v>
      </c>
      <c r="U181" s="69" t="str">
        <f t="shared" si="103"/>
        <v>Y</v>
      </c>
      <c r="V181" s="57" t="s">
        <v>398</v>
      </c>
      <c r="W181" s="197" t="s">
        <v>1680</v>
      </c>
      <c r="X181" s="197" t="s">
        <v>334</v>
      </c>
      <c r="Y181" s="213">
        <v>60</v>
      </c>
      <c r="Z181" s="149">
        <v>396947.71042800002</v>
      </c>
      <c r="AA181" s="149">
        <v>141806.92240000001</v>
      </c>
      <c r="AB181" s="214">
        <v>2013</v>
      </c>
      <c r="AC181" s="149">
        <v>171199.39</v>
      </c>
      <c r="AD181" s="128">
        <v>0.82831441397075101</v>
      </c>
      <c r="AE181" s="149"/>
      <c r="AF181" s="149"/>
      <c r="AG181" s="206"/>
      <c r="AH181" s="149"/>
      <c r="AI181" s="128"/>
      <c r="AJ181" s="149">
        <v>190194.534086</v>
      </c>
      <c r="AK181" s="149">
        <v>55985.192199999998</v>
      </c>
      <c r="AL181" s="214">
        <v>2012</v>
      </c>
      <c r="AM181" s="149">
        <v>3119.46</v>
      </c>
      <c r="AN181" s="128">
        <v>17.9470780840274</v>
      </c>
      <c r="AO181" s="149"/>
      <c r="AP181" s="149"/>
      <c r="AQ181" s="57"/>
      <c r="AR181" s="149"/>
      <c r="AS181" s="128"/>
      <c r="AT181" s="149"/>
      <c r="AU181" s="230"/>
      <c r="AV181" s="214"/>
      <c r="AW181" s="149"/>
      <c r="AX181" s="128"/>
      <c r="AY181" s="197" t="s">
        <v>1681</v>
      </c>
      <c r="AZ181" s="161" t="str">
        <f t="shared" si="122"/>
        <v>Y</v>
      </c>
      <c r="BA181" s="161" t="str">
        <f t="shared" si="123"/>
        <v>Y</v>
      </c>
      <c r="BB181" s="161" t="str">
        <f t="shared" si="124"/>
        <v>N</v>
      </c>
      <c r="BC181" s="161" t="str">
        <f t="shared" si="125"/>
        <v>N</v>
      </c>
      <c r="BD181" s="161" t="str">
        <f t="shared" si="126"/>
        <v>Y</v>
      </c>
      <c r="BE181" s="161" t="str">
        <f t="shared" si="127"/>
        <v>Y</v>
      </c>
      <c r="BF181" s="161" t="str">
        <f t="shared" si="128"/>
        <v>Y</v>
      </c>
      <c r="BG181" s="161" t="str">
        <f t="shared" si="129"/>
        <v>N</v>
      </c>
      <c r="BH181" s="161" t="str">
        <f t="shared" si="130"/>
        <v>N</v>
      </c>
      <c r="BI181" s="161" t="str">
        <f t="shared" si="131"/>
        <v>N</v>
      </c>
      <c r="BJ181" s="161" t="str">
        <f t="shared" si="132"/>
        <v>N</v>
      </c>
      <c r="BK181" s="161" t="str">
        <f t="shared" si="133"/>
        <v>N</v>
      </c>
      <c r="BL181" s="161" t="str">
        <f t="shared" si="134"/>
        <v>Y</v>
      </c>
      <c r="BM181" s="161" t="str">
        <f t="shared" si="135"/>
        <v>Y</v>
      </c>
      <c r="BN181" s="176" t="str">
        <f t="shared" si="136"/>
        <v>Y</v>
      </c>
      <c r="BO181" s="222" t="s">
        <v>348</v>
      </c>
      <c r="BP181" s="174" t="str">
        <f t="shared" si="137"/>
        <v>上交所主板</v>
      </c>
      <c r="BQ181" s="219" t="s">
        <v>317</v>
      </c>
      <c r="BR181" s="173">
        <f t="shared" si="138"/>
        <v>40178</v>
      </c>
      <c r="BS181" s="171" t="str">
        <f t="shared" si="139"/>
        <v>N</v>
      </c>
    </row>
    <row r="182" spans="1:163" ht="15" customHeight="1" x14ac:dyDescent="0.25">
      <c r="A182" s="31">
        <v>119</v>
      </c>
      <c r="B182" s="223" t="s">
        <v>1682</v>
      </c>
      <c r="C182" s="57" t="s">
        <v>1683</v>
      </c>
      <c r="D182" s="57" t="s">
        <v>448</v>
      </c>
      <c r="E182" s="57" t="s">
        <v>583</v>
      </c>
      <c r="F182" s="57" t="s">
        <v>1684</v>
      </c>
      <c r="G182" s="57" t="s">
        <v>315</v>
      </c>
      <c r="H182" s="32" t="s">
        <v>327</v>
      </c>
      <c r="I182" s="78">
        <v>42657</v>
      </c>
      <c r="J182" s="78">
        <v>43612</v>
      </c>
      <c r="K182" s="85">
        <v>43773</v>
      </c>
      <c r="L182" s="194" t="s">
        <v>1685</v>
      </c>
      <c r="M182" s="69">
        <v>2015</v>
      </c>
      <c r="N182" s="69">
        <v>1</v>
      </c>
      <c r="O182" s="69" t="s">
        <v>1258</v>
      </c>
      <c r="P182" s="69" t="s">
        <v>1315</v>
      </c>
      <c r="Q182" s="32" t="s">
        <v>1078</v>
      </c>
      <c r="R182" s="85">
        <v>35416</v>
      </c>
      <c r="S182" s="197" t="s">
        <v>508</v>
      </c>
      <c r="T182" s="161" t="s">
        <v>317</v>
      </c>
      <c r="U182" s="69" t="str">
        <f t="shared" si="103"/>
        <v>Y</v>
      </c>
      <c r="V182" s="57" t="s">
        <v>333</v>
      </c>
      <c r="W182" s="197" t="s">
        <v>399</v>
      </c>
      <c r="X182" s="197" t="s">
        <v>320</v>
      </c>
      <c r="Y182" s="213">
        <v>60</v>
      </c>
      <c r="Z182" s="149"/>
      <c r="AA182" s="149"/>
      <c r="AB182" s="214"/>
      <c r="AC182" s="149"/>
      <c r="AD182" s="128"/>
      <c r="AE182" s="149">
        <v>2356.5709999999999</v>
      </c>
      <c r="AF182" s="149">
        <v>2356.5709999999999</v>
      </c>
      <c r="AG182" s="206">
        <v>2015</v>
      </c>
      <c r="AH182" s="149">
        <v>36843.464562000001</v>
      </c>
      <c r="AI182" s="128">
        <v>6.3961710116440695E-2</v>
      </c>
      <c r="AJ182" s="149">
        <v>2356.5709999999999</v>
      </c>
      <c r="AK182" s="149">
        <v>2356.5709999999999</v>
      </c>
      <c r="AL182" s="214">
        <v>2015</v>
      </c>
      <c r="AM182" s="149">
        <v>961.54746299999999</v>
      </c>
      <c r="AN182" s="128">
        <v>2.4508108966847701</v>
      </c>
      <c r="AO182" s="149"/>
      <c r="AP182" s="149"/>
      <c r="AQ182" s="57"/>
      <c r="AR182" s="149"/>
      <c r="AS182" s="128"/>
      <c r="AT182" s="149"/>
      <c r="AU182" s="149"/>
      <c r="AV182" s="214"/>
      <c r="AW182" s="149"/>
      <c r="AX182" s="128"/>
      <c r="AY182" s="197" t="s">
        <v>1686</v>
      </c>
      <c r="AZ182" s="161" t="str">
        <f t="shared" si="122"/>
        <v>N</v>
      </c>
      <c r="BA182" s="161" t="str">
        <f t="shared" si="123"/>
        <v>N</v>
      </c>
      <c r="BB182" s="161" t="str">
        <f t="shared" si="124"/>
        <v>N</v>
      </c>
      <c r="BC182" s="161" t="str">
        <f t="shared" si="125"/>
        <v>N</v>
      </c>
      <c r="BD182" s="161" t="str">
        <f t="shared" si="126"/>
        <v>N</v>
      </c>
      <c r="BE182" s="161" t="str">
        <f t="shared" si="127"/>
        <v>Y</v>
      </c>
      <c r="BF182" s="161" t="str">
        <f t="shared" si="128"/>
        <v>Y</v>
      </c>
      <c r="BG182" s="161" t="str">
        <f t="shared" si="129"/>
        <v>N</v>
      </c>
      <c r="BH182" s="161" t="str">
        <f t="shared" si="130"/>
        <v>N</v>
      </c>
      <c r="BI182" s="161" t="str">
        <f t="shared" si="131"/>
        <v>N</v>
      </c>
      <c r="BJ182" s="161" t="str">
        <f t="shared" si="132"/>
        <v>N</v>
      </c>
      <c r="BK182" s="161" t="str">
        <f t="shared" si="133"/>
        <v>N</v>
      </c>
      <c r="BL182" s="161" t="str">
        <f t="shared" si="134"/>
        <v>N</v>
      </c>
      <c r="BM182" s="161" t="str">
        <f t="shared" si="135"/>
        <v>Y</v>
      </c>
      <c r="BN182" s="176" t="str">
        <f t="shared" si="136"/>
        <v>Y</v>
      </c>
      <c r="BO182" s="222" t="s">
        <v>1687</v>
      </c>
      <c r="BP182" s="174" t="str">
        <f t="shared" si="137"/>
        <v>深交所主板</v>
      </c>
      <c r="BQ182" s="219" t="s">
        <v>317</v>
      </c>
      <c r="BR182" s="173">
        <f t="shared" si="138"/>
        <v>36160</v>
      </c>
      <c r="BS182" s="171" t="str">
        <f t="shared" si="139"/>
        <v>N</v>
      </c>
    </row>
    <row r="183" spans="1:163" ht="15" customHeight="1" x14ac:dyDescent="0.35">
      <c r="A183" s="31">
        <v>118</v>
      </c>
      <c r="B183" s="32" t="s">
        <v>1688</v>
      </c>
      <c r="C183" s="23" t="s">
        <v>1689</v>
      </c>
      <c r="D183" s="44" t="s">
        <v>439</v>
      </c>
      <c r="E183" s="44" t="s">
        <v>1417</v>
      </c>
      <c r="F183" s="190" t="s">
        <v>1690</v>
      </c>
      <c r="G183" s="42" t="s">
        <v>380</v>
      </c>
      <c r="H183" s="32" t="s">
        <v>327</v>
      </c>
      <c r="I183" s="78">
        <v>43489</v>
      </c>
      <c r="J183" s="78">
        <v>43598</v>
      </c>
      <c r="K183" s="78">
        <v>43606</v>
      </c>
      <c r="L183" s="79" t="s">
        <v>1691</v>
      </c>
      <c r="M183" s="198">
        <v>2018</v>
      </c>
      <c r="N183" s="23">
        <v>0.5</v>
      </c>
      <c r="O183" s="69" t="str">
        <f>IF(N183&lt;1,"1年以内",IF(N183&lt;2,"1-2年",IF(N183&lt;3,"2-3年",IF(N183&lt;5,"3-5年","5年以上"))))</f>
        <v>1年以内</v>
      </c>
      <c r="P183" s="69" t="s">
        <v>906</v>
      </c>
      <c r="Q183" s="191" t="s">
        <v>1692</v>
      </c>
      <c r="R183" s="80">
        <v>39645</v>
      </c>
      <c r="S183" s="44" t="s">
        <v>628</v>
      </c>
      <c r="T183" s="207" t="s">
        <v>317</v>
      </c>
      <c r="U183" s="69" t="str">
        <f t="shared" si="103"/>
        <v>N</v>
      </c>
      <c r="V183" s="44" t="s">
        <v>361</v>
      </c>
      <c r="W183" s="208" t="s">
        <v>361</v>
      </c>
      <c r="X183" s="44" t="s">
        <v>320</v>
      </c>
      <c r="Y183" s="229">
        <v>60</v>
      </c>
      <c r="Z183" s="216"/>
      <c r="AA183" s="148"/>
      <c r="AB183" s="44"/>
      <c r="AC183" s="148"/>
      <c r="AD183" s="128"/>
      <c r="AE183" s="148"/>
      <c r="AF183" s="148"/>
      <c r="AG183" s="218"/>
      <c r="AH183" s="147"/>
      <c r="AI183" s="128"/>
      <c r="AJ183" s="148"/>
      <c r="AK183" s="148"/>
      <c r="AL183" s="218"/>
      <c r="AM183" s="148"/>
      <c r="AN183" s="128"/>
      <c r="AO183" s="148"/>
      <c r="AP183" s="148"/>
      <c r="AQ183" s="44"/>
      <c r="AR183" s="148"/>
      <c r="AS183" s="128"/>
      <c r="AT183" s="148">
        <f>(10000000+10600000+40000000+45000000+50000000+100300000+116700000+500000000)/10000</f>
        <v>87260</v>
      </c>
      <c r="AU183" s="148">
        <f>(10000000+10600000+40000000+45000000+50000000+100300000+116700000+500000000)/10000</f>
        <v>87260</v>
      </c>
      <c r="AV183" s="218">
        <v>2018</v>
      </c>
      <c r="AW183" s="148">
        <f>1769040332.89/10000</f>
        <v>176904.03328900001</v>
      </c>
      <c r="AX183" s="159">
        <f>AU183/AW183</f>
        <v>0.49326178933098341</v>
      </c>
      <c r="AY183" s="198" t="s">
        <v>1693</v>
      </c>
      <c r="AZ183" s="161" t="str">
        <f t="shared" si="122"/>
        <v>N</v>
      </c>
      <c r="BA183" s="161" t="str">
        <f t="shared" si="123"/>
        <v>N</v>
      </c>
      <c r="BB183" s="161" t="str">
        <f t="shared" si="124"/>
        <v>N</v>
      </c>
      <c r="BC183" s="161" t="str">
        <f t="shared" si="125"/>
        <v>N</v>
      </c>
      <c r="BD183" s="161" t="str">
        <f t="shared" si="126"/>
        <v>N</v>
      </c>
      <c r="BE183" s="161" t="str">
        <f t="shared" si="127"/>
        <v>N</v>
      </c>
      <c r="BF183" s="161" t="str">
        <f t="shared" si="128"/>
        <v>N</v>
      </c>
      <c r="BG183" s="161" t="str">
        <f t="shared" si="129"/>
        <v>N</v>
      </c>
      <c r="BH183" s="161" t="str">
        <f t="shared" si="130"/>
        <v>N</v>
      </c>
      <c r="BI183" s="161" t="str">
        <f t="shared" si="131"/>
        <v>N</v>
      </c>
      <c r="BJ183" s="161" t="str">
        <f t="shared" si="132"/>
        <v>N</v>
      </c>
      <c r="BK183" s="161" t="str">
        <f t="shared" si="133"/>
        <v>N</v>
      </c>
      <c r="BL183" s="161" t="str">
        <f t="shared" si="134"/>
        <v>N</v>
      </c>
      <c r="BM183" s="161" t="str">
        <f t="shared" si="135"/>
        <v>N</v>
      </c>
      <c r="BN183" s="176" t="str">
        <f t="shared" si="136"/>
        <v>N</v>
      </c>
      <c r="BO183" s="170" t="s">
        <v>348</v>
      </c>
      <c r="BP183" s="174" t="str">
        <f t="shared" si="137"/>
        <v>深交所主板</v>
      </c>
      <c r="BQ183" s="172" t="s">
        <v>317</v>
      </c>
      <c r="BR183" s="173">
        <f t="shared" si="138"/>
        <v>40543</v>
      </c>
      <c r="BS183" s="171" t="str">
        <f t="shared" si="139"/>
        <v>N</v>
      </c>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c r="EO183" s="7"/>
      <c r="EP183" s="7"/>
      <c r="EQ183" s="7"/>
      <c r="ER183" s="7"/>
      <c r="ES183" s="7"/>
      <c r="ET183" s="7"/>
      <c r="EU183" s="7"/>
      <c r="EV183" s="7"/>
      <c r="EW183" s="7"/>
      <c r="EX183" s="7"/>
      <c r="EY183" s="7"/>
      <c r="EZ183" s="7"/>
      <c r="FA183" s="7"/>
      <c r="FB183" s="7"/>
      <c r="FC183" s="7"/>
      <c r="FD183" s="7"/>
      <c r="FE183" s="7"/>
      <c r="FF183" s="7"/>
      <c r="FG183" s="7"/>
    </row>
    <row r="184" spans="1:163" ht="15" customHeight="1" x14ac:dyDescent="0.25">
      <c r="A184" s="31">
        <v>117</v>
      </c>
      <c r="B184" s="55" t="s">
        <v>1694</v>
      </c>
      <c r="C184" s="57" t="s">
        <v>1695</v>
      </c>
      <c r="D184" s="57" t="s">
        <v>439</v>
      </c>
      <c r="E184" s="57" t="s">
        <v>1417</v>
      </c>
      <c r="F184" s="57" t="s">
        <v>1696</v>
      </c>
      <c r="G184" s="57" t="s">
        <v>315</v>
      </c>
      <c r="H184" s="32" t="s">
        <v>602</v>
      </c>
      <c r="I184" s="78">
        <v>43489</v>
      </c>
      <c r="J184" s="78">
        <v>43598</v>
      </c>
      <c r="K184" s="85">
        <v>43607</v>
      </c>
      <c r="L184" s="194" t="s">
        <v>1697</v>
      </c>
      <c r="M184" s="69">
        <v>2018</v>
      </c>
      <c r="N184" s="69">
        <v>0.5</v>
      </c>
      <c r="O184" s="69" t="s">
        <v>1495</v>
      </c>
      <c r="P184" s="69" t="s">
        <v>906</v>
      </c>
      <c r="Q184" s="32" t="s">
        <v>718</v>
      </c>
      <c r="R184" s="85">
        <v>41660</v>
      </c>
      <c r="S184" s="197" t="s">
        <v>332</v>
      </c>
      <c r="T184" s="161" t="s">
        <v>345</v>
      </c>
      <c r="U184" s="69" t="str">
        <f t="shared" si="103"/>
        <v>Y</v>
      </c>
      <c r="V184" s="57" t="s">
        <v>361</v>
      </c>
      <c r="W184" s="197" t="s">
        <v>361</v>
      </c>
      <c r="X184" s="197" t="s">
        <v>334</v>
      </c>
      <c r="Y184" s="213">
        <v>60</v>
      </c>
      <c r="Z184" s="149"/>
      <c r="AA184" s="149"/>
      <c r="AB184" s="214"/>
      <c r="AC184" s="149"/>
      <c r="AD184" s="128"/>
      <c r="AE184" s="149"/>
      <c r="AF184" s="149"/>
      <c r="AG184" s="206"/>
      <c r="AH184" s="149"/>
      <c r="AI184" s="128"/>
      <c r="AJ184" s="149"/>
      <c r="AK184" s="149"/>
      <c r="AL184" s="214"/>
      <c r="AM184" s="149"/>
      <c r="AN184" s="128"/>
      <c r="AO184" s="149"/>
      <c r="AP184" s="149"/>
      <c r="AQ184" s="57"/>
      <c r="AR184" s="149"/>
      <c r="AS184" s="128"/>
      <c r="AT184" s="149">
        <v>273641.21940599999</v>
      </c>
      <c r="AU184" s="149">
        <v>273641.21940599999</v>
      </c>
      <c r="AV184" s="214">
        <v>2018</v>
      </c>
      <c r="AW184" s="149">
        <v>17041.023204000001</v>
      </c>
      <c r="AX184" s="128">
        <v>16.057792782170999</v>
      </c>
      <c r="AY184" s="197" t="s">
        <v>1698</v>
      </c>
      <c r="AZ184" s="161" t="str">
        <f t="shared" si="122"/>
        <v>N</v>
      </c>
      <c r="BA184" s="161" t="str">
        <f t="shared" si="123"/>
        <v>N</v>
      </c>
      <c r="BB184" s="161" t="str">
        <f t="shared" si="124"/>
        <v>N</v>
      </c>
      <c r="BC184" s="161" t="str">
        <f t="shared" si="125"/>
        <v>N</v>
      </c>
      <c r="BD184" s="161" t="str">
        <f t="shared" si="126"/>
        <v>N</v>
      </c>
      <c r="BE184" s="161" t="str">
        <f t="shared" si="127"/>
        <v>N</v>
      </c>
      <c r="BF184" s="161" t="str">
        <f t="shared" si="128"/>
        <v>N</v>
      </c>
      <c r="BG184" s="161" t="str">
        <f t="shared" si="129"/>
        <v>N</v>
      </c>
      <c r="BH184" s="161" t="str">
        <f t="shared" si="130"/>
        <v>N</v>
      </c>
      <c r="BI184" s="161" t="str">
        <f t="shared" si="131"/>
        <v>N</v>
      </c>
      <c r="BJ184" s="161" t="str">
        <f t="shared" si="132"/>
        <v>Y</v>
      </c>
      <c r="BK184" s="161" t="str">
        <f t="shared" si="133"/>
        <v>Y</v>
      </c>
      <c r="BL184" s="161" t="str">
        <f t="shared" si="134"/>
        <v>Y</v>
      </c>
      <c r="BM184" s="161" t="str">
        <f t="shared" si="135"/>
        <v>Y</v>
      </c>
      <c r="BN184" s="176" t="str">
        <f t="shared" si="136"/>
        <v>N</v>
      </c>
      <c r="BO184" s="222" t="s">
        <v>865</v>
      </c>
      <c r="BP184" s="174" t="str">
        <f t="shared" si="137"/>
        <v>深交所创业板</v>
      </c>
      <c r="BQ184" s="219" t="s">
        <v>317</v>
      </c>
      <c r="BR184" s="173">
        <f t="shared" si="138"/>
        <v>43100</v>
      </c>
      <c r="BS184" s="171" t="str">
        <f t="shared" si="139"/>
        <v>N</v>
      </c>
    </row>
    <row r="185" spans="1:163" ht="15" customHeight="1" x14ac:dyDescent="0.35">
      <c r="A185" s="31">
        <v>116</v>
      </c>
      <c r="B185" s="32" t="s">
        <v>1699</v>
      </c>
      <c r="C185" s="23" t="s">
        <v>1700</v>
      </c>
      <c r="D185" s="44" t="s">
        <v>448</v>
      </c>
      <c r="E185" s="44" t="s">
        <v>1569</v>
      </c>
      <c r="F185" s="190" t="s">
        <v>1701</v>
      </c>
      <c r="G185" s="42" t="s">
        <v>315</v>
      </c>
      <c r="H185" s="32" t="s">
        <v>327</v>
      </c>
      <c r="I185" s="78">
        <v>42726</v>
      </c>
      <c r="J185" s="78">
        <v>43556</v>
      </c>
      <c r="K185" s="78">
        <v>43615</v>
      </c>
      <c r="L185" s="79" t="s">
        <v>1702</v>
      </c>
      <c r="M185" s="198">
        <v>2013</v>
      </c>
      <c r="N185" s="23">
        <v>1</v>
      </c>
      <c r="O185" s="69" t="str">
        <f>IF(N185&lt;1,"1年以内",IF(N185&lt;2,"1-2年",IF(N185&lt;3,"2-3年",IF(N185&lt;5,"3-5年","5年以上"))))</f>
        <v>1-2年</v>
      </c>
      <c r="P185" s="69" t="s">
        <v>1703</v>
      </c>
      <c r="Q185" s="191" t="s">
        <v>383</v>
      </c>
      <c r="R185" s="80">
        <v>33226</v>
      </c>
      <c r="S185" s="44" t="s">
        <v>639</v>
      </c>
      <c r="T185" s="207" t="s">
        <v>345</v>
      </c>
      <c r="U185" s="69" t="str">
        <f t="shared" si="103"/>
        <v>N</v>
      </c>
      <c r="V185" s="44" t="s">
        <v>318</v>
      </c>
      <c r="W185" s="208" t="s">
        <v>319</v>
      </c>
      <c r="X185" s="44" t="s">
        <v>334</v>
      </c>
      <c r="Y185" s="229">
        <f>60+40</f>
        <v>100</v>
      </c>
      <c r="Z185" s="216"/>
      <c r="AA185" s="148"/>
      <c r="AB185" s="44"/>
      <c r="AC185" s="148"/>
      <c r="AD185" s="128"/>
      <c r="AE185" s="148">
        <f>5000+515</f>
        <v>5515</v>
      </c>
      <c r="AF185" s="148">
        <f>5000+515</f>
        <v>5515</v>
      </c>
      <c r="AG185" s="218">
        <v>2013</v>
      </c>
      <c r="AH185" s="147">
        <v>210378.97</v>
      </c>
      <c r="AI185" s="128">
        <f>AF185/AH185</f>
        <v>2.6214597400110857E-2</v>
      </c>
      <c r="AJ185" s="148"/>
      <c r="AK185" s="148"/>
      <c r="AL185" s="218"/>
      <c r="AM185" s="148"/>
      <c r="AN185" s="128"/>
      <c r="AO185" s="148"/>
      <c r="AP185" s="148"/>
      <c r="AQ185" s="44"/>
      <c r="AR185" s="148"/>
      <c r="AS185" s="128"/>
      <c r="AT185" s="148"/>
      <c r="AU185" s="148"/>
      <c r="AV185" s="218"/>
      <c r="AW185" s="148"/>
      <c r="AX185" s="159"/>
      <c r="AY185" s="198" t="s">
        <v>1704</v>
      </c>
      <c r="AZ185" s="161" t="str">
        <f t="shared" si="122"/>
        <v>N</v>
      </c>
      <c r="BA185" s="161" t="str">
        <f t="shared" si="123"/>
        <v>N</v>
      </c>
      <c r="BB185" s="161" t="str">
        <f t="shared" si="124"/>
        <v>N</v>
      </c>
      <c r="BC185" s="161" t="str">
        <f t="shared" si="125"/>
        <v>N</v>
      </c>
      <c r="BD185" s="161" t="str">
        <f t="shared" si="126"/>
        <v>N</v>
      </c>
      <c r="BE185" s="161" t="str">
        <f t="shared" si="127"/>
        <v>N</v>
      </c>
      <c r="BF185" s="161" t="str">
        <f t="shared" si="128"/>
        <v>N</v>
      </c>
      <c r="BG185" s="161" t="str">
        <f t="shared" si="129"/>
        <v>N</v>
      </c>
      <c r="BH185" s="161" t="str">
        <f t="shared" si="130"/>
        <v>N</v>
      </c>
      <c r="BI185" s="161" t="str">
        <f t="shared" si="131"/>
        <v>N</v>
      </c>
      <c r="BJ185" s="161" t="str">
        <f t="shared" si="132"/>
        <v>N</v>
      </c>
      <c r="BK185" s="161" t="str">
        <f t="shared" si="133"/>
        <v>N</v>
      </c>
      <c r="BL185" s="161" t="str">
        <f t="shared" si="134"/>
        <v>N</v>
      </c>
      <c r="BM185" s="161" t="str">
        <f t="shared" si="135"/>
        <v>N</v>
      </c>
      <c r="BN185" s="176" t="str">
        <f t="shared" si="136"/>
        <v>N</v>
      </c>
      <c r="BO185" s="170" t="s">
        <v>1705</v>
      </c>
      <c r="BP185" s="174" t="str">
        <f t="shared" si="137"/>
        <v>上交所主板</v>
      </c>
      <c r="BQ185" s="172" t="s">
        <v>317</v>
      </c>
      <c r="BR185" s="173">
        <f t="shared" si="138"/>
        <v>33969</v>
      </c>
      <c r="BS185" s="171" t="str">
        <f t="shared" si="139"/>
        <v>N</v>
      </c>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c r="ET185" s="7"/>
      <c r="EU185" s="7"/>
      <c r="EV185" s="7"/>
      <c r="EW185" s="7"/>
      <c r="EX185" s="7"/>
      <c r="EY185" s="7"/>
      <c r="EZ185" s="7"/>
      <c r="FA185" s="7"/>
      <c r="FB185" s="7"/>
      <c r="FC185" s="7"/>
      <c r="FD185" s="7"/>
      <c r="FE185" s="7"/>
      <c r="FF185" s="7"/>
      <c r="FG185" s="7"/>
    </row>
    <row r="186" spans="1:163" ht="15" customHeight="1" x14ac:dyDescent="0.35">
      <c r="A186" s="31">
        <v>115</v>
      </c>
      <c r="B186" s="32" t="s">
        <v>1706</v>
      </c>
      <c r="C186" s="23" t="s">
        <v>1707</v>
      </c>
      <c r="D186" s="44" t="s">
        <v>439</v>
      </c>
      <c r="E186" s="44" t="s">
        <v>1417</v>
      </c>
      <c r="F186" s="190" t="s">
        <v>1708</v>
      </c>
      <c r="G186" s="42" t="s">
        <v>315</v>
      </c>
      <c r="H186" s="32" t="s">
        <v>327</v>
      </c>
      <c r="I186" s="78">
        <v>43262</v>
      </c>
      <c r="J186" s="78">
        <v>43544</v>
      </c>
      <c r="K186" s="78">
        <v>43610</v>
      </c>
      <c r="L186" s="79" t="s">
        <v>1709</v>
      </c>
      <c r="M186" s="198">
        <v>2016</v>
      </c>
      <c r="N186" s="23">
        <v>1</v>
      </c>
      <c r="O186" s="69" t="str">
        <f>IF(N186&lt;1,"1年以内",IF(N186&lt;2,"1-2年",IF(N186&lt;3,"2-3年",IF(N186&lt;5,"3-5年","5年以上"))))</f>
        <v>1-2年</v>
      </c>
      <c r="P186" s="69" t="s">
        <v>1710</v>
      </c>
      <c r="Q186" s="191" t="s">
        <v>1047</v>
      </c>
      <c r="R186" s="80">
        <v>41649</v>
      </c>
      <c r="S186" s="44" t="s">
        <v>707</v>
      </c>
      <c r="T186" s="207" t="s">
        <v>317</v>
      </c>
      <c r="U186" s="69" t="str">
        <f t="shared" si="103"/>
        <v>N</v>
      </c>
      <c r="V186" s="44" t="s">
        <v>361</v>
      </c>
      <c r="W186" s="208" t="s">
        <v>361</v>
      </c>
      <c r="X186" s="44" t="s">
        <v>320</v>
      </c>
      <c r="Y186" s="229">
        <v>30</v>
      </c>
      <c r="Z186" s="216"/>
      <c r="AA186" s="148"/>
      <c r="AB186" s="44"/>
      <c r="AC186" s="148"/>
      <c r="AD186" s="128"/>
      <c r="AE186" s="148"/>
      <c r="AF186" s="148"/>
      <c r="AG186" s="218"/>
      <c r="AH186" s="147"/>
      <c r="AI186" s="128"/>
      <c r="AJ186" s="148"/>
      <c r="AK186" s="148"/>
      <c r="AL186" s="218"/>
      <c r="AM186" s="148"/>
      <c r="AN186" s="128"/>
      <c r="AO186" s="148"/>
      <c r="AP186" s="148"/>
      <c r="AQ186" s="44"/>
      <c r="AR186" s="148"/>
      <c r="AS186" s="128"/>
      <c r="AT186" s="148">
        <f>60820000/10000</f>
        <v>6082</v>
      </c>
      <c r="AU186" s="148">
        <f>60820000/10000</f>
        <v>6082</v>
      </c>
      <c r="AV186" s="218">
        <v>2016</v>
      </c>
      <c r="AW186" s="148">
        <f>852556645.47/10000</f>
        <v>85255.664547000008</v>
      </c>
      <c r="AX186" s="159">
        <f>AU186/AW186</f>
        <v>7.1338368333837762E-2</v>
      </c>
      <c r="AY186" s="198" t="s">
        <v>1711</v>
      </c>
      <c r="AZ186" s="161" t="str">
        <f t="shared" si="122"/>
        <v>N</v>
      </c>
      <c r="BA186" s="161" t="str">
        <f t="shared" si="123"/>
        <v>N</v>
      </c>
      <c r="BB186" s="161" t="str">
        <f t="shared" si="124"/>
        <v>N</v>
      </c>
      <c r="BC186" s="161" t="str">
        <f t="shared" si="125"/>
        <v>N</v>
      </c>
      <c r="BD186" s="161" t="str">
        <f t="shared" si="126"/>
        <v>N</v>
      </c>
      <c r="BE186" s="161" t="str">
        <f t="shared" si="127"/>
        <v>N</v>
      </c>
      <c r="BF186" s="161" t="str">
        <f t="shared" si="128"/>
        <v>N</v>
      </c>
      <c r="BG186" s="161" t="str">
        <f t="shared" si="129"/>
        <v>N</v>
      </c>
      <c r="BH186" s="161" t="str">
        <f t="shared" si="130"/>
        <v>N</v>
      </c>
      <c r="BI186" s="161" t="str">
        <f t="shared" si="131"/>
        <v>N</v>
      </c>
      <c r="BJ186" s="161" t="str">
        <f t="shared" si="132"/>
        <v>N</v>
      </c>
      <c r="BK186" s="161" t="str">
        <f t="shared" si="133"/>
        <v>N</v>
      </c>
      <c r="BL186" s="161" t="str">
        <f t="shared" si="134"/>
        <v>N</v>
      </c>
      <c r="BM186" s="161" t="str">
        <f t="shared" si="135"/>
        <v>N</v>
      </c>
      <c r="BN186" s="176" t="str">
        <f t="shared" si="136"/>
        <v>N</v>
      </c>
      <c r="BO186" s="170" t="s">
        <v>1712</v>
      </c>
      <c r="BP186" s="174" t="str">
        <f t="shared" si="137"/>
        <v>深交所主板</v>
      </c>
      <c r="BQ186" s="172" t="s">
        <v>345</v>
      </c>
      <c r="BR186" s="173">
        <f t="shared" si="138"/>
        <v>42735</v>
      </c>
      <c r="BS186" s="171" t="str">
        <f t="shared" si="139"/>
        <v>N</v>
      </c>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c r="ET186" s="7"/>
      <c r="EU186" s="7"/>
      <c r="EV186" s="7"/>
      <c r="EW186" s="7"/>
      <c r="EX186" s="7"/>
      <c r="EY186" s="7"/>
      <c r="EZ186" s="7"/>
      <c r="FA186" s="7"/>
      <c r="FB186" s="7"/>
      <c r="FC186" s="7"/>
      <c r="FD186" s="7"/>
      <c r="FE186" s="7"/>
      <c r="FF186" s="7"/>
      <c r="FG186" s="7"/>
    </row>
    <row r="187" spans="1:163" ht="15" customHeight="1" x14ac:dyDescent="0.25">
      <c r="A187" s="31">
        <v>114</v>
      </c>
      <c r="B187" s="223" t="s">
        <v>1713</v>
      </c>
      <c r="C187" s="57" t="s">
        <v>1714</v>
      </c>
      <c r="D187" s="57" t="s">
        <v>426</v>
      </c>
      <c r="E187" s="57" t="s">
        <v>504</v>
      </c>
      <c r="F187" s="57" t="s">
        <v>1715</v>
      </c>
      <c r="G187" s="57" t="s">
        <v>354</v>
      </c>
      <c r="H187" s="32" t="s">
        <v>602</v>
      </c>
      <c r="I187" s="78">
        <v>42662</v>
      </c>
      <c r="J187" s="78">
        <v>43524</v>
      </c>
      <c r="K187" s="85">
        <v>44316</v>
      </c>
      <c r="L187" s="194" t="s">
        <v>1716</v>
      </c>
      <c r="M187" s="69" t="s">
        <v>1717</v>
      </c>
      <c r="N187" s="69">
        <v>1.5</v>
      </c>
      <c r="O187" s="69" t="s">
        <v>1258</v>
      </c>
      <c r="P187" s="69" t="s">
        <v>1718</v>
      </c>
      <c r="Q187" s="32" t="s">
        <v>534</v>
      </c>
      <c r="R187" s="85">
        <v>39402</v>
      </c>
      <c r="S187" s="197" t="s">
        <v>822</v>
      </c>
      <c r="T187" s="161" t="s">
        <v>345</v>
      </c>
      <c r="U187" s="69" t="str">
        <f t="shared" si="103"/>
        <v>N</v>
      </c>
      <c r="V187" s="57" t="s">
        <v>333</v>
      </c>
      <c r="W187" s="197" t="s">
        <v>1719</v>
      </c>
      <c r="X187" s="197" t="s">
        <v>320</v>
      </c>
      <c r="Y187" s="213">
        <v>60</v>
      </c>
      <c r="Z187" s="149"/>
      <c r="AA187" s="149"/>
      <c r="AB187" s="214"/>
      <c r="AC187" s="149"/>
      <c r="AD187" s="128"/>
      <c r="AE187" s="149">
        <f>599272117.7/10000</f>
        <v>59927.211770000002</v>
      </c>
      <c r="AF187" s="149"/>
      <c r="AG187" s="206"/>
      <c r="AH187" s="149"/>
      <c r="AI187" s="128"/>
      <c r="AJ187" s="149"/>
      <c r="AK187" s="149"/>
      <c r="AL187" s="214"/>
      <c r="AM187" s="149"/>
      <c r="AN187" s="128"/>
      <c r="AO187" s="149">
        <f>561160991.3/10000</f>
        <v>56116.099129999995</v>
      </c>
      <c r="AP187" s="149">
        <v>19027.509999999998</v>
      </c>
      <c r="AQ187" s="57">
        <v>2014</v>
      </c>
      <c r="AR187" s="149">
        <v>-44871.895644999997</v>
      </c>
      <c r="AS187" s="128">
        <v>0.42404069911675801</v>
      </c>
      <c r="AT187" s="149"/>
      <c r="AU187" s="149"/>
      <c r="AV187" s="214"/>
      <c r="AW187" s="149"/>
      <c r="AX187" s="128"/>
      <c r="AY187" s="197" t="s">
        <v>1720</v>
      </c>
      <c r="AZ187" s="161" t="str">
        <f t="shared" si="122"/>
        <v>N</v>
      </c>
      <c r="BA187" s="161" t="str">
        <f t="shared" si="123"/>
        <v>N</v>
      </c>
      <c r="BB187" s="161" t="str">
        <f t="shared" si="124"/>
        <v>N</v>
      </c>
      <c r="BC187" s="161" t="str">
        <f t="shared" si="125"/>
        <v>N</v>
      </c>
      <c r="BD187" s="161" t="str">
        <f t="shared" si="126"/>
        <v>N</v>
      </c>
      <c r="BE187" s="161" t="str">
        <f t="shared" si="127"/>
        <v>N</v>
      </c>
      <c r="BF187" s="161" t="str">
        <f t="shared" si="128"/>
        <v>N</v>
      </c>
      <c r="BG187" s="161" t="str">
        <f t="shared" si="129"/>
        <v>N</v>
      </c>
      <c r="BH187" s="161" t="str">
        <f t="shared" si="130"/>
        <v>N</v>
      </c>
      <c r="BI187" s="161" t="str">
        <f t="shared" si="131"/>
        <v>N</v>
      </c>
      <c r="BJ187" s="161" t="str">
        <f t="shared" si="132"/>
        <v>N</v>
      </c>
      <c r="BK187" s="161" t="str">
        <f t="shared" si="133"/>
        <v>N</v>
      </c>
      <c r="BL187" s="161" t="str">
        <f t="shared" si="134"/>
        <v>N</v>
      </c>
      <c r="BM187" s="161" t="str">
        <f t="shared" si="135"/>
        <v>N</v>
      </c>
      <c r="BN187" s="176" t="str">
        <f t="shared" si="136"/>
        <v>N</v>
      </c>
      <c r="BO187" s="222" t="s">
        <v>790</v>
      </c>
      <c r="BP187" s="174" t="str">
        <f t="shared" si="137"/>
        <v>深交所主板</v>
      </c>
      <c r="BQ187" s="219" t="s">
        <v>317</v>
      </c>
      <c r="BR187" s="173">
        <f t="shared" si="138"/>
        <v>40178</v>
      </c>
      <c r="BS187" s="171" t="str">
        <f t="shared" si="139"/>
        <v>N</v>
      </c>
    </row>
    <row r="188" spans="1:163" ht="15" customHeight="1" x14ac:dyDescent="0.25">
      <c r="A188" s="31">
        <v>113</v>
      </c>
      <c r="B188" s="57" t="s">
        <v>1721</v>
      </c>
      <c r="C188" s="57" t="s">
        <v>1722</v>
      </c>
      <c r="D188" s="57" t="s">
        <v>426</v>
      </c>
      <c r="E188" s="57" t="s">
        <v>427</v>
      </c>
      <c r="F188" s="32" t="s">
        <v>1723</v>
      </c>
      <c r="G188" s="57" t="s">
        <v>315</v>
      </c>
      <c r="H188" s="192" t="s">
        <v>327</v>
      </c>
      <c r="I188" s="78">
        <v>42655</v>
      </c>
      <c r="J188" s="85">
        <v>43424</v>
      </c>
      <c r="K188" s="85">
        <v>43679</v>
      </c>
      <c r="L188" s="226" t="s">
        <v>1724</v>
      </c>
      <c r="M188" s="69">
        <v>2015</v>
      </c>
      <c r="N188" s="69">
        <v>1</v>
      </c>
      <c r="O188" s="196" t="s">
        <v>1258</v>
      </c>
      <c r="P188" s="69" t="s">
        <v>1315</v>
      </c>
      <c r="Q188" s="209" t="s">
        <v>498</v>
      </c>
      <c r="R188" s="85">
        <v>34999</v>
      </c>
      <c r="S188" s="202" t="s">
        <v>397</v>
      </c>
      <c r="T188" s="210" t="s">
        <v>317</v>
      </c>
      <c r="U188" s="69" t="str">
        <f t="shared" si="103"/>
        <v>N</v>
      </c>
      <c r="V188" s="102" t="s">
        <v>318</v>
      </c>
      <c r="W188" s="211" t="s">
        <v>1725</v>
      </c>
      <c r="X188" s="197" t="s">
        <v>320</v>
      </c>
      <c r="Y188" s="213">
        <v>60</v>
      </c>
      <c r="Z188" s="149">
        <v>1247.29</v>
      </c>
      <c r="AA188" s="149">
        <v>1247.29</v>
      </c>
      <c r="AB188" s="214">
        <v>2015</v>
      </c>
      <c r="AC188" s="149">
        <v>218277.49</v>
      </c>
      <c r="AD188" s="128">
        <f>AA188/AC188</f>
        <v>5.7142401628312656E-3</v>
      </c>
      <c r="AE188" s="149"/>
      <c r="AF188" s="149"/>
      <c r="AG188" s="206"/>
      <c r="AH188" s="149"/>
      <c r="AI188" s="128"/>
      <c r="AJ188" s="149">
        <v>1247.29</v>
      </c>
      <c r="AK188" s="149">
        <v>1247.29</v>
      </c>
      <c r="AL188" s="214">
        <v>2015</v>
      </c>
      <c r="AM188" s="149">
        <f>58497342.92/10000</f>
        <v>5849.7342920000001</v>
      </c>
      <c r="AN188" s="128">
        <f>AK188/AM188</f>
        <v>0.21322165037577401</v>
      </c>
      <c r="AO188" s="232"/>
      <c r="AP188" s="232"/>
      <c r="AQ188" s="57"/>
      <c r="AR188" s="149"/>
      <c r="AS188" s="159"/>
      <c r="AT188" s="149"/>
      <c r="AU188" s="149"/>
      <c r="AV188" s="214"/>
      <c r="AW188" s="149"/>
      <c r="AX188" s="128"/>
      <c r="AY188" s="234" t="s">
        <v>1726</v>
      </c>
      <c r="AZ188" s="161" t="str">
        <f t="shared" si="122"/>
        <v>N</v>
      </c>
      <c r="BA188" s="161" t="str">
        <f t="shared" si="123"/>
        <v>N</v>
      </c>
      <c r="BB188" s="161" t="str">
        <f t="shared" si="124"/>
        <v>N</v>
      </c>
      <c r="BC188" s="161" t="str">
        <f t="shared" si="125"/>
        <v>N</v>
      </c>
      <c r="BD188" s="161" t="str">
        <f t="shared" si="126"/>
        <v>N</v>
      </c>
      <c r="BE188" s="161" t="str">
        <f t="shared" si="127"/>
        <v>N</v>
      </c>
      <c r="BF188" s="161" t="str">
        <f t="shared" si="128"/>
        <v>N</v>
      </c>
      <c r="BG188" s="161" t="str">
        <f t="shared" si="129"/>
        <v>N</v>
      </c>
      <c r="BH188" s="161" t="str">
        <f t="shared" si="130"/>
        <v>N</v>
      </c>
      <c r="BI188" s="161" t="str">
        <f t="shared" si="131"/>
        <v>N</v>
      </c>
      <c r="BJ188" s="161" t="str">
        <f t="shared" si="132"/>
        <v>N</v>
      </c>
      <c r="BK188" s="161" t="str">
        <f t="shared" si="133"/>
        <v>N</v>
      </c>
      <c r="BL188" s="161" t="str">
        <f t="shared" si="134"/>
        <v>N</v>
      </c>
      <c r="BM188" s="161" t="str">
        <f t="shared" si="135"/>
        <v>N</v>
      </c>
      <c r="BN188" s="176" t="str">
        <f t="shared" si="136"/>
        <v>N</v>
      </c>
      <c r="BO188" s="222" t="s">
        <v>652</v>
      </c>
      <c r="BP188" s="174" t="str">
        <f t="shared" si="137"/>
        <v>深交所主板</v>
      </c>
      <c r="BQ188" s="219" t="s">
        <v>317</v>
      </c>
      <c r="BR188" s="173">
        <f t="shared" si="138"/>
        <v>35795</v>
      </c>
      <c r="BS188" s="171" t="str">
        <f t="shared" si="139"/>
        <v>N</v>
      </c>
    </row>
    <row r="189" spans="1:163" ht="15" customHeight="1" x14ac:dyDescent="0.25">
      <c r="A189" s="31">
        <v>112</v>
      </c>
      <c r="B189" s="55" t="s">
        <v>1727</v>
      </c>
      <c r="C189" s="57" t="s">
        <v>1728</v>
      </c>
      <c r="D189" s="57" t="s">
        <v>686</v>
      </c>
      <c r="E189" s="57" t="s">
        <v>1204</v>
      </c>
      <c r="F189" s="57" t="s">
        <v>1729</v>
      </c>
      <c r="G189" s="57" t="s">
        <v>315</v>
      </c>
      <c r="H189" s="32" t="s">
        <v>327</v>
      </c>
      <c r="I189" s="78">
        <v>43091</v>
      </c>
      <c r="J189" s="78">
        <v>43403</v>
      </c>
      <c r="K189" s="78">
        <v>43585</v>
      </c>
      <c r="L189" s="226" t="s">
        <v>1730</v>
      </c>
      <c r="M189" s="69">
        <v>2016</v>
      </c>
      <c r="N189" s="69">
        <v>1</v>
      </c>
      <c r="O189" s="69" t="s">
        <v>1258</v>
      </c>
      <c r="P189" s="69" t="s">
        <v>1731</v>
      </c>
      <c r="Q189" s="32" t="s">
        <v>1480</v>
      </c>
      <c r="R189" s="227">
        <v>40235</v>
      </c>
      <c r="S189" s="197" t="s">
        <v>628</v>
      </c>
      <c r="T189" s="228" t="s">
        <v>317</v>
      </c>
      <c r="U189" s="69" t="str">
        <f t="shared" si="103"/>
        <v>N</v>
      </c>
      <c r="V189" s="57" t="s">
        <v>988</v>
      </c>
      <c r="W189" s="197" t="s">
        <v>1732</v>
      </c>
      <c r="X189" s="197" t="s">
        <v>320</v>
      </c>
      <c r="Y189" s="213">
        <v>60</v>
      </c>
      <c r="Z189" s="149"/>
      <c r="AA189" s="149"/>
      <c r="AB189" s="214"/>
      <c r="AC189" s="149"/>
      <c r="AD189" s="128"/>
      <c r="AE189" s="149">
        <v>9648.69</v>
      </c>
      <c r="AF189" s="149">
        <v>9648.69</v>
      </c>
      <c r="AG189" s="206">
        <v>2016</v>
      </c>
      <c r="AH189" s="149">
        <v>104423.051948052</v>
      </c>
      <c r="AI189" s="128">
        <f>AF189/AH189</f>
        <v>9.2399999999999954E-2</v>
      </c>
      <c r="AJ189" s="149"/>
      <c r="AK189" s="149"/>
      <c r="AL189" s="214"/>
      <c r="AM189" s="149"/>
      <c r="AN189" s="128"/>
      <c r="AO189" s="149">
        <f>(104264933.52+9648.69)/10000</f>
        <v>10427.458220999999</v>
      </c>
      <c r="AP189" s="149">
        <f>104264933.52/10000</f>
        <v>10426.493352</v>
      </c>
      <c r="AQ189" s="57">
        <v>2016</v>
      </c>
      <c r="AR189" s="149">
        <v>150930.22</v>
      </c>
      <c r="AS189" s="128">
        <f>AP189/AR189</f>
        <v>6.9081548758094968E-2</v>
      </c>
      <c r="AT189" s="149">
        <f>(20975545.55+12152117.84)/10000</f>
        <v>3312.7663390000002</v>
      </c>
      <c r="AU189" s="149">
        <f>(20975545.55+12152117.84)/10000</f>
        <v>3312.7663390000002</v>
      </c>
      <c r="AV189" s="214">
        <v>2016</v>
      </c>
      <c r="AW189" s="149">
        <v>150930.22</v>
      </c>
      <c r="AX189" s="128">
        <f>AU189/AW189</f>
        <v>2.1948992978344562E-2</v>
      </c>
      <c r="AY189" s="233" t="s">
        <v>1733</v>
      </c>
      <c r="AZ189" s="161" t="str">
        <f t="shared" si="122"/>
        <v>N</v>
      </c>
      <c r="BA189" s="161" t="str">
        <f t="shared" si="123"/>
        <v>N</v>
      </c>
      <c r="BB189" s="161" t="str">
        <f t="shared" si="124"/>
        <v>N</v>
      </c>
      <c r="BC189" s="161" t="str">
        <f t="shared" si="125"/>
        <v>N</v>
      </c>
      <c r="BD189" s="161" t="str">
        <f t="shared" si="126"/>
        <v>N</v>
      </c>
      <c r="BE189" s="161" t="str">
        <f t="shared" si="127"/>
        <v>N</v>
      </c>
      <c r="BF189" s="161" t="str">
        <f t="shared" si="128"/>
        <v>N</v>
      </c>
      <c r="BG189" s="161" t="str">
        <f t="shared" si="129"/>
        <v>N</v>
      </c>
      <c r="BH189" s="161" t="str">
        <f t="shared" si="130"/>
        <v>N</v>
      </c>
      <c r="BI189" s="161" t="str">
        <f t="shared" si="131"/>
        <v>N</v>
      </c>
      <c r="BJ189" s="161" t="str">
        <f t="shared" si="132"/>
        <v>N</v>
      </c>
      <c r="BK189" s="161" t="str">
        <f t="shared" si="133"/>
        <v>N</v>
      </c>
      <c r="BL189" s="161" t="str">
        <f t="shared" si="134"/>
        <v>N</v>
      </c>
      <c r="BM189" s="161" t="str">
        <f t="shared" si="135"/>
        <v>N</v>
      </c>
      <c r="BN189" s="176" t="str">
        <f t="shared" si="136"/>
        <v>N</v>
      </c>
      <c r="BO189" s="222" t="s">
        <v>562</v>
      </c>
      <c r="BP189" s="174" t="str">
        <f t="shared" si="137"/>
        <v>深交所创业板</v>
      </c>
      <c r="BQ189" s="219" t="s">
        <v>317</v>
      </c>
      <c r="BR189" s="173">
        <f t="shared" si="138"/>
        <v>41639</v>
      </c>
      <c r="BS189" s="171" t="str">
        <f t="shared" si="139"/>
        <v>N</v>
      </c>
    </row>
    <row r="190" spans="1:163" ht="15" customHeight="1" x14ac:dyDescent="0.25">
      <c r="A190" s="31">
        <v>111</v>
      </c>
      <c r="B190" s="55" t="s">
        <v>1734</v>
      </c>
      <c r="C190" s="57" t="s">
        <v>1735</v>
      </c>
      <c r="D190" s="57" t="s">
        <v>565</v>
      </c>
      <c r="E190" s="57" t="s">
        <v>1736</v>
      </c>
      <c r="F190" s="57" t="s">
        <v>1737</v>
      </c>
      <c r="G190" s="57" t="s">
        <v>326</v>
      </c>
      <c r="H190" s="32" t="s">
        <v>368</v>
      </c>
      <c r="I190" s="78">
        <v>42948</v>
      </c>
      <c r="J190" s="78">
        <v>43382</v>
      </c>
      <c r="K190" s="78">
        <v>43404</v>
      </c>
      <c r="L190" s="226" t="s">
        <v>1738</v>
      </c>
      <c r="M190" s="69" t="s">
        <v>1217</v>
      </c>
      <c r="N190" s="69">
        <v>3</v>
      </c>
      <c r="O190" s="69" t="s">
        <v>1314</v>
      </c>
      <c r="P190" s="69" t="s">
        <v>1315</v>
      </c>
      <c r="Q190" s="32" t="s">
        <v>471</v>
      </c>
      <c r="R190" s="227">
        <v>34250</v>
      </c>
      <c r="S190" s="197" t="s">
        <v>619</v>
      </c>
      <c r="T190" s="161" t="s">
        <v>317</v>
      </c>
      <c r="U190" s="69" t="str">
        <f t="shared" si="103"/>
        <v>N</v>
      </c>
      <c r="V190" s="57" t="s">
        <v>318</v>
      </c>
      <c r="W190" s="197" t="s">
        <v>1719</v>
      </c>
      <c r="X190" s="197" t="s">
        <v>320</v>
      </c>
      <c r="Y190" s="213">
        <v>30</v>
      </c>
      <c r="Z190" s="149"/>
      <c r="AA190" s="149"/>
      <c r="AB190" s="214"/>
      <c r="AC190" s="149"/>
      <c r="AD190" s="128"/>
      <c r="AE190" s="149">
        <f>1864.79</f>
        <v>1864.79</v>
      </c>
      <c r="AF190" s="149">
        <v>1864.79</v>
      </c>
      <c r="AG190" s="206">
        <v>2015</v>
      </c>
      <c r="AH190" s="149">
        <v>390106.17</v>
      </c>
      <c r="AI190" s="128">
        <f>AF190/AH190</f>
        <v>4.7802114998591284E-3</v>
      </c>
      <c r="AJ190" s="149">
        <f>93.7+2730.89+555.99+1586.46</f>
        <v>4967.04</v>
      </c>
      <c r="AK190" s="149">
        <f>2730.89+1586.46</f>
        <v>4317.3500000000004</v>
      </c>
      <c r="AL190" s="214">
        <v>2015</v>
      </c>
      <c r="AM190" s="149">
        <v>30512.737430167599</v>
      </c>
      <c r="AN190" s="128">
        <f>AK190/AM190</f>
        <v>0.14149336846229618</v>
      </c>
      <c r="AO190" s="149"/>
      <c r="AP190" s="149"/>
      <c r="AQ190" s="57"/>
      <c r="AR190" s="149"/>
      <c r="AS190" s="128"/>
      <c r="AT190" s="149"/>
      <c r="AU190" s="149"/>
      <c r="AV190" s="214"/>
      <c r="AW190" s="149"/>
      <c r="AX190" s="128"/>
      <c r="AY190" s="197" t="s">
        <v>1739</v>
      </c>
      <c r="AZ190" s="161" t="str">
        <f t="shared" si="122"/>
        <v>N</v>
      </c>
      <c r="BA190" s="161" t="str">
        <f t="shared" si="123"/>
        <v>N</v>
      </c>
      <c r="BB190" s="161" t="str">
        <f t="shared" si="124"/>
        <v>N</v>
      </c>
      <c r="BC190" s="161" t="str">
        <f t="shared" si="125"/>
        <v>N</v>
      </c>
      <c r="BD190" s="161" t="str">
        <f t="shared" si="126"/>
        <v>N</v>
      </c>
      <c r="BE190" s="161" t="str">
        <f t="shared" si="127"/>
        <v>N</v>
      </c>
      <c r="BF190" s="161" t="str">
        <f t="shared" si="128"/>
        <v>N</v>
      </c>
      <c r="BG190" s="161" t="str">
        <f t="shared" si="129"/>
        <v>N</v>
      </c>
      <c r="BH190" s="161" t="str">
        <f t="shared" si="130"/>
        <v>N</v>
      </c>
      <c r="BI190" s="161" t="str">
        <f t="shared" si="131"/>
        <v>N</v>
      </c>
      <c r="BJ190" s="161" t="str">
        <f t="shared" si="132"/>
        <v>N</v>
      </c>
      <c r="BK190" s="161" t="str">
        <f t="shared" si="133"/>
        <v>N</v>
      </c>
      <c r="BL190" s="161" t="str">
        <f t="shared" si="134"/>
        <v>N</v>
      </c>
      <c r="BM190" s="161" t="str">
        <f t="shared" si="135"/>
        <v>N</v>
      </c>
      <c r="BN190" s="176" t="str">
        <f t="shared" si="136"/>
        <v>N</v>
      </c>
      <c r="BO190" s="222" t="s">
        <v>1712</v>
      </c>
      <c r="BP190" s="174" t="str">
        <f t="shared" si="137"/>
        <v>深交所主板</v>
      </c>
      <c r="BQ190" s="219" t="s">
        <v>345</v>
      </c>
      <c r="BR190" s="173">
        <f t="shared" si="138"/>
        <v>35064</v>
      </c>
      <c r="BS190" s="171" t="str">
        <f t="shared" si="139"/>
        <v>N</v>
      </c>
    </row>
    <row r="191" spans="1:163" ht="15" customHeight="1" x14ac:dyDescent="0.35">
      <c r="A191" s="31">
        <v>110</v>
      </c>
      <c r="B191" s="32" t="s">
        <v>1137</v>
      </c>
      <c r="C191" s="23" t="s">
        <v>1138</v>
      </c>
      <c r="D191" s="44" t="s">
        <v>826</v>
      </c>
      <c r="E191" s="44" t="s">
        <v>1740</v>
      </c>
      <c r="F191" s="190" t="s">
        <v>1140</v>
      </c>
      <c r="G191" s="42" t="s">
        <v>315</v>
      </c>
      <c r="H191" s="32" t="s">
        <v>327</v>
      </c>
      <c r="I191" s="78">
        <v>43187</v>
      </c>
      <c r="J191" s="78">
        <v>43333</v>
      </c>
      <c r="K191" s="78">
        <v>43417</v>
      </c>
      <c r="L191" s="79" t="s">
        <v>1741</v>
      </c>
      <c r="M191" s="198">
        <v>2017</v>
      </c>
      <c r="N191" s="23">
        <v>1</v>
      </c>
      <c r="O191" s="69" t="str">
        <f>IF(N191&lt;1,"1年以内",IF(N191&lt;2,"1-2年",IF(N191&lt;3,"2-3年",IF(N191&lt;5,"3-5年","5年以上"))))</f>
        <v>1-2年</v>
      </c>
      <c r="P191" s="69" t="s">
        <v>357</v>
      </c>
      <c r="Q191" s="191" t="s">
        <v>1143</v>
      </c>
      <c r="R191" s="80">
        <v>41173</v>
      </c>
      <c r="S191" s="44" t="s">
        <v>628</v>
      </c>
      <c r="T191" s="207" t="s">
        <v>317</v>
      </c>
      <c r="U191" s="69" t="str">
        <f t="shared" si="103"/>
        <v>N</v>
      </c>
      <c r="V191" s="44" t="s">
        <v>361</v>
      </c>
      <c r="W191" s="208" t="s">
        <v>361</v>
      </c>
      <c r="X191" s="44" t="s">
        <v>320</v>
      </c>
      <c r="Y191" s="229">
        <v>30</v>
      </c>
      <c r="Z191" s="216"/>
      <c r="AA191" s="148"/>
      <c r="AB191" s="44"/>
      <c r="AC191" s="148"/>
      <c r="AD191" s="128"/>
      <c r="AE191" s="148"/>
      <c r="AF191" s="148"/>
      <c r="AG191" s="218"/>
      <c r="AH191" s="147"/>
      <c r="AI191" s="128"/>
      <c r="AJ191" s="148"/>
      <c r="AK191" s="148"/>
      <c r="AL191" s="218"/>
      <c r="AM191" s="148"/>
      <c r="AN191" s="128"/>
      <c r="AO191" s="148"/>
      <c r="AP191" s="148"/>
      <c r="AQ191" s="44"/>
      <c r="AR191" s="148"/>
      <c r="AS191" s="128"/>
      <c r="AT191" s="148">
        <f>170000000/10000</f>
        <v>17000</v>
      </c>
      <c r="AU191" s="148">
        <f>170000000/10000</f>
        <v>17000</v>
      </c>
      <c r="AV191" s="218">
        <v>2017</v>
      </c>
      <c r="AW191" s="148">
        <f>972532537.1/10000</f>
        <v>97253.253710000005</v>
      </c>
      <c r="AX191" s="159">
        <f>AU191/AW191</f>
        <v>0.17480134958458449</v>
      </c>
      <c r="AY191" s="198" t="s">
        <v>1742</v>
      </c>
      <c r="AZ191" s="161" t="str">
        <f t="shared" si="122"/>
        <v>N</v>
      </c>
      <c r="BA191" s="161" t="str">
        <f t="shared" si="123"/>
        <v>N</v>
      </c>
      <c r="BB191" s="161" t="str">
        <f t="shared" si="124"/>
        <v>N</v>
      </c>
      <c r="BC191" s="161" t="str">
        <f t="shared" si="125"/>
        <v>N</v>
      </c>
      <c r="BD191" s="161" t="str">
        <f t="shared" si="126"/>
        <v>N</v>
      </c>
      <c r="BE191" s="161" t="str">
        <f t="shared" si="127"/>
        <v>N</v>
      </c>
      <c r="BF191" s="161" t="str">
        <f t="shared" si="128"/>
        <v>N</v>
      </c>
      <c r="BG191" s="161" t="str">
        <f t="shared" si="129"/>
        <v>N</v>
      </c>
      <c r="BH191" s="161" t="str">
        <f t="shared" si="130"/>
        <v>N</v>
      </c>
      <c r="BI191" s="161" t="str">
        <f t="shared" si="131"/>
        <v>N</v>
      </c>
      <c r="BJ191" s="161" t="str">
        <f t="shared" si="132"/>
        <v>N</v>
      </c>
      <c r="BK191" s="161" t="str">
        <f t="shared" si="133"/>
        <v>N</v>
      </c>
      <c r="BL191" s="161" t="str">
        <f t="shared" si="134"/>
        <v>N</v>
      </c>
      <c r="BM191" s="161" t="str">
        <f t="shared" si="135"/>
        <v>N</v>
      </c>
      <c r="BN191" s="176" t="str">
        <f t="shared" si="136"/>
        <v>N</v>
      </c>
      <c r="BO191" s="170" t="s">
        <v>363</v>
      </c>
      <c r="BP191" s="174" t="str">
        <f t="shared" si="137"/>
        <v>深交所主板</v>
      </c>
      <c r="BQ191" s="172" t="s">
        <v>317</v>
      </c>
      <c r="BR191" s="173">
        <f t="shared" si="138"/>
        <v>42004</v>
      </c>
      <c r="BS191" s="171" t="str">
        <f t="shared" si="139"/>
        <v>N</v>
      </c>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c r="ET191" s="7"/>
      <c r="EU191" s="7"/>
      <c r="EV191" s="7"/>
      <c r="EW191" s="7"/>
      <c r="EX191" s="7"/>
      <c r="EY191" s="7"/>
      <c r="EZ191" s="7"/>
      <c r="FA191" s="7"/>
      <c r="FB191" s="7"/>
      <c r="FC191" s="7"/>
      <c r="FD191" s="7"/>
      <c r="FE191" s="7"/>
      <c r="FF191" s="7"/>
      <c r="FG191" s="7"/>
    </row>
    <row r="192" spans="1:163" s="12" customFormat="1" ht="15" customHeight="1" x14ac:dyDescent="0.25">
      <c r="A192" s="31">
        <v>109</v>
      </c>
      <c r="B192" s="55" t="s">
        <v>1743</v>
      </c>
      <c r="C192" s="57" t="s">
        <v>1744</v>
      </c>
      <c r="D192" s="57" t="s">
        <v>426</v>
      </c>
      <c r="E192" s="57" t="s">
        <v>427</v>
      </c>
      <c r="F192" s="57" t="s">
        <v>1745</v>
      </c>
      <c r="G192" s="57" t="s">
        <v>315</v>
      </c>
      <c r="H192" s="32" t="s">
        <v>368</v>
      </c>
      <c r="I192" s="78">
        <v>43076</v>
      </c>
      <c r="J192" s="78">
        <v>43294</v>
      </c>
      <c r="K192" s="78">
        <v>43453</v>
      </c>
      <c r="L192" s="226" t="s">
        <v>1746</v>
      </c>
      <c r="M192" s="69" t="s">
        <v>1642</v>
      </c>
      <c r="N192" s="69">
        <v>3.5</v>
      </c>
      <c r="O192" s="69" t="s">
        <v>1314</v>
      </c>
      <c r="P192" s="69" t="s">
        <v>1470</v>
      </c>
      <c r="Q192" s="32" t="s">
        <v>1047</v>
      </c>
      <c r="R192" s="227">
        <v>40828</v>
      </c>
      <c r="S192" s="197" t="s">
        <v>822</v>
      </c>
      <c r="T192" s="161" t="s">
        <v>317</v>
      </c>
      <c r="U192" s="69" t="str">
        <f t="shared" si="103"/>
        <v>N</v>
      </c>
      <c r="V192" s="57" t="s">
        <v>398</v>
      </c>
      <c r="W192" s="197" t="s">
        <v>319</v>
      </c>
      <c r="X192" s="197" t="s">
        <v>320</v>
      </c>
      <c r="Y192" s="213">
        <v>60</v>
      </c>
      <c r="Z192" s="149"/>
      <c r="AA192" s="149"/>
      <c r="AB192" s="214"/>
      <c r="AC192" s="149"/>
      <c r="AD192" s="128"/>
      <c r="AE192" s="149">
        <v>6178.7035340000002</v>
      </c>
      <c r="AF192" s="149">
        <v>3637.4615979999999</v>
      </c>
      <c r="AG192" s="206">
        <v>2015</v>
      </c>
      <c r="AH192" s="149">
        <v>152259.64000000001</v>
      </c>
      <c r="AI192" s="128">
        <f>AF192/AH192</f>
        <v>2.3889860753644233E-2</v>
      </c>
      <c r="AJ192" s="149">
        <v>6047.2468900000003</v>
      </c>
      <c r="AK192" s="149">
        <v>3506.004954</v>
      </c>
      <c r="AL192" s="214">
        <v>2015</v>
      </c>
      <c r="AM192" s="149">
        <v>27031.6496067849</v>
      </c>
      <c r="AN192" s="128">
        <f>AK192/AM192</f>
        <v>0.12969999999999995</v>
      </c>
      <c r="AO192" s="149"/>
      <c r="AP192" s="149"/>
      <c r="AQ192" s="57"/>
      <c r="AR192" s="149"/>
      <c r="AS192" s="128"/>
      <c r="AT192" s="149"/>
      <c r="AU192" s="149"/>
      <c r="AV192" s="214"/>
      <c r="AW192" s="149"/>
      <c r="AX192" s="128"/>
      <c r="AY192" s="197" t="s">
        <v>1747</v>
      </c>
      <c r="AZ192" s="161" t="str">
        <f t="shared" si="122"/>
        <v>N</v>
      </c>
      <c r="BA192" s="161" t="str">
        <f t="shared" si="123"/>
        <v>N</v>
      </c>
      <c r="BB192" s="161" t="str">
        <f t="shared" si="124"/>
        <v>N</v>
      </c>
      <c r="BC192" s="161" t="str">
        <f t="shared" si="125"/>
        <v>N</v>
      </c>
      <c r="BD192" s="161" t="str">
        <f t="shared" si="126"/>
        <v>N</v>
      </c>
      <c r="BE192" s="161" t="str">
        <f t="shared" si="127"/>
        <v>N</v>
      </c>
      <c r="BF192" s="161" t="str">
        <f t="shared" si="128"/>
        <v>N</v>
      </c>
      <c r="BG192" s="161" t="str">
        <f t="shared" si="129"/>
        <v>N</v>
      </c>
      <c r="BH192" s="161" t="str">
        <f t="shared" si="130"/>
        <v>N</v>
      </c>
      <c r="BI192" s="161" t="str">
        <f t="shared" si="131"/>
        <v>N</v>
      </c>
      <c r="BJ192" s="161" t="str">
        <f t="shared" si="132"/>
        <v>N</v>
      </c>
      <c r="BK192" s="161" t="str">
        <f t="shared" si="133"/>
        <v>N</v>
      </c>
      <c r="BL192" s="161" t="str">
        <f t="shared" si="134"/>
        <v>N</v>
      </c>
      <c r="BM192" s="161" t="str">
        <f t="shared" si="135"/>
        <v>N</v>
      </c>
      <c r="BN192" s="176" t="str">
        <f t="shared" si="136"/>
        <v>N</v>
      </c>
      <c r="BO192" s="222" t="s">
        <v>790</v>
      </c>
      <c r="BP192" s="174" t="str">
        <f t="shared" si="137"/>
        <v>深交所创业板</v>
      </c>
      <c r="BQ192" s="219" t="s">
        <v>317</v>
      </c>
      <c r="BR192" s="173">
        <f t="shared" si="138"/>
        <v>42004</v>
      </c>
      <c r="BS192" s="171" t="str">
        <f t="shared" si="139"/>
        <v>Y</v>
      </c>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row>
    <row r="193" spans="1:163" ht="15" customHeight="1" x14ac:dyDescent="0.35">
      <c r="A193" s="31">
        <v>108</v>
      </c>
      <c r="B193" s="32" t="s">
        <v>1748</v>
      </c>
      <c r="C193" s="23" t="s">
        <v>1749</v>
      </c>
      <c r="D193" s="44" t="s">
        <v>764</v>
      </c>
      <c r="E193" s="44" t="s">
        <v>765</v>
      </c>
      <c r="F193" s="190" t="s">
        <v>1750</v>
      </c>
      <c r="G193" s="42" t="s">
        <v>326</v>
      </c>
      <c r="H193" s="32" t="s">
        <v>327</v>
      </c>
      <c r="I193" s="78">
        <v>43062</v>
      </c>
      <c r="J193" s="78">
        <v>43231</v>
      </c>
      <c r="K193" s="78">
        <v>43236</v>
      </c>
      <c r="L193" s="79" t="s">
        <v>1751</v>
      </c>
      <c r="M193" s="198">
        <v>2016</v>
      </c>
      <c r="N193" s="23">
        <v>1</v>
      </c>
      <c r="O193" s="69" t="str">
        <f>IF(N193&lt;1,"1年以内",IF(N193&lt;2,"1-2年",IF(N193&lt;3,"2-3年",IF(N193&lt;5,"3-5年","5年以上"))))</f>
        <v>1-2年</v>
      </c>
      <c r="P193" s="69" t="s">
        <v>1710</v>
      </c>
      <c r="Q193" s="191" t="s">
        <v>371</v>
      </c>
      <c r="R193" s="80">
        <v>34479</v>
      </c>
      <c r="S193" s="44" t="s">
        <v>421</v>
      </c>
      <c r="T193" s="207" t="s">
        <v>345</v>
      </c>
      <c r="U193" s="69" t="str">
        <f t="shared" si="103"/>
        <v>N</v>
      </c>
      <c r="V193" s="44" t="s">
        <v>361</v>
      </c>
      <c r="W193" s="208" t="s">
        <v>361</v>
      </c>
      <c r="X193" s="44" t="s">
        <v>320</v>
      </c>
      <c r="Y193" s="229">
        <v>30</v>
      </c>
      <c r="Z193" s="216"/>
      <c r="AA193" s="148"/>
      <c r="AB193" s="44"/>
      <c r="AC193" s="148"/>
      <c r="AD193" s="128"/>
      <c r="AE193" s="148"/>
      <c r="AF193" s="148"/>
      <c r="AG193" s="218"/>
      <c r="AH193" s="147"/>
      <c r="AI193" s="128"/>
      <c r="AJ193" s="148"/>
      <c r="AK193" s="148"/>
      <c r="AL193" s="218"/>
      <c r="AM193" s="148"/>
      <c r="AN193" s="128"/>
      <c r="AO193" s="148"/>
      <c r="AP193" s="148"/>
      <c r="AQ193" s="44"/>
      <c r="AR193" s="148"/>
      <c r="AS193" s="128"/>
      <c r="AT193" s="148">
        <f>200000000/10000</f>
        <v>20000</v>
      </c>
      <c r="AU193" s="148">
        <f>200000000/10000</f>
        <v>20000</v>
      </c>
      <c r="AV193" s="218">
        <v>2016</v>
      </c>
      <c r="AW193" s="148">
        <f>5630116586.38/10000</f>
        <v>563011.65863800002</v>
      </c>
      <c r="AX193" s="159">
        <f>AU193/AW193</f>
        <v>3.5523243068150058E-2</v>
      </c>
      <c r="AY193" s="198"/>
      <c r="AZ193" s="161"/>
      <c r="BA193" s="161"/>
      <c r="BB193" s="161"/>
      <c r="BC193" s="161"/>
      <c r="BD193" s="161"/>
      <c r="BE193" s="161"/>
      <c r="BF193" s="161"/>
      <c r="BG193" s="161"/>
      <c r="BH193" s="161"/>
      <c r="BI193" s="161"/>
      <c r="BJ193" s="161"/>
      <c r="BK193" s="161"/>
      <c r="BL193" s="161"/>
      <c r="BM193" s="161"/>
      <c r="BN193" s="176"/>
      <c r="BO193" s="170"/>
      <c r="BP193" s="174"/>
      <c r="BQ193" s="172"/>
      <c r="BR193" s="173"/>
      <c r="BS193" s="171"/>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c r="ET193" s="7"/>
      <c r="EU193" s="7"/>
      <c r="EV193" s="7"/>
      <c r="EW193" s="7"/>
      <c r="EX193" s="7"/>
      <c r="EY193" s="7"/>
      <c r="EZ193" s="7"/>
      <c r="FA193" s="7"/>
      <c r="FB193" s="7"/>
      <c r="FC193" s="7"/>
      <c r="FD193" s="7"/>
      <c r="FE193" s="7"/>
      <c r="FF193" s="7"/>
      <c r="FG193" s="7"/>
    </row>
    <row r="194" spans="1:163" ht="15" customHeight="1" x14ac:dyDescent="0.25">
      <c r="A194" s="31">
        <v>107</v>
      </c>
      <c r="B194" s="55" t="s">
        <v>1752</v>
      </c>
      <c r="C194" s="57" t="s">
        <v>1753</v>
      </c>
      <c r="D194" s="57" t="s">
        <v>565</v>
      </c>
      <c r="E194" s="57" t="s">
        <v>1754</v>
      </c>
      <c r="F194" s="57" t="s">
        <v>1755</v>
      </c>
      <c r="G194" s="57" t="s">
        <v>315</v>
      </c>
      <c r="H194" s="32" t="s">
        <v>368</v>
      </c>
      <c r="I194" s="78">
        <v>42955</v>
      </c>
      <c r="J194" s="78">
        <v>43208</v>
      </c>
      <c r="K194" s="78">
        <v>43264</v>
      </c>
      <c r="L194" s="226" t="s">
        <v>1756</v>
      </c>
      <c r="M194" s="69" t="s">
        <v>1349</v>
      </c>
      <c r="N194" s="69">
        <v>2</v>
      </c>
      <c r="O194" s="69" t="s">
        <v>1305</v>
      </c>
      <c r="P194" s="224" t="s">
        <v>1315</v>
      </c>
      <c r="Q194" s="32" t="s">
        <v>371</v>
      </c>
      <c r="R194" s="227">
        <v>40813</v>
      </c>
      <c r="S194" s="197" t="s">
        <v>421</v>
      </c>
      <c r="T194" s="228" t="s">
        <v>317</v>
      </c>
      <c r="U194" s="69" t="str">
        <f t="shared" si="103"/>
        <v>N</v>
      </c>
      <c r="V194" s="57" t="s">
        <v>398</v>
      </c>
      <c r="W194" s="197" t="s">
        <v>319</v>
      </c>
      <c r="X194" s="197" t="s">
        <v>320</v>
      </c>
      <c r="Y194" s="213">
        <v>60</v>
      </c>
      <c r="Z194" s="149"/>
      <c r="AA194" s="149"/>
      <c r="AB194" s="214"/>
      <c r="AC194" s="149"/>
      <c r="AD194" s="128"/>
      <c r="AE194" s="149">
        <f>(18058880+255075191.84)/10000</f>
        <v>27313.407184000003</v>
      </c>
      <c r="AF194" s="149">
        <v>25507.519184000001</v>
      </c>
      <c r="AG194" s="206">
        <v>2016</v>
      </c>
      <c r="AH194" s="149">
        <v>296089.68150300003</v>
      </c>
      <c r="AI194" s="128">
        <f>AF194/AH194</f>
        <v>8.6147950359227746E-2</v>
      </c>
      <c r="AJ194" s="149"/>
      <c r="AK194" s="149"/>
      <c r="AL194" s="214"/>
      <c r="AM194" s="149"/>
      <c r="AN194" s="128"/>
      <c r="AO194" s="149">
        <v>24811.418384000001</v>
      </c>
      <c r="AP194" s="149">
        <v>23225.444879999999</v>
      </c>
      <c r="AQ194" s="57">
        <v>2016</v>
      </c>
      <c r="AR194" s="149">
        <v>102643.44942999999</v>
      </c>
      <c r="AS194" s="128">
        <f>AP194/AR194</f>
        <v>0.22627303553198602</v>
      </c>
      <c r="AT194" s="149"/>
      <c r="AU194" s="149"/>
      <c r="AV194" s="214"/>
      <c r="AW194" s="149"/>
      <c r="AX194" s="128"/>
      <c r="AY194" s="233" t="s">
        <v>1757</v>
      </c>
      <c r="AZ194" s="161" t="str">
        <f t="shared" ref="AZ194:AZ225" si="140">IFERROR(IF(Z194&gt;100000,"Y","N"),"N")</f>
        <v>N</v>
      </c>
      <c r="BA194" s="161" t="str">
        <f t="shared" ref="BA194:BA225" si="141">IFERROR(IF(AD194&gt;0.5,"Y","N"),"N")</f>
        <v>N</v>
      </c>
      <c r="BB194" s="161" t="str">
        <f t="shared" ref="BB194:BB225" si="142">IFERROR(IF(AE194&gt;100000,"Y","N"),"N")</f>
        <v>N</v>
      </c>
      <c r="BC194" s="161" t="str">
        <f t="shared" ref="BC194:BC225" si="143">IFERROR(IF(AI194&gt;0.5,"Y","N"),"N")</f>
        <v>N</v>
      </c>
      <c r="BD194" s="161" t="str">
        <f t="shared" ref="BD194:BD225" si="144">IFERROR(IF(AJ194&gt;100000,"Y","N"),"N")</f>
        <v>N</v>
      </c>
      <c r="BE194" s="161" t="str">
        <f t="shared" ref="BE194:BE225" si="145">IFERROR(IF(AN194&gt;0.5,"Y","N"),"N")</f>
        <v>N</v>
      </c>
      <c r="BF194" s="161" t="str">
        <f t="shared" ref="BF194:BF225" si="146">IFERROR(IF(AND(AM194-AK194&lt;0,AM194&gt;0),"Y","N"),"N")</f>
        <v>N</v>
      </c>
      <c r="BG194" s="161" t="str">
        <f t="shared" ref="BG194:BG225" si="147">IFERROR(IF(AO194&gt;100000,"Y","N"),"N")</f>
        <v>N</v>
      </c>
      <c r="BH194" s="161" t="str">
        <f t="shared" ref="BH194:BH225" si="148">IFERROR(IF(AS194&gt;0.5,"Y","N"),"N")</f>
        <v>N</v>
      </c>
      <c r="BI194" s="161" t="str">
        <f t="shared" ref="BI194:BI225" si="149">IFERROR(IF(AND(AR194-AP194&lt;0,AR194&gt;0),"Y","N"),"N")</f>
        <v>N</v>
      </c>
      <c r="BJ194" s="161" t="str">
        <f t="shared" ref="BJ194:BJ225" si="150">IFERROR(IF(AT194&gt;100000,"Y","N"),"N")</f>
        <v>N</v>
      </c>
      <c r="BK194" s="161" t="str">
        <f t="shared" ref="BK194:BK225" si="151">IFERROR(IF(AX194&gt;0.5,"Y","N"),"N")</f>
        <v>N</v>
      </c>
      <c r="BL194" s="161" t="str">
        <f t="shared" ref="BL194:BL225" si="152">IF(OR(AZ194="Y",BB194="Y",BD194="Y",BG194="Y",BJ194="Y"),"Y","N")</f>
        <v>N</v>
      </c>
      <c r="BM194" s="161" t="str">
        <f t="shared" ref="BM194:BM225" si="153">IF(OR(BA194="Y",BC194="Y",BE194="Y",BH194="Y",BK194="Y"),"Y","N")</f>
        <v>N</v>
      </c>
      <c r="BN194" s="176" t="str">
        <f t="shared" ref="BN194:BN225" si="154">IF(OR(BF194="Y",BI194="Y"),"Y","N")</f>
        <v>N</v>
      </c>
      <c r="BO194" s="222" t="s">
        <v>1758</v>
      </c>
      <c r="BP194" s="174" t="str">
        <f t="shared" ref="BP194:BP225" si="155">IF(LEFT(B194,2)="00","深交所主板",IF(LEFT(B194,2)="60","上交所主板",IF(LEFT(B194,2)="30","深交所创业板",IF(LEFT(B194,3)="688","上交所科创板",IF(RIGHT(B194,2)="BJ","北交所","")))))</f>
        <v>深交所创业板</v>
      </c>
      <c r="BQ194" s="219" t="s">
        <v>317</v>
      </c>
      <c r="BR194" s="173">
        <f t="shared" ref="BR194:BR225" si="156">IF(OR(BP194="上交所主板",BP194="深交所主板"),DATE(YEAR(R194)+2,12,31),IF(OR(BP194="上交所科创板",BP194="深交所创业板",,BP194="北交所"),DATE(YEAR(R194)+3,12,31),""))</f>
        <v>42004</v>
      </c>
      <c r="BS194" s="171" t="str">
        <f t="shared" ref="BS194:BS225" si="157">IF(BQ194="是","N",IF(OR(R194="-",LEFT(R194)="A"),"Y",IF(OR(LEFT(M194,4)-YEAR(BR194)&gt;0,RIGHT(M194,4)-(YEAR(R194)-3)&lt;0),"N","Y")))</f>
        <v>N</v>
      </c>
    </row>
    <row r="195" spans="1:163" s="13" customFormat="1" ht="15" customHeight="1" x14ac:dyDescent="0.25">
      <c r="A195" s="31">
        <v>106</v>
      </c>
      <c r="B195" s="55" t="s">
        <v>1759</v>
      </c>
      <c r="C195" s="57" t="s">
        <v>1760</v>
      </c>
      <c r="D195" s="57" t="s">
        <v>313</v>
      </c>
      <c r="E195" s="57" t="s">
        <v>917</v>
      </c>
      <c r="F195" s="57" t="s">
        <v>1761</v>
      </c>
      <c r="G195" s="57" t="s">
        <v>315</v>
      </c>
      <c r="H195" s="32" t="s">
        <v>368</v>
      </c>
      <c r="I195" s="78">
        <v>42843</v>
      </c>
      <c r="J195" s="78">
        <v>43202</v>
      </c>
      <c r="K195" s="85">
        <v>43230</v>
      </c>
      <c r="L195" s="226" t="s">
        <v>1762</v>
      </c>
      <c r="M195" s="69">
        <v>2015</v>
      </c>
      <c r="N195" s="69">
        <v>1</v>
      </c>
      <c r="O195" s="69" t="s">
        <v>1258</v>
      </c>
      <c r="P195" s="69" t="s">
        <v>1315</v>
      </c>
      <c r="Q195" s="32" t="s">
        <v>877</v>
      </c>
      <c r="R195" s="227">
        <v>40431</v>
      </c>
      <c r="S195" s="197" t="s">
        <v>1127</v>
      </c>
      <c r="T195" s="161" t="s">
        <v>317</v>
      </c>
      <c r="U195" s="69" t="str">
        <f t="shared" si="103"/>
        <v>Y</v>
      </c>
      <c r="V195" s="57" t="s">
        <v>333</v>
      </c>
      <c r="W195" s="197" t="s">
        <v>814</v>
      </c>
      <c r="X195" s="197" t="s">
        <v>334</v>
      </c>
      <c r="Y195" s="213">
        <v>60</v>
      </c>
      <c r="Z195" s="149"/>
      <c r="AA195" s="149"/>
      <c r="AB195" s="214"/>
      <c r="AC195" s="149"/>
      <c r="AD195" s="128"/>
      <c r="AE195" s="149">
        <f>2000</f>
        <v>2000</v>
      </c>
      <c r="AF195" s="149">
        <v>2000</v>
      </c>
      <c r="AG195" s="206">
        <v>2015</v>
      </c>
      <c r="AH195" s="149">
        <f>105230232.64/10000</f>
        <v>10523.023263999999</v>
      </c>
      <c r="AI195" s="128">
        <f>AF195/AH195</f>
        <v>0.19005944867974781</v>
      </c>
      <c r="AJ195" s="149">
        <v>2000</v>
      </c>
      <c r="AK195" s="149">
        <v>2000</v>
      </c>
      <c r="AL195" s="214">
        <v>2015</v>
      </c>
      <c r="AM195" s="149">
        <v>367.15</v>
      </c>
      <c r="AN195" s="128">
        <f>AK195/AM195</f>
        <v>5.4473648372599754</v>
      </c>
      <c r="AO195" s="149">
        <v>1500</v>
      </c>
      <c r="AP195" s="149">
        <v>1500</v>
      </c>
      <c r="AQ195" s="57">
        <v>2015</v>
      </c>
      <c r="AR195" s="149">
        <v>431.43</v>
      </c>
      <c r="AS195" s="128">
        <f>AP195/AR195</f>
        <v>3.4768096794381473</v>
      </c>
      <c r="AT195" s="149"/>
      <c r="AU195" s="149"/>
      <c r="AV195" s="214"/>
      <c r="AW195" s="149"/>
      <c r="AX195" s="128"/>
      <c r="AY195" s="197" t="s">
        <v>1763</v>
      </c>
      <c r="AZ195" s="161" t="str">
        <f t="shared" si="140"/>
        <v>N</v>
      </c>
      <c r="BA195" s="161" t="str">
        <f t="shared" si="141"/>
        <v>N</v>
      </c>
      <c r="BB195" s="161" t="str">
        <f t="shared" si="142"/>
        <v>N</v>
      </c>
      <c r="BC195" s="161" t="str">
        <f t="shared" si="143"/>
        <v>N</v>
      </c>
      <c r="BD195" s="161" t="str">
        <f t="shared" si="144"/>
        <v>N</v>
      </c>
      <c r="BE195" s="161" t="str">
        <f t="shared" si="145"/>
        <v>Y</v>
      </c>
      <c r="BF195" s="161" t="str">
        <f t="shared" si="146"/>
        <v>Y</v>
      </c>
      <c r="BG195" s="161" t="str">
        <f t="shared" si="147"/>
        <v>N</v>
      </c>
      <c r="BH195" s="161" t="str">
        <f t="shared" si="148"/>
        <v>Y</v>
      </c>
      <c r="BI195" s="161" t="str">
        <f t="shared" si="149"/>
        <v>Y</v>
      </c>
      <c r="BJ195" s="161" t="str">
        <f t="shared" si="150"/>
        <v>N</v>
      </c>
      <c r="BK195" s="161" t="str">
        <f t="shared" si="151"/>
        <v>N</v>
      </c>
      <c r="BL195" s="161" t="str">
        <f t="shared" si="152"/>
        <v>N</v>
      </c>
      <c r="BM195" s="161" t="str">
        <f t="shared" si="153"/>
        <v>Y</v>
      </c>
      <c r="BN195" s="176" t="str">
        <f t="shared" si="154"/>
        <v>Y</v>
      </c>
      <c r="BO195" s="222" t="s">
        <v>520</v>
      </c>
      <c r="BP195" s="174" t="str">
        <f t="shared" si="155"/>
        <v>深交所主板</v>
      </c>
      <c r="BQ195" s="219" t="s">
        <v>317</v>
      </c>
      <c r="BR195" s="173">
        <f t="shared" si="156"/>
        <v>41274</v>
      </c>
      <c r="BS195" s="171" t="str">
        <f t="shared" si="157"/>
        <v>N</v>
      </c>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row>
    <row r="196" spans="1:163" ht="15" customHeight="1" x14ac:dyDescent="0.35">
      <c r="A196" s="31">
        <v>105</v>
      </c>
      <c r="B196" s="32" t="s">
        <v>1764</v>
      </c>
      <c r="C196" s="23" t="s">
        <v>1765</v>
      </c>
      <c r="D196" s="44" t="s">
        <v>686</v>
      </c>
      <c r="E196" s="44" t="s">
        <v>1766</v>
      </c>
      <c r="F196" s="190" t="s">
        <v>1767</v>
      </c>
      <c r="G196" s="42" t="s">
        <v>315</v>
      </c>
      <c r="H196" s="32" t="s">
        <v>327</v>
      </c>
      <c r="I196" s="78">
        <v>42986</v>
      </c>
      <c r="J196" s="78">
        <v>43137</v>
      </c>
      <c r="K196" s="78">
        <v>43248</v>
      </c>
      <c r="L196" s="79" t="s">
        <v>1768</v>
      </c>
      <c r="M196" s="198" t="s">
        <v>748</v>
      </c>
      <c r="N196" s="23">
        <v>1.25</v>
      </c>
      <c r="O196" s="69" t="str">
        <f>IF(N196&lt;1,"1年以内",IF(N196&lt;2,"1-2年",IF(N196&lt;3,"2-3年",IF(N196&lt;5,"3-5年","5年以上"))))</f>
        <v>1-2年</v>
      </c>
      <c r="P196" s="69" t="s">
        <v>1769</v>
      </c>
      <c r="Q196" s="191" t="s">
        <v>1770</v>
      </c>
      <c r="R196" s="80">
        <v>39002</v>
      </c>
      <c r="S196" s="44" t="s">
        <v>707</v>
      </c>
      <c r="T196" s="207" t="s">
        <v>317</v>
      </c>
      <c r="U196" s="69" t="str">
        <f t="shared" si="103"/>
        <v>N</v>
      </c>
      <c r="V196" s="44" t="s">
        <v>318</v>
      </c>
      <c r="W196" s="208" t="s">
        <v>1771</v>
      </c>
      <c r="X196" s="44" t="s">
        <v>320</v>
      </c>
      <c r="Y196" s="229">
        <v>60</v>
      </c>
      <c r="Z196" s="216">
        <f>344.61+984.6+647.03+632.96+457.88</f>
        <v>3067.08</v>
      </c>
      <c r="AA196" s="148">
        <f>344.61+984.6+647.03</f>
        <v>1976.24</v>
      </c>
      <c r="AB196" s="44">
        <v>2016</v>
      </c>
      <c r="AC196" s="148">
        <f>714634515.77/10000</f>
        <v>71463.451577</v>
      </c>
      <c r="AD196" s="128">
        <f>AA196/AC196</f>
        <v>2.765385601156772E-2</v>
      </c>
      <c r="AE196" s="148"/>
      <c r="AF196" s="148"/>
      <c r="AG196" s="218"/>
      <c r="AH196" s="147"/>
      <c r="AI196" s="128"/>
      <c r="AJ196" s="148"/>
      <c r="AK196" s="148"/>
      <c r="AL196" s="218"/>
      <c r="AM196" s="148"/>
      <c r="AN196" s="128"/>
      <c r="AO196" s="148">
        <f>243.51+695.75+457.21+447.27+323.55</f>
        <v>2167.29</v>
      </c>
      <c r="AP196" s="148">
        <f>243.51+695.75+457.21</f>
        <v>1396.47</v>
      </c>
      <c r="AQ196" s="44">
        <v>2016</v>
      </c>
      <c r="AR196" s="148">
        <f>-48295606.55/10000</f>
        <v>-4829.5606549999993</v>
      </c>
      <c r="AS196" s="128">
        <f>AP196/AR196</f>
        <v>-0.28915052522515639</v>
      </c>
      <c r="AT196" s="148"/>
      <c r="AU196" s="148"/>
      <c r="AV196" s="218"/>
      <c r="AW196" s="148"/>
      <c r="AX196" s="159"/>
      <c r="AY196" s="198" t="s">
        <v>1772</v>
      </c>
      <c r="AZ196" s="161" t="str">
        <f t="shared" si="140"/>
        <v>N</v>
      </c>
      <c r="BA196" s="161" t="str">
        <f t="shared" si="141"/>
        <v>N</v>
      </c>
      <c r="BB196" s="161" t="str">
        <f t="shared" si="142"/>
        <v>N</v>
      </c>
      <c r="BC196" s="161" t="str">
        <f t="shared" si="143"/>
        <v>N</v>
      </c>
      <c r="BD196" s="161" t="str">
        <f t="shared" si="144"/>
        <v>N</v>
      </c>
      <c r="BE196" s="161" t="str">
        <f t="shared" si="145"/>
        <v>N</v>
      </c>
      <c r="BF196" s="161" t="str">
        <f t="shared" si="146"/>
        <v>N</v>
      </c>
      <c r="BG196" s="161" t="str">
        <f t="shared" si="147"/>
        <v>N</v>
      </c>
      <c r="BH196" s="161" t="str">
        <f t="shared" si="148"/>
        <v>N</v>
      </c>
      <c r="BI196" s="161" t="str">
        <f t="shared" si="149"/>
        <v>N</v>
      </c>
      <c r="BJ196" s="161" t="str">
        <f t="shared" si="150"/>
        <v>N</v>
      </c>
      <c r="BK196" s="161" t="str">
        <f t="shared" si="151"/>
        <v>N</v>
      </c>
      <c r="BL196" s="161" t="str">
        <f t="shared" si="152"/>
        <v>N</v>
      </c>
      <c r="BM196" s="161" t="str">
        <f t="shared" si="153"/>
        <v>N</v>
      </c>
      <c r="BN196" s="176" t="str">
        <f t="shared" si="154"/>
        <v>N</v>
      </c>
      <c r="BO196" s="170" t="s">
        <v>955</v>
      </c>
      <c r="BP196" s="174" t="str">
        <f t="shared" si="155"/>
        <v>深交所主板</v>
      </c>
      <c r="BQ196" s="172" t="s">
        <v>317</v>
      </c>
      <c r="BR196" s="173">
        <f t="shared" si="156"/>
        <v>39813</v>
      </c>
      <c r="BS196" s="171" t="str">
        <f t="shared" si="157"/>
        <v>N</v>
      </c>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c r="ET196" s="7"/>
      <c r="EU196" s="7"/>
      <c r="EV196" s="7"/>
      <c r="EW196" s="7"/>
      <c r="EX196" s="7"/>
      <c r="EY196" s="7"/>
      <c r="EZ196" s="7"/>
      <c r="FA196" s="7"/>
      <c r="FB196" s="7"/>
      <c r="FC196" s="7"/>
      <c r="FD196" s="7"/>
      <c r="FE196" s="7"/>
      <c r="FF196" s="7"/>
      <c r="FG196" s="7"/>
    </row>
    <row r="197" spans="1:163" ht="15" customHeight="1" x14ac:dyDescent="0.25">
      <c r="A197" s="31">
        <v>104</v>
      </c>
      <c r="B197" s="55" t="s">
        <v>1773</v>
      </c>
      <c r="C197" s="57" t="s">
        <v>1774</v>
      </c>
      <c r="D197" s="57" t="s">
        <v>448</v>
      </c>
      <c r="E197" s="57" t="s">
        <v>1569</v>
      </c>
      <c r="F197" s="57" t="s">
        <v>1775</v>
      </c>
      <c r="G197" s="57" t="s">
        <v>315</v>
      </c>
      <c r="H197" s="32" t="s">
        <v>368</v>
      </c>
      <c r="I197" s="78">
        <v>42990</v>
      </c>
      <c r="J197" s="78">
        <v>43137</v>
      </c>
      <c r="K197" s="78">
        <v>43161</v>
      </c>
      <c r="L197" s="226" t="s">
        <v>1776</v>
      </c>
      <c r="M197" s="69">
        <v>2016</v>
      </c>
      <c r="N197" s="69">
        <v>0.75</v>
      </c>
      <c r="O197" s="69" t="s">
        <v>1495</v>
      </c>
      <c r="P197" s="69" t="s">
        <v>1777</v>
      </c>
      <c r="Q197" s="32" t="s">
        <v>718</v>
      </c>
      <c r="R197" s="227">
        <v>39423</v>
      </c>
      <c r="S197" s="197" t="s">
        <v>508</v>
      </c>
      <c r="T197" s="228" t="s">
        <v>317</v>
      </c>
      <c r="U197" s="69" t="str">
        <f t="shared" si="103"/>
        <v>N</v>
      </c>
      <c r="V197" s="57" t="s">
        <v>318</v>
      </c>
      <c r="W197" s="197" t="s">
        <v>1362</v>
      </c>
      <c r="X197" s="197" t="s">
        <v>320</v>
      </c>
      <c r="Y197" s="213">
        <v>30</v>
      </c>
      <c r="Z197" s="149">
        <f>(15595879.52+53702340.1)/10000</f>
        <v>6929.8219620000009</v>
      </c>
      <c r="AA197" s="149">
        <v>5370.2340100000001</v>
      </c>
      <c r="AB197" s="214">
        <v>2016</v>
      </c>
      <c r="AC197" s="149">
        <v>210034.44</v>
      </c>
      <c r="AD197" s="128">
        <f>AA197/AC197</f>
        <v>2.5568349695411857E-2</v>
      </c>
      <c r="AE197" s="149"/>
      <c r="AF197" s="149"/>
      <c r="AG197" s="206"/>
      <c r="AH197" s="149"/>
      <c r="AI197" s="128"/>
      <c r="AJ197" s="149">
        <f>(15595879.52+38106460.58)/10000</f>
        <v>5370.2340099999992</v>
      </c>
      <c r="AK197" s="149">
        <v>5370.2340100000001</v>
      </c>
      <c r="AL197" s="214">
        <v>2016</v>
      </c>
      <c r="AM197" s="149">
        <v>-5217.0200000000004</v>
      </c>
      <c r="AN197" s="128">
        <f>AK197/AM197</f>
        <v>-1.0293681086137296</v>
      </c>
      <c r="AO197" s="149"/>
      <c r="AP197" s="149"/>
      <c r="AQ197" s="57"/>
      <c r="AR197" s="149"/>
      <c r="AS197" s="128"/>
      <c r="AT197" s="149"/>
      <c r="AU197" s="149"/>
      <c r="AV197" s="214"/>
      <c r="AW197" s="149"/>
      <c r="AX197" s="128"/>
      <c r="AY197" s="233" t="s">
        <v>1778</v>
      </c>
      <c r="AZ197" s="161" t="str">
        <f t="shared" si="140"/>
        <v>N</v>
      </c>
      <c r="BA197" s="161" t="str">
        <f t="shared" si="141"/>
        <v>N</v>
      </c>
      <c r="BB197" s="161" t="str">
        <f t="shared" si="142"/>
        <v>N</v>
      </c>
      <c r="BC197" s="161" t="str">
        <f t="shared" si="143"/>
        <v>N</v>
      </c>
      <c r="BD197" s="161" t="str">
        <f t="shared" si="144"/>
        <v>N</v>
      </c>
      <c r="BE197" s="161" t="str">
        <f t="shared" si="145"/>
        <v>N</v>
      </c>
      <c r="BF197" s="161" t="str">
        <f t="shared" si="146"/>
        <v>N</v>
      </c>
      <c r="BG197" s="161" t="str">
        <f t="shared" si="147"/>
        <v>N</v>
      </c>
      <c r="BH197" s="161" t="str">
        <f t="shared" si="148"/>
        <v>N</v>
      </c>
      <c r="BI197" s="161" t="str">
        <f t="shared" si="149"/>
        <v>N</v>
      </c>
      <c r="BJ197" s="161" t="str">
        <f t="shared" si="150"/>
        <v>N</v>
      </c>
      <c r="BK197" s="161" t="str">
        <f t="shared" si="151"/>
        <v>N</v>
      </c>
      <c r="BL197" s="161" t="str">
        <f t="shared" si="152"/>
        <v>N</v>
      </c>
      <c r="BM197" s="161" t="str">
        <f t="shared" si="153"/>
        <v>N</v>
      </c>
      <c r="BN197" s="176" t="str">
        <f t="shared" si="154"/>
        <v>N</v>
      </c>
      <c r="BO197" s="222" t="s">
        <v>520</v>
      </c>
      <c r="BP197" s="174" t="str">
        <f t="shared" si="155"/>
        <v>深交所主板</v>
      </c>
      <c r="BQ197" s="219" t="s">
        <v>317</v>
      </c>
      <c r="BR197" s="173">
        <f t="shared" si="156"/>
        <v>40178</v>
      </c>
      <c r="BS197" s="171" t="str">
        <f t="shared" si="157"/>
        <v>N</v>
      </c>
    </row>
    <row r="198" spans="1:163" ht="15" customHeight="1" x14ac:dyDescent="0.25">
      <c r="A198" s="31">
        <v>103</v>
      </c>
      <c r="B198" s="55" t="s">
        <v>1779</v>
      </c>
      <c r="C198" s="57" t="s">
        <v>1780</v>
      </c>
      <c r="D198" s="57" t="s">
        <v>351</v>
      </c>
      <c r="E198" s="57" t="s">
        <v>549</v>
      </c>
      <c r="F198" s="57" t="s">
        <v>1781</v>
      </c>
      <c r="G198" s="57" t="s">
        <v>315</v>
      </c>
      <c r="H198" s="32" t="s">
        <v>327</v>
      </c>
      <c r="I198" s="78">
        <v>42920</v>
      </c>
      <c r="J198" s="78">
        <v>43117</v>
      </c>
      <c r="K198" s="78">
        <v>43132</v>
      </c>
      <c r="L198" s="226" t="s">
        <v>1782</v>
      </c>
      <c r="M198" s="69" t="s">
        <v>1717</v>
      </c>
      <c r="N198" s="69">
        <v>2</v>
      </c>
      <c r="O198" s="69" t="s">
        <v>1305</v>
      </c>
      <c r="P198" s="69" t="s">
        <v>1315</v>
      </c>
      <c r="Q198" s="32" t="s">
        <v>358</v>
      </c>
      <c r="R198" s="227">
        <v>37686</v>
      </c>
      <c r="S198" s="197" t="s">
        <v>570</v>
      </c>
      <c r="T198" s="161" t="s">
        <v>317</v>
      </c>
      <c r="U198" s="69" t="str">
        <f t="shared" si="103"/>
        <v>Y</v>
      </c>
      <c r="V198" s="57" t="s">
        <v>607</v>
      </c>
      <c r="W198" s="197" t="s">
        <v>361</v>
      </c>
      <c r="X198" s="197" t="s">
        <v>320</v>
      </c>
      <c r="Y198" s="213">
        <v>60</v>
      </c>
      <c r="Z198" s="149"/>
      <c r="AA198" s="149"/>
      <c r="AB198" s="214"/>
      <c r="AC198" s="149"/>
      <c r="AD198" s="128"/>
      <c r="AE198" s="149"/>
      <c r="AF198" s="149"/>
      <c r="AG198" s="206"/>
      <c r="AH198" s="149"/>
      <c r="AI198" s="128"/>
      <c r="AJ198" s="149"/>
      <c r="AK198" s="149"/>
      <c r="AL198" s="214"/>
      <c r="AM198" s="149"/>
      <c r="AN198" s="128"/>
      <c r="AO198" s="149"/>
      <c r="AP198" s="149"/>
      <c r="AQ198" s="57"/>
      <c r="AR198" s="149"/>
      <c r="AS198" s="128"/>
      <c r="AT198" s="149">
        <v>101300</v>
      </c>
      <c r="AU198" s="149">
        <v>63500</v>
      </c>
      <c r="AV198" s="214">
        <v>2015</v>
      </c>
      <c r="AW198" s="149">
        <v>142451</v>
      </c>
      <c r="AX198" s="128">
        <f>AU198/AW198</f>
        <v>0.44576731648075479</v>
      </c>
      <c r="AY198" s="197" t="s">
        <v>1783</v>
      </c>
      <c r="AZ198" s="161" t="str">
        <f t="shared" si="140"/>
        <v>N</v>
      </c>
      <c r="BA198" s="161" t="str">
        <f t="shared" si="141"/>
        <v>N</v>
      </c>
      <c r="BB198" s="161" t="str">
        <f t="shared" si="142"/>
        <v>N</v>
      </c>
      <c r="BC198" s="161" t="str">
        <f t="shared" si="143"/>
        <v>N</v>
      </c>
      <c r="BD198" s="161" t="str">
        <f t="shared" si="144"/>
        <v>N</v>
      </c>
      <c r="BE198" s="161" t="str">
        <f t="shared" si="145"/>
        <v>N</v>
      </c>
      <c r="BF198" s="161" t="str">
        <f t="shared" si="146"/>
        <v>N</v>
      </c>
      <c r="BG198" s="161" t="str">
        <f t="shared" si="147"/>
        <v>N</v>
      </c>
      <c r="BH198" s="161" t="str">
        <f t="shared" si="148"/>
        <v>N</v>
      </c>
      <c r="BI198" s="161" t="str">
        <f t="shared" si="149"/>
        <v>N</v>
      </c>
      <c r="BJ198" s="161" t="str">
        <f t="shared" si="150"/>
        <v>Y</v>
      </c>
      <c r="BK198" s="161" t="str">
        <f t="shared" si="151"/>
        <v>N</v>
      </c>
      <c r="BL198" s="161" t="str">
        <f t="shared" si="152"/>
        <v>Y</v>
      </c>
      <c r="BM198" s="161" t="str">
        <f t="shared" si="153"/>
        <v>N</v>
      </c>
      <c r="BN198" s="176" t="str">
        <f t="shared" si="154"/>
        <v>N</v>
      </c>
      <c r="BO198" s="222" t="s">
        <v>1263</v>
      </c>
      <c r="BP198" s="174" t="str">
        <f t="shared" si="155"/>
        <v>上交所主板</v>
      </c>
      <c r="BQ198" s="219" t="s">
        <v>317</v>
      </c>
      <c r="BR198" s="173">
        <f t="shared" si="156"/>
        <v>38717</v>
      </c>
      <c r="BS198" s="171" t="str">
        <f t="shared" si="157"/>
        <v>N</v>
      </c>
    </row>
    <row r="199" spans="1:163" ht="15" customHeight="1" x14ac:dyDescent="0.35">
      <c r="A199" s="31">
        <v>102</v>
      </c>
      <c r="B199" s="32" t="s">
        <v>1784</v>
      </c>
      <c r="C199" s="23" t="s">
        <v>1785</v>
      </c>
      <c r="D199" s="44" t="s">
        <v>574</v>
      </c>
      <c r="E199" s="44" t="s">
        <v>575</v>
      </c>
      <c r="F199" s="190" t="s">
        <v>1786</v>
      </c>
      <c r="G199" s="42" t="s">
        <v>326</v>
      </c>
      <c r="H199" s="32" t="s">
        <v>368</v>
      </c>
      <c r="I199" s="78">
        <v>42752</v>
      </c>
      <c r="J199" s="78">
        <v>43109</v>
      </c>
      <c r="K199" s="78">
        <v>43178</v>
      </c>
      <c r="L199" s="79" t="s">
        <v>1787</v>
      </c>
      <c r="M199" s="198">
        <v>2014</v>
      </c>
      <c r="N199" s="23">
        <v>1</v>
      </c>
      <c r="O199" s="69" t="str">
        <f>IF(N199&lt;1,"1年以内",IF(N199&lt;2,"1-2年",IF(N199&lt;3,"2-3年",IF(N199&lt;5,"3-5年","5年以上"))))</f>
        <v>1-2年</v>
      </c>
      <c r="P199" s="69" t="s">
        <v>1627</v>
      </c>
      <c r="Q199" s="191" t="s">
        <v>1788</v>
      </c>
      <c r="R199" s="80">
        <v>34260</v>
      </c>
      <c r="S199" s="44" t="s">
        <v>508</v>
      </c>
      <c r="T199" s="207" t="s">
        <v>317</v>
      </c>
      <c r="U199" s="69" t="str">
        <f t="shared" si="103"/>
        <v>Y</v>
      </c>
      <c r="V199" s="44" t="s">
        <v>333</v>
      </c>
      <c r="W199" s="208" t="s">
        <v>319</v>
      </c>
      <c r="X199" s="44" t="s">
        <v>320</v>
      </c>
      <c r="Y199" s="229">
        <v>40</v>
      </c>
      <c r="Z199" s="216"/>
      <c r="AA199" s="148"/>
      <c r="AB199" s="44"/>
      <c r="AC199" s="148"/>
      <c r="AD199" s="128"/>
      <c r="AE199" s="148">
        <v>4261.75</v>
      </c>
      <c r="AF199" s="148">
        <v>4261.75</v>
      </c>
      <c r="AG199" s="218">
        <v>2014</v>
      </c>
      <c r="AH199" s="147">
        <f>1786920772.87/10000</f>
        <v>178692.07728699999</v>
      </c>
      <c r="AI199" s="128">
        <f t="shared" ref="AI199:AI204" si="158">AF199/AH199</f>
        <v>2.384968636944737E-2</v>
      </c>
      <c r="AJ199" s="148">
        <v>998.4</v>
      </c>
      <c r="AK199" s="148">
        <v>998.4</v>
      </c>
      <c r="AL199" s="218">
        <v>2014</v>
      </c>
      <c r="AM199" s="148">
        <f>13549611.72/10000</f>
        <v>1354.961172</v>
      </c>
      <c r="AN199" s="128">
        <f>AK199/AM199</f>
        <v>0.73684768289434055</v>
      </c>
      <c r="AO199" s="148"/>
      <c r="AP199" s="148"/>
      <c r="AQ199" s="44"/>
      <c r="AR199" s="148"/>
      <c r="AS199" s="128"/>
      <c r="AT199" s="148"/>
      <c r="AU199" s="148"/>
      <c r="AV199" s="218"/>
      <c r="AW199" s="148"/>
      <c r="AX199" s="159"/>
      <c r="AY199" s="198" t="s">
        <v>1789</v>
      </c>
      <c r="AZ199" s="161" t="str">
        <f t="shared" si="140"/>
        <v>N</v>
      </c>
      <c r="BA199" s="161" t="str">
        <f t="shared" si="141"/>
        <v>N</v>
      </c>
      <c r="BB199" s="161" t="str">
        <f t="shared" si="142"/>
        <v>N</v>
      </c>
      <c r="BC199" s="161" t="str">
        <f t="shared" si="143"/>
        <v>N</v>
      </c>
      <c r="BD199" s="161" t="str">
        <f t="shared" si="144"/>
        <v>N</v>
      </c>
      <c r="BE199" s="161" t="str">
        <f t="shared" si="145"/>
        <v>Y</v>
      </c>
      <c r="BF199" s="161" t="str">
        <f t="shared" si="146"/>
        <v>N</v>
      </c>
      <c r="BG199" s="161" t="str">
        <f t="shared" si="147"/>
        <v>N</v>
      </c>
      <c r="BH199" s="161" t="str">
        <f t="shared" si="148"/>
        <v>N</v>
      </c>
      <c r="BI199" s="161" t="str">
        <f t="shared" si="149"/>
        <v>N</v>
      </c>
      <c r="BJ199" s="161" t="str">
        <f t="shared" si="150"/>
        <v>N</v>
      </c>
      <c r="BK199" s="161" t="str">
        <f t="shared" si="151"/>
        <v>N</v>
      </c>
      <c r="BL199" s="161" t="str">
        <f t="shared" si="152"/>
        <v>N</v>
      </c>
      <c r="BM199" s="161" t="str">
        <f t="shared" si="153"/>
        <v>Y</v>
      </c>
      <c r="BN199" s="176" t="str">
        <f t="shared" si="154"/>
        <v>N</v>
      </c>
      <c r="BO199" s="170" t="s">
        <v>1790</v>
      </c>
      <c r="BP199" s="174" t="str">
        <f t="shared" si="155"/>
        <v>上交所主板</v>
      </c>
      <c r="BQ199" s="172" t="s">
        <v>317</v>
      </c>
      <c r="BR199" s="173">
        <f t="shared" si="156"/>
        <v>35064</v>
      </c>
      <c r="BS199" s="171" t="str">
        <f t="shared" si="157"/>
        <v>N</v>
      </c>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c r="ET199" s="7"/>
      <c r="EU199" s="7"/>
      <c r="EV199" s="7"/>
      <c r="EW199" s="7"/>
      <c r="EX199" s="7"/>
      <c r="EY199" s="7"/>
      <c r="EZ199" s="7"/>
      <c r="FA199" s="7"/>
      <c r="FB199" s="7"/>
      <c r="FC199" s="7"/>
      <c r="FD199" s="7"/>
      <c r="FE199" s="7"/>
      <c r="FF199" s="7"/>
      <c r="FG199" s="7"/>
    </row>
    <row r="200" spans="1:163" ht="15" customHeight="1" x14ac:dyDescent="0.25">
      <c r="A200" s="31">
        <v>101</v>
      </c>
      <c r="B200" s="223" t="s">
        <v>1528</v>
      </c>
      <c r="C200" s="57" t="s">
        <v>1791</v>
      </c>
      <c r="D200" s="57" t="s">
        <v>574</v>
      </c>
      <c r="E200" s="57" t="s">
        <v>575</v>
      </c>
      <c r="F200" s="57" t="s">
        <v>1531</v>
      </c>
      <c r="G200" s="57" t="s">
        <v>1446</v>
      </c>
      <c r="H200" s="32" t="s">
        <v>1792</v>
      </c>
      <c r="I200" s="78">
        <v>42691</v>
      </c>
      <c r="J200" s="78">
        <v>43106</v>
      </c>
      <c r="K200" s="85">
        <v>43201</v>
      </c>
      <c r="L200" s="226" t="s">
        <v>1793</v>
      </c>
      <c r="M200" s="69">
        <v>2015</v>
      </c>
      <c r="N200" s="69">
        <v>0.75</v>
      </c>
      <c r="O200" s="69" t="s">
        <v>1495</v>
      </c>
      <c r="P200" s="69" t="s">
        <v>1794</v>
      </c>
      <c r="Q200" s="32" t="s">
        <v>498</v>
      </c>
      <c r="R200" s="227">
        <v>33821</v>
      </c>
      <c r="S200" s="197" t="s">
        <v>397</v>
      </c>
      <c r="T200" s="161" t="s">
        <v>317</v>
      </c>
      <c r="U200" s="69" t="str">
        <f t="shared" si="103"/>
        <v>Y</v>
      </c>
      <c r="V200" s="57" t="s">
        <v>318</v>
      </c>
      <c r="W200" s="197" t="s">
        <v>399</v>
      </c>
      <c r="X200" s="197" t="s">
        <v>320</v>
      </c>
      <c r="Y200" s="213">
        <v>50</v>
      </c>
      <c r="Z200" s="149"/>
      <c r="AA200" s="149"/>
      <c r="AB200" s="214"/>
      <c r="AC200" s="149"/>
      <c r="AD200" s="128"/>
      <c r="AE200" s="149">
        <v>7267</v>
      </c>
      <c r="AF200" s="149">
        <v>7267</v>
      </c>
      <c r="AG200" s="206">
        <v>2015</v>
      </c>
      <c r="AH200" s="149">
        <v>6716.74</v>
      </c>
      <c r="AI200" s="128">
        <f t="shared" si="158"/>
        <v>1.0819236713048295</v>
      </c>
      <c r="AJ200" s="149">
        <v>1063.8900000000001</v>
      </c>
      <c r="AK200" s="149">
        <v>1063.8900000000001</v>
      </c>
      <c r="AL200" s="214">
        <v>2015</v>
      </c>
      <c r="AM200" s="149">
        <v>-564.52</v>
      </c>
      <c r="AN200" s="128">
        <f>-AK200/AM200</f>
        <v>1.8845922199390635</v>
      </c>
      <c r="AO200" s="149"/>
      <c r="AP200" s="149"/>
      <c r="AQ200" s="57"/>
      <c r="AR200" s="149"/>
      <c r="AS200" s="128"/>
      <c r="AT200" s="149"/>
      <c r="AU200" s="149"/>
      <c r="AV200" s="214"/>
      <c r="AW200" s="149"/>
      <c r="AX200" s="128"/>
      <c r="AY200" s="197" t="s">
        <v>1795</v>
      </c>
      <c r="AZ200" s="161" t="str">
        <f t="shared" si="140"/>
        <v>N</v>
      </c>
      <c r="BA200" s="161" t="str">
        <f t="shared" si="141"/>
        <v>N</v>
      </c>
      <c r="BB200" s="161" t="str">
        <f t="shared" si="142"/>
        <v>N</v>
      </c>
      <c r="BC200" s="161" t="str">
        <f t="shared" si="143"/>
        <v>Y</v>
      </c>
      <c r="BD200" s="161" t="str">
        <f t="shared" si="144"/>
        <v>N</v>
      </c>
      <c r="BE200" s="161" t="str">
        <f t="shared" si="145"/>
        <v>Y</v>
      </c>
      <c r="BF200" s="161" t="str">
        <f t="shared" si="146"/>
        <v>N</v>
      </c>
      <c r="BG200" s="161" t="str">
        <f t="shared" si="147"/>
        <v>N</v>
      </c>
      <c r="BH200" s="161" t="str">
        <f t="shared" si="148"/>
        <v>N</v>
      </c>
      <c r="BI200" s="161" t="str">
        <f t="shared" si="149"/>
        <v>N</v>
      </c>
      <c r="BJ200" s="161" t="str">
        <f t="shared" si="150"/>
        <v>N</v>
      </c>
      <c r="BK200" s="161" t="str">
        <f t="shared" si="151"/>
        <v>N</v>
      </c>
      <c r="BL200" s="161" t="str">
        <f t="shared" si="152"/>
        <v>N</v>
      </c>
      <c r="BM200" s="161" t="str">
        <f t="shared" si="153"/>
        <v>Y</v>
      </c>
      <c r="BN200" s="176" t="str">
        <f t="shared" si="154"/>
        <v>N</v>
      </c>
      <c r="BO200" s="222" t="s">
        <v>1189</v>
      </c>
      <c r="BP200" s="174" t="str">
        <f t="shared" si="155"/>
        <v>上交所主板</v>
      </c>
      <c r="BQ200" s="219" t="s">
        <v>317</v>
      </c>
      <c r="BR200" s="173">
        <f t="shared" si="156"/>
        <v>34699</v>
      </c>
      <c r="BS200" s="171" t="str">
        <f t="shared" si="157"/>
        <v>N</v>
      </c>
    </row>
    <row r="201" spans="1:163" ht="15" customHeight="1" x14ac:dyDescent="0.25">
      <c r="A201" s="31">
        <v>100</v>
      </c>
      <c r="B201" s="55" t="s">
        <v>1796</v>
      </c>
      <c r="C201" s="57" t="s">
        <v>1797</v>
      </c>
      <c r="D201" s="57" t="s">
        <v>426</v>
      </c>
      <c r="E201" s="57" t="s">
        <v>646</v>
      </c>
      <c r="F201" s="57" t="s">
        <v>1798</v>
      </c>
      <c r="G201" s="57" t="s">
        <v>315</v>
      </c>
      <c r="H201" s="32" t="s">
        <v>368</v>
      </c>
      <c r="I201" s="78">
        <v>42982</v>
      </c>
      <c r="J201" s="78">
        <v>43076</v>
      </c>
      <c r="K201" s="78">
        <v>43084</v>
      </c>
      <c r="L201" s="226" t="s">
        <v>1799</v>
      </c>
      <c r="M201" s="69">
        <v>2014</v>
      </c>
      <c r="N201" s="69">
        <v>1</v>
      </c>
      <c r="O201" s="69" t="s">
        <v>1258</v>
      </c>
      <c r="P201" s="69" t="s">
        <v>1315</v>
      </c>
      <c r="Q201" s="32" t="s">
        <v>507</v>
      </c>
      <c r="R201" s="227">
        <v>40059</v>
      </c>
      <c r="S201" s="197" t="s">
        <v>660</v>
      </c>
      <c r="T201" s="161" t="s">
        <v>317</v>
      </c>
      <c r="U201" s="69" t="str">
        <f t="shared" si="103"/>
        <v>N</v>
      </c>
      <c r="V201" s="57" t="s">
        <v>333</v>
      </c>
      <c r="W201" s="197" t="s">
        <v>319</v>
      </c>
      <c r="X201" s="197" t="s">
        <v>320</v>
      </c>
      <c r="Y201" s="213">
        <v>40</v>
      </c>
      <c r="Z201" s="149"/>
      <c r="AA201" s="149"/>
      <c r="AB201" s="214"/>
      <c r="AC201" s="149"/>
      <c r="AD201" s="128"/>
      <c r="AE201" s="149">
        <v>277.05051300000002</v>
      </c>
      <c r="AF201" s="149">
        <v>277.05051300000002</v>
      </c>
      <c r="AG201" s="206">
        <v>2014</v>
      </c>
      <c r="AH201" s="149">
        <v>120168.28</v>
      </c>
      <c r="AI201" s="128">
        <f t="shared" si="158"/>
        <v>2.3055211658184675E-3</v>
      </c>
      <c r="AJ201" s="149">
        <v>277.05051300000002</v>
      </c>
      <c r="AK201" s="149">
        <v>277.05051300000002</v>
      </c>
      <c r="AL201" s="214">
        <v>2014</v>
      </c>
      <c r="AM201" s="149">
        <v>989.11286326311995</v>
      </c>
      <c r="AN201" s="128">
        <f>AK201/AM201</f>
        <v>0.28010000000000013</v>
      </c>
      <c r="AO201" s="149">
        <v>277.05051300000002</v>
      </c>
      <c r="AP201" s="149">
        <v>277.05051300000002</v>
      </c>
      <c r="AQ201" s="57">
        <v>2014</v>
      </c>
      <c r="AR201" s="149">
        <v>1168.4964698439501</v>
      </c>
      <c r="AS201" s="128">
        <f>AP201/AR201</f>
        <v>0.23709999999999953</v>
      </c>
      <c r="AT201" s="149"/>
      <c r="AU201" s="149"/>
      <c r="AV201" s="214"/>
      <c r="AW201" s="149"/>
      <c r="AX201" s="128"/>
      <c r="AY201" s="197" t="s">
        <v>1800</v>
      </c>
      <c r="AZ201" s="161" t="str">
        <f t="shared" si="140"/>
        <v>N</v>
      </c>
      <c r="BA201" s="161" t="str">
        <f t="shared" si="141"/>
        <v>N</v>
      </c>
      <c r="BB201" s="161" t="str">
        <f t="shared" si="142"/>
        <v>N</v>
      </c>
      <c r="BC201" s="161" t="str">
        <f t="shared" si="143"/>
        <v>N</v>
      </c>
      <c r="BD201" s="161" t="str">
        <f t="shared" si="144"/>
        <v>N</v>
      </c>
      <c r="BE201" s="161" t="str">
        <f t="shared" si="145"/>
        <v>N</v>
      </c>
      <c r="BF201" s="161" t="str">
        <f t="shared" si="146"/>
        <v>N</v>
      </c>
      <c r="BG201" s="161" t="str">
        <f t="shared" si="147"/>
        <v>N</v>
      </c>
      <c r="BH201" s="161" t="str">
        <f t="shared" si="148"/>
        <v>N</v>
      </c>
      <c r="BI201" s="161" t="str">
        <f t="shared" si="149"/>
        <v>N</v>
      </c>
      <c r="BJ201" s="161" t="str">
        <f t="shared" si="150"/>
        <v>N</v>
      </c>
      <c r="BK201" s="161" t="str">
        <f t="shared" si="151"/>
        <v>N</v>
      </c>
      <c r="BL201" s="161" t="str">
        <f t="shared" si="152"/>
        <v>N</v>
      </c>
      <c r="BM201" s="161" t="str">
        <f t="shared" si="153"/>
        <v>N</v>
      </c>
      <c r="BN201" s="176" t="str">
        <f t="shared" si="154"/>
        <v>N</v>
      </c>
      <c r="BO201" s="222" t="s">
        <v>1801</v>
      </c>
      <c r="BP201" s="174" t="str">
        <f t="shared" si="155"/>
        <v>深交所主板</v>
      </c>
      <c r="BQ201" s="219" t="s">
        <v>317</v>
      </c>
      <c r="BR201" s="173">
        <f t="shared" si="156"/>
        <v>40908</v>
      </c>
      <c r="BS201" s="171" t="str">
        <f t="shared" si="157"/>
        <v>N</v>
      </c>
    </row>
    <row r="202" spans="1:163" ht="15" customHeight="1" x14ac:dyDescent="0.35">
      <c r="A202" s="31">
        <v>99</v>
      </c>
      <c r="B202" s="32" t="s">
        <v>1802</v>
      </c>
      <c r="C202" s="23" t="s">
        <v>1803</v>
      </c>
      <c r="D202" s="44" t="s">
        <v>713</v>
      </c>
      <c r="E202" s="44" t="s">
        <v>714</v>
      </c>
      <c r="F202" s="58" t="s">
        <v>1804</v>
      </c>
      <c r="G202" s="42" t="s">
        <v>354</v>
      </c>
      <c r="H202" s="32" t="s">
        <v>368</v>
      </c>
      <c r="I202" s="78">
        <v>42816</v>
      </c>
      <c r="J202" s="78">
        <v>43053</v>
      </c>
      <c r="K202" s="78">
        <v>43143</v>
      </c>
      <c r="L202" s="79" t="s">
        <v>1805</v>
      </c>
      <c r="M202" s="225" t="s">
        <v>1806</v>
      </c>
      <c r="N202" s="23">
        <v>3</v>
      </c>
      <c r="O202" s="69" t="str">
        <f>IF(N202&lt;1,"1年以内",IF(N202&lt;2,"1-2年",IF(N202&lt;3,"2-3年",IF(N202&lt;5,"3-5年","5年以上"))))</f>
        <v>3-5年</v>
      </c>
      <c r="P202" s="69" t="s">
        <v>1807</v>
      </c>
      <c r="Q202" s="191" t="s">
        <v>1808</v>
      </c>
      <c r="R202" s="80">
        <v>34337</v>
      </c>
      <c r="S202" s="44" t="s">
        <v>332</v>
      </c>
      <c r="T202" s="207" t="s">
        <v>317</v>
      </c>
      <c r="U202" s="69" t="str">
        <f t="shared" si="103"/>
        <v>N</v>
      </c>
      <c r="V202" s="44" t="s">
        <v>398</v>
      </c>
      <c r="W202" s="208" t="s">
        <v>693</v>
      </c>
      <c r="X202" s="44" t="s">
        <v>334</v>
      </c>
      <c r="Y202" s="229">
        <v>60</v>
      </c>
      <c r="Z202" s="216">
        <f>505985325.86/10000</f>
        <v>50598.532586000001</v>
      </c>
      <c r="AA202" s="148">
        <f>200187329.5/10000</f>
        <v>20018.732950000001</v>
      </c>
      <c r="AB202" s="44">
        <v>2015</v>
      </c>
      <c r="AC202" s="148">
        <f>949559383.74/10000</f>
        <v>94955.938374000005</v>
      </c>
      <c r="AD202" s="128">
        <f>AA202/AC202</f>
        <v>0.21082128503804407</v>
      </c>
      <c r="AE202" s="148">
        <f>483080163.99/10000</f>
        <v>48308.016399</v>
      </c>
      <c r="AF202" s="148">
        <f>200106213.92/10000</f>
        <v>20010.621391999997</v>
      </c>
      <c r="AG202" s="218">
        <v>2013</v>
      </c>
      <c r="AH202" s="147">
        <f>1062835255.27/10000</f>
        <v>106283.52552700001</v>
      </c>
      <c r="AI202" s="128">
        <f t="shared" si="158"/>
        <v>0.18827585265711333</v>
      </c>
      <c r="AJ202" s="148">
        <f>228101078.73/10000</f>
        <v>22810.107872999997</v>
      </c>
      <c r="AK202" s="148">
        <f>107094477.44/10000</f>
        <v>10709.447743999999</v>
      </c>
      <c r="AL202" s="218">
        <v>2015</v>
      </c>
      <c r="AM202" s="148">
        <f>-219370343.73/10000</f>
        <v>-21937.034372999999</v>
      </c>
      <c r="AN202" s="128">
        <f>AK202/AM202</f>
        <v>-0.48819031606118729</v>
      </c>
      <c r="AO202" s="148"/>
      <c r="AP202" s="148"/>
      <c r="AQ202" s="44"/>
      <c r="AR202" s="148"/>
      <c r="AS202" s="128"/>
      <c r="AT202" s="148"/>
      <c r="AU202" s="148"/>
      <c r="AV202" s="218"/>
      <c r="AW202" s="148"/>
      <c r="AX202" s="159"/>
      <c r="AY202" s="198" t="s">
        <v>1809</v>
      </c>
      <c r="AZ202" s="161" t="str">
        <f t="shared" si="140"/>
        <v>N</v>
      </c>
      <c r="BA202" s="161" t="str">
        <f t="shared" si="141"/>
        <v>N</v>
      </c>
      <c r="BB202" s="161" t="str">
        <f t="shared" si="142"/>
        <v>N</v>
      </c>
      <c r="BC202" s="161" t="str">
        <f t="shared" si="143"/>
        <v>N</v>
      </c>
      <c r="BD202" s="161" t="str">
        <f t="shared" si="144"/>
        <v>N</v>
      </c>
      <c r="BE202" s="161" t="str">
        <f t="shared" si="145"/>
        <v>N</v>
      </c>
      <c r="BF202" s="161" t="str">
        <f t="shared" si="146"/>
        <v>N</v>
      </c>
      <c r="BG202" s="161" t="str">
        <f t="shared" si="147"/>
        <v>N</v>
      </c>
      <c r="BH202" s="161" t="str">
        <f t="shared" si="148"/>
        <v>N</v>
      </c>
      <c r="BI202" s="161" t="str">
        <f t="shared" si="149"/>
        <v>N</v>
      </c>
      <c r="BJ202" s="161" t="str">
        <f t="shared" si="150"/>
        <v>N</v>
      </c>
      <c r="BK202" s="161" t="str">
        <f t="shared" si="151"/>
        <v>N</v>
      </c>
      <c r="BL202" s="161" t="str">
        <f t="shared" si="152"/>
        <v>N</v>
      </c>
      <c r="BM202" s="161" t="str">
        <f t="shared" si="153"/>
        <v>N</v>
      </c>
      <c r="BN202" s="176" t="str">
        <f t="shared" si="154"/>
        <v>N</v>
      </c>
      <c r="BO202" s="170" t="s">
        <v>374</v>
      </c>
      <c r="BP202" s="174" t="str">
        <f t="shared" si="155"/>
        <v>上交所主板</v>
      </c>
      <c r="BQ202" s="172" t="s">
        <v>317</v>
      </c>
      <c r="BR202" s="173">
        <f t="shared" si="156"/>
        <v>35430</v>
      </c>
      <c r="BS202" s="171" t="str">
        <f t="shared" si="157"/>
        <v>N</v>
      </c>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row>
    <row r="203" spans="1:163" ht="15" customHeight="1" x14ac:dyDescent="0.25">
      <c r="A203" s="31">
        <v>98</v>
      </c>
      <c r="B203" s="223" t="s">
        <v>1810</v>
      </c>
      <c r="C203" s="57" t="s">
        <v>1811</v>
      </c>
      <c r="D203" s="57" t="s">
        <v>439</v>
      </c>
      <c r="E203" s="57" t="s">
        <v>1417</v>
      </c>
      <c r="F203" s="57" t="s">
        <v>1812</v>
      </c>
      <c r="G203" s="57" t="s">
        <v>315</v>
      </c>
      <c r="H203" s="32" t="s">
        <v>368</v>
      </c>
      <c r="I203" s="78">
        <v>42159</v>
      </c>
      <c r="J203" s="78">
        <v>43052</v>
      </c>
      <c r="K203" s="85">
        <v>43165</v>
      </c>
      <c r="L203" s="226" t="s">
        <v>1813</v>
      </c>
      <c r="M203" s="69">
        <v>2014</v>
      </c>
      <c r="N203" s="69">
        <v>1</v>
      </c>
      <c r="O203" s="69" t="s">
        <v>1258</v>
      </c>
      <c r="P203" s="69" t="s">
        <v>1315</v>
      </c>
      <c r="Q203" s="32" t="s">
        <v>507</v>
      </c>
      <c r="R203" s="227">
        <v>40095</v>
      </c>
      <c r="S203" s="197" t="s">
        <v>995</v>
      </c>
      <c r="T203" s="161" t="s">
        <v>317</v>
      </c>
      <c r="U203" s="69" t="str">
        <f t="shared" si="103"/>
        <v>Y</v>
      </c>
      <c r="V203" s="57" t="s">
        <v>333</v>
      </c>
      <c r="W203" s="197" t="s">
        <v>1814</v>
      </c>
      <c r="X203" s="197" t="s">
        <v>334</v>
      </c>
      <c r="Y203" s="213">
        <v>60</v>
      </c>
      <c r="Z203" s="149">
        <f>217911835.55/10000+3.1*10000</f>
        <v>52791.183554999996</v>
      </c>
      <c r="AA203" s="149">
        <v>52791.183555000003</v>
      </c>
      <c r="AB203" s="214">
        <v>2014</v>
      </c>
      <c r="AC203" s="149">
        <v>64708.833258999999</v>
      </c>
      <c r="AD203" s="128">
        <f>AA203/AC203</f>
        <v>0.8158265401525775</v>
      </c>
      <c r="AE203" s="149">
        <v>7363.5141100000001</v>
      </c>
      <c r="AF203" s="149">
        <v>7363.5141100000001</v>
      </c>
      <c r="AG203" s="206">
        <v>2014</v>
      </c>
      <c r="AH203" s="149">
        <v>55822.947047000001</v>
      </c>
      <c r="AI203" s="128">
        <f t="shared" si="158"/>
        <v>0.13190837280232279</v>
      </c>
      <c r="AJ203" s="149">
        <v>8049.5532400000002</v>
      </c>
      <c r="AK203" s="149">
        <v>8049.5532400000002</v>
      </c>
      <c r="AL203" s="214">
        <v>2014</v>
      </c>
      <c r="AM203" s="149">
        <v>2401.8814000000002</v>
      </c>
      <c r="AN203" s="128">
        <f>AK203/AM203</f>
        <v>3.3513533349315248</v>
      </c>
      <c r="AO203" s="149"/>
      <c r="AP203" s="149"/>
      <c r="AQ203" s="57"/>
      <c r="AR203" s="149"/>
      <c r="AS203" s="128"/>
      <c r="AT203" s="149"/>
      <c r="AU203" s="149"/>
      <c r="AV203" s="214"/>
      <c r="AW203" s="149"/>
      <c r="AX203" s="128"/>
      <c r="AY203" s="197" t="s">
        <v>1815</v>
      </c>
      <c r="AZ203" s="161" t="str">
        <f t="shared" si="140"/>
        <v>N</v>
      </c>
      <c r="BA203" s="161" t="str">
        <f t="shared" si="141"/>
        <v>Y</v>
      </c>
      <c r="BB203" s="161" t="str">
        <f t="shared" si="142"/>
        <v>N</v>
      </c>
      <c r="BC203" s="161" t="str">
        <f t="shared" si="143"/>
        <v>N</v>
      </c>
      <c r="BD203" s="161" t="str">
        <f t="shared" si="144"/>
        <v>N</v>
      </c>
      <c r="BE203" s="161" t="str">
        <f t="shared" si="145"/>
        <v>Y</v>
      </c>
      <c r="BF203" s="161" t="str">
        <f t="shared" si="146"/>
        <v>Y</v>
      </c>
      <c r="BG203" s="161" t="str">
        <f t="shared" si="147"/>
        <v>N</v>
      </c>
      <c r="BH203" s="161" t="str">
        <f t="shared" si="148"/>
        <v>N</v>
      </c>
      <c r="BI203" s="161" t="str">
        <f t="shared" si="149"/>
        <v>N</v>
      </c>
      <c r="BJ203" s="161" t="str">
        <f t="shared" si="150"/>
        <v>N</v>
      </c>
      <c r="BK203" s="161" t="str">
        <f t="shared" si="151"/>
        <v>N</v>
      </c>
      <c r="BL203" s="161" t="str">
        <f t="shared" si="152"/>
        <v>N</v>
      </c>
      <c r="BM203" s="161" t="str">
        <f t="shared" si="153"/>
        <v>Y</v>
      </c>
      <c r="BN203" s="176" t="str">
        <f t="shared" si="154"/>
        <v>Y</v>
      </c>
      <c r="BO203" s="222" t="s">
        <v>562</v>
      </c>
      <c r="BP203" s="174" t="str">
        <f t="shared" si="155"/>
        <v>深交所创业板</v>
      </c>
      <c r="BQ203" s="219" t="s">
        <v>317</v>
      </c>
      <c r="BR203" s="173">
        <f t="shared" si="156"/>
        <v>41274</v>
      </c>
      <c r="BS203" s="171" t="str">
        <f t="shared" si="157"/>
        <v>N</v>
      </c>
    </row>
    <row r="204" spans="1:163" ht="15" customHeight="1" x14ac:dyDescent="0.25">
      <c r="A204" s="31">
        <v>97</v>
      </c>
      <c r="B204" s="223" t="s">
        <v>1816</v>
      </c>
      <c r="C204" s="57" t="s">
        <v>1817</v>
      </c>
      <c r="D204" s="57" t="s">
        <v>809</v>
      </c>
      <c r="E204" s="57" t="s">
        <v>1818</v>
      </c>
      <c r="F204" s="57" t="s">
        <v>1819</v>
      </c>
      <c r="G204" s="57" t="s">
        <v>354</v>
      </c>
      <c r="H204" s="32" t="s">
        <v>327</v>
      </c>
      <c r="I204" s="78">
        <v>42219</v>
      </c>
      <c r="J204" s="78">
        <v>43021</v>
      </c>
      <c r="K204" s="85">
        <v>43216</v>
      </c>
      <c r="L204" s="226" t="s">
        <v>1820</v>
      </c>
      <c r="M204" s="69">
        <v>2014</v>
      </c>
      <c r="N204" s="69">
        <v>1</v>
      </c>
      <c r="O204" s="69" t="s">
        <v>1258</v>
      </c>
      <c r="P204" s="69" t="s">
        <v>1315</v>
      </c>
      <c r="Q204" s="32" t="s">
        <v>1821</v>
      </c>
      <c r="R204" s="227">
        <v>40659</v>
      </c>
      <c r="S204" s="197" t="s">
        <v>863</v>
      </c>
      <c r="T204" s="161" t="s">
        <v>317</v>
      </c>
      <c r="U204" s="69" t="str">
        <f t="shared" si="103"/>
        <v>N</v>
      </c>
      <c r="V204" s="57" t="s">
        <v>318</v>
      </c>
      <c r="W204" s="197" t="s">
        <v>319</v>
      </c>
      <c r="X204" s="197" t="s">
        <v>320</v>
      </c>
      <c r="Y204" s="213">
        <v>60</v>
      </c>
      <c r="Z204" s="149"/>
      <c r="AA204" s="149"/>
      <c r="AB204" s="214"/>
      <c r="AC204" s="149"/>
      <c r="AD204" s="128"/>
      <c r="AE204" s="149">
        <v>8931.6239000000005</v>
      </c>
      <c r="AF204" s="149">
        <v>8931.6239000000005</v>
      </c>
      <c r="AG204" s="206">
        <v>2014</v>
      </c>
      <c r="AH204" s="149">
        <v>67044.256122000006</v>
      </c>
      <c r="AI204" s="128">
        <f t="shared" si="158"/>
        <v>0.13321982249675768</v>
      </c>
      <c r="AJ204" s="149">
        <v>3227.0472239999999</v>
      </c>
      <c r="AK204" s="149">
        <v>3227.0472239999999</v>
      </c>
      <c r="AL204" s="214">
        <v>2014</v>
      </c>
      <c r="AM204" s="149">
        <v>13844.872230999999</v>
      </c>
      <c r="AN204" s="128">
        <f>AK204/AM204</f>
        <v>0.23308609643751937</v>
      </c>
      <c r="AO204" s="149"/>
      <c r="AP204" s="149"/>
      <c r="AQ204" s="57"/>
      <c r="AR204" s="149"/>
      <c r="AS204" s="128"/>
      <c r="AT204" s="149"/>
      <c r="AU204" s="149"/>
      <c r="AV204" s="214"/>
      <c r="AW204" s="149"/>
      <c r="AX204" s="128"/>
      <c r="AY204" s="197" t="s">
        <v>1822</v>
      </c>
      <c r="AZ204" s="161" t="str">
        <f t="shared" si="140"/>
        <v>N</v>
      </c>
      <c r="BA204" s="161" t="str">
        <f t="shared" si="141"/>
        <v>N</v>
      </c>
      <c r="BB204" s="161" t="str">
        <f t="shared" si="142"/>
        <v>N</v>
      </c>
      <c r="BC204" s="161" t="str">
        <f t="shared" si="143"/>
        <v>N</v>
      </c>
      <c r="BD204" s="161" t="str">
        <f t="shared" si="144"/>
        <v>N</v>
      </c>
      <c r="BE204" s="161" t="str">
        <f t="shared" si="145"/>
        <v>N</v>
      </c>
      <c r="BF204" s="161" t="str">
        <f t="shared" si="146"/>
        <v>N</v>
      </c>
      <c r="BG204" s="161" t="str">
        <f t="shared" si="147"/>
        <v>N</v>
      </c>
      <c r="BH204" s="161" t="str">
        <f t="shared" si="148"/>
        <v>N</v>
      </c>
      <c r="BI204" s="161" t="str">
        <f t="shared" si="149"/>
        <v>N</v>
      </c>
      <c r="BJ204" s="161" t="str">
        <f t="shared" si="150"/>
        <v>N</v>
      </c>
      <c r="BK204" s="161" t="str">
        <f t="shared" si="151"/>
        <v>N</v>
      </c>
      <c r="BL204" s="161" t="str">
        <f t="shared" si="152"/>
        <v>N</v>
      </c>
      <c r="BM204" s="161" t="str">
        <f t="shared" si="153"/>
        <v>N</v>
      </c>
      <c r="BN204" s="176" t="str">
        <f t="shared" si="154"/>
        <v>N</v>
      </c>
      <c r="BO204" s="222" t="s">
        <v>1263</v>
      </c>
      <c r="BP204" s="174" t="str">
        <f t="shared" si="155"/>
        <v>深交所创业板</v>
      </c>
      <c r="BQ204" s="219" t="s">
        <v>317</v>
      </c>
      <c r="BR204" s="173">
        <f t="shared" si="156"/>
        <v>42004</v>
      </c>
      <c r="BS204" s="171" t="str">
        <f t="shared" si="157"/>
        <v>Y</v>
      </c>
    </row>
    <row r="205" spans="1:163" ht="15" customHeight="1" x14ac:dyDescent="0.25">
      <c r="A205" s="31">
        <v>96</v>
      </c>
      <c r="B205" s="55" t="s">
        <v>1823</v>
      </c>
      <c r="C205" s="57" t="s">
        <v>1824</v>
      </c>
      <c r="D205" s="57" t="s">
        <v>675</v>
      </c>
      <c r="E205" s="57" t="s">
        <v>1825</v>
      </c>
      <c r="F205" s="57" t="s">
        <v>1826</v>
      </c>
      <c r="G205" s="57" t="s">
        <v>326</v>
      </c>
      <c r="H205" s="32" t="s">
        <v>368</v>
      </c>
      <c r="I205" s="78">
        <v>42831</v>
      </c>
      <c r="J205" s="78">
        <v>43003</v>
      </c>
      <c r="K205" s="85">
        <v>43077</v>
      </c>
      <c r="L205" s="226" t="s">
        <v>1827</v>
      </c>
      <c r="M205" s="69" t="s">
        <v>1806</v>
      </c>
      <c r="N205" s="69">
        <v>3</v>
      </c>
      <c r="O205" s="69" t="s">
        <v>1314</v>
      </c>
      <c r="P205" s="69" t="s">
        <v>1315</v>
      </c>
      <c r="Q205" s="32" t="s">
        <v>471</v>
      </c>
      <c r="R205" s="227">
        <v>36329</v>
      </c>
      <c r="S205" s="197" t="s">
        <v>863</v>
      </c>
      <c r="T205" s="161" t="s">
        <v>317</v>
      </c>
      <c r="U205" s="69" t="str">
        <f t="shared" si="103"/>
        <v>N</v>
      </c>
      <c r="V205" s="57" t="s">
        <v>318</v>
      </c>
      <c r="W205" s="197" t="s">
        <v>1664</v>
      </c>
      <c r="X205" s="197" t="s">
        <v>334</v>
      </c>
      <c r="Y205" s="213">
        <v>60</v>
      </c>
      <c r="Z205" s="149"/>
      <c r="AA205" s="149"/>
      <c r="AB205" s="214"/>
      <c r="AC205" s="149"/>
      <c r="AD205" s="128"/>
      <c r="AE205" s="149"/>
      <c r="AF205" s="149"/>
      <c r="AG205" s="206"/>
      <c r="AH205" s="149"/>
      <c r="AI205" s="128"/>
      <c r="AJ205" s="149">
        <f>(158437287.54+39942583.68+198379871.22)/10000</f>
        <v>39675.974243999997</v>
      </c>
      <c r="AK205" s="149">
        <v>19837.987121999999</v>
      </c>
      <c r="AL205" s="214">
        <v>2015</v>
      </c>
      <c r="AM205" s="149">
        <v>-46082.198062000003</v>
      </c>
      <c r="AN205" s="128">
        <f>ABS(AK205/AM205)</f>
        <v>0.43049133844070403</v>
      </c>
      <c r="AO205" s="149"/>
      <c r="AP205" s="149"/>
      <c r="AQ205" s="57"/>
      <c r="AR205" s="149"/>
      <c r="AS205" s="128"/>
      <c r="AT205" s="149"/>
      <c r="AU205" s="149"/>
      <c r="AV205" s="214"/>
      <c r="AW205" s="149"/>
      <c r="AX205" s="128"/>
      <c r="AY205" s="197" t="s">
        <v>1828</v>
      </c>
      <c r="AZ205" s="161" t="str">
        <f t="shared" si="140"/>
        <v>N</v>
      </c>
      <c r="BA205" s="161" t="str">
        <f t="shared" si="141"/>
        <v>N</v>
      </c>
      <c r="BB205" s="161" t="str">
        <f t="shared" si="142"/>
        <v>N</v>
      </c>
      <c r="BC205" s="161" t="str">
        <f t="shared" si="143"/>
        <v>N</v>
      </c>
      <c r="BD205" s="161" t="str">
        <f t="shared" si="144"/>
        <v>N</v>
      </c>
      <c r="BE205" s="161" t="str">
        <f t="shared" si="145"/>
        <v>N</v>
      </c>
      <c r="BF205" s="161" t="str">
        <f t="shared" si="146"/>
        <v>N</v>
      </c>
      <c r="BG205" s="161" t="str">
        <f t="shared" si="147"/>
        <v>N</v>
      </c>
      <c r="BH205" s="161" t="str">
        <f t="shared" si="148"/>
        <v>N</v>
      </c>
      <c r="BI205" s="161" t="str">
        <f t="shared" si="149"/>
        <v>N</v>
      </c>
      <c r="BJ205" s="161" t="str">
        <f t="shared" si="150"/>
        <v>N</v>
      </c>
      <c r="BK205" s="161" t="str">
        <f t="shared" si="151"/>
        <v>N</v>
      </c>
      <c r="BL205" s="161" t="str">
        <f t="shared" si="152"/>
        <v>N</v>
      </c>
      <c r="BM205" s="161" t="str">
        <f t="shared" si="153"/>
        <v>N</v>
      </c>
      <c r="BN205" s="176" t="str">
        <f t="shared" si="154"/>
        <v>N</v>
      </c>
      <c r="BO205" s="222" t="s">
        <v>1829</v>
      </c>
      <c r="BP205" s="174" t="str">
        <f t="shared" si="155"/>
        <v>深交所主板</v>
      </c>
      <c r="BQ205" s="219" t="s">
        <v>317</v>
      </c>
      <c r="BR205" s="173">
        <f t="shared" si="156"/>
        <v>37256</v>
      </c>
      <c r="BS205" s="171" t="str">
        <f t="shared" si="157"/>
        <v>N</v>
      </c>
    </row>
    <row r="206" spans="1:163" ht="15" customHeight="1" x14ac:dyDescent="0.25">
      <c r="A206" s="31">
        <v>95</v>
      </c>
      <c r="B206" s="55" t="s">
        <v>1830</v>
      </c>
      <c r="C206" s="57" t="s">
        <v>1831</v>
      </c>
      <c r="D206" s="57" t="s">
        <v>1344</v>
      </c>
      <c r="E206" s="57" t="s">
        <v>1832</v>
      </c>
      <c r="F206" s="57" t="s">
        <v>1833</v>
      </c>
      <c r="G206" s="57" t="s">
        <v>585</v>
      </c>
      <c r="H206" s="32" t="s">
        <v>327</v>
      </c>
      <c r="I206" s="78">
        <v>42824</v>
      </c>
      <c r="J206" s="78">
        <v>42977</v>
      </c>
      <c r="K206" s="85">
        <v>42996</v>
      </c>
      <c r="L206" s="226" t="s">
        <v>1834</v>
      </c>
      <c r="M206" s="69">
        <v>2015</v>
      </c>
      <c r="N206" s="69">
        <v>1</v>
      </c>
      <c r="O206" s="69" t="s">
        <v>1258</v>
      </c>
      <c r="P206" s="69" t="s">
        <v>1315</v>
      </c>
      <c r="Q206" s="32" t="s">
        <v>1835</v>
      </c>
      <c r="R206" s="227">
        <v>36868</v>
      </c>
      <c r="S206" s="197" t="s">
        <v>759</v>
      </c>
      <c r="T206" s="161" t="s">
        <v>317</v>
      </c>
      <c r="U206" s="69" t="str">
        <f t="shared" si="103"/>
        <v>N</v>
      </c>
      <c r="V206" s="57" t="s">
        <v>333</v>
      </c>
      <c r="W206" s="197" t="s">
        <v>319</v>
      </c>
      <c r="X206" s="197" t="s">
        <v>320</v>
      </c>
      <c r="Y206" s="213">
        <v>60</v>
      </c>
      <c r="Z206" s="149"/>
      <c r="AA206" s="149"/>
      <c r="AB206" s="214"/>
      <c r="AC206" s="149"/>
      <c r="AD206" s="128"/>
      <c r="AE206" s="149">
        <v>3552.3287679999999</v>
      </c>
      <c r="AF206" s="149">
        <v>3552.3287679999999</v>
      </c>
      <c r="AG206" s="206">
        <v>2015</v>
      </c>
      <c r="AH206" s="149">
        <v>137155.55088803099</v>
      </c>
      <c r="AI206" s="128">
        <f>AF206/AH206</f>
        <v>2.5899999999999979E-2</v>
      </c>
      <c r="AJ206" s="149">
        <v>6574.8287680000003</v>
      </c>
      <c r="AK206" s="149">
        <v>6574.8287680000003</v>
      </c>
      <c r="AL206" s="214">
        <v>2015</v>
      </c>
      <c r="AM206" s="149">
        <v>27788.794454776002</v>
      </c>
      <c r="AN206" s="128">
        <f>AK206/AM206</f>
        <v>0.23659999999999995</v>
      </c>
      <c r="AO206" s="149"/>
      <c r="AP206" s="149"/>
      <c r="AQ206" s="57"/>
      <c r="AR206" s="149"/>
      <c r="AS206" s="128"/>
      <c r="AT206" s="149"/>
      <c r="AU206" s="149"/>
      <c r="AV206" s="214"/>
      <c r="AW206" s="149"/>
      <c r="AX206" s="128"/>
      <c r="AY206" s="197" t="s">
        <v>1836</v>
      </c>
      <c r="AZ206" s="161" t="str">
        <f t="shared" si="140"/>
        <v>N</v>
      </c>
      <c r="BA206" s="161" t="str">
        <f t="shared" si="141"/>
        <v>N</v>
      </c>
      <c r="BB206" s="161" t="str">
        <f t="shared" si="142"/>
        <v>N</v>
      </c>
      <c r="BC206" s="161" t="str">
        <f t="shared" si="143"/>
        <v>N</v>
      </c>
      <c r="BD206" s="161" t="str">
        <f t="shared" si="144"/>
        <v>N</v>
      </c>
      <c r="BE206" s="161" t="str">
        <f t="shared" si="145"/>
        <v>N</v>
      </c>
      <c r="BF206" s="161" t="str">
        <f t="shared" si="146"/>
        <v>N</v>
      </c>
      <c r="BG206" s="161" t="str">
        <f t="shared" si="147"/>
        <v>N</v>
      </c>
      <c r="BH206" s="161" t="str">
        <f t="shared" si="148"/>
        <v>N</v>
      </c>
      <c r="BI206" s="161" t="str">
        <f t="shared" si="149"/>
        <v>N</v>
      </c>
      <c r="BJ206" s="161" t="str">
        <f t="shared" si="150"/>
        <v>N</v>
      </c>
      <c r="BK206" s="161" t="str">
        <f t="shared" si="151"/>
        <v>N</v>
      </c>
      <c r="BL206" s="161" t="str">
        <f t="shared" si="152"/>
        <v>N</v>
      </c>
      <c r="BM206" s="161" t="str">
        <f t="shared" si="153"/>
        <v>N</v>
      </c>
      <c r="BN206" s="176" t="str">
        <f t="shared" si="154"/>
        <v>N</v>
      </c>
      <c r="BO206" s="222" t="s">
        <v>1837</v>
      </c>
      <c r="BP206" s="174" t="str">
        <f t="shared" si="155"/>
        <v>上交所主板</v>
      </c>
      <c r="BQ206" s="219" t="s">
        <v>317</v>
      </c>
      <c r="BR206" s="173">
        <f t="shared" si="156"/>
        <v>37621</v>
      </c>
      <c r="BS206" s="171" t="str">
        <f t="shared" si="157"/>
        <v>N</v>
      </c>
    </row>
    <row r="207" spans="1:163" ht="15" customHeight="1" x14ac:dyDescent="0.25">
      <c r="A207" s="31">
        <v>94</v>
      </c>
      <c r="B207" s="223" t="s">
        <v>791</v>
      </c>
      <c r="C207" s="57" t="s">
        <v>1838</v>
      </c>
      <c r="D207" s="57" t="s">
        <v>351</v>
      </c>
      <c r="E207" s="57" t="s">
        <v>549</v>
      </c>
      <c r="F207" s="57" t="s">
        <v>793</v>
      </c>
      <c r="G207" s="57" t="s">
        <v>315</v>
      </c>
      <c r="H207" s="32" t="s">
        <v>368</v>
      </c>
      <c r="I207" s="78">
        <v>42360</v>
      </c>
      <c r="J207" s="78">
        <v>42961</v>
      </c>
      <c r="K207" s="85">
        <v>43508</v>
      </c>
      <c r="L207" s="226" t="s">
        <v>1839</v>
      </c>
      <c r="M207" s="69" t="s">
        <v>1840</v>
      </c>
      <c r="N207" s="69">
        <v>3</v>
      </c>
      <c r="O207" s="69" t="s">
        <v>1314</v>
      </c>
      <c r="P207" s="69" t="s">
        <v>1315</v>
      </c>
      <c r="Q207" s="32" t="s">
        <v>1841</v>
      </c>
      <c r="R207" s="85">
        <v>35608</v>
      </c>
      <c r="S207" s="197" t="s">
        <v>995</v>
      </c>
      <c r="T207" s="161" t="s">
        <v>345</v>
      </c>
      <c r="U207" s="69" t="str">
        <f t="shared" si="103"/>
        <v>Y</v>
      </c>
      <c r="V207" s="57" t="s">
        <v>988</v>
      </c>
      <c r="W207" s="197" t="s">
        <v>1599</v>
      </c>
      <c r="X207" s="197" t="s">
        <v>334</v>
      </c>
      <c r="Y207" s="213">
        <v>60</v>
      </c>
      <c r="Z207" s="149">
        <f>9780+20000+29780+9513.8+20000+20000+9513.8</f>
        <v>118587.6</v>
      </c>
      <c r="AA207" s="149">
        <f>9780+20000+29780</f>
        <v>59560</v>
      </c>
      <c r="AB207" s="214">
        <v>2011</v>
      </c>
      <c r="AC207" s="149">
        <v>185506.49522000001</v>
      </c>
      <c r="AD207" s="128">
        <f>AA207/AC207</f>
        <v>0.32106692506569795</v>
      </c>
      <c r="AE207" s="149"/>
      <c r="AF207" s="149"/>
      <c r="AG207" s="206"/>
      <c r="AH207" s="149"/>
      <c r="AI207" s="128"/>
      <c r="AJ207" s="149"/>
      <c r="AK207" s="149"/>
      <c r="AL207" s="214"/>
      <c r="AM207" s="149"/>
      <c r="AN207" s="128"/>
      <c r="AO207" s="149"/>
      <c r="AP207" s="149"/>
      <c r="AQ207" s="57"/>
      <c r="AR207" s="149"/>
      <c r="AS207" s="128"/>
      <c r="AT207" s="149">
        <f>89800+4200+186700+10000+47000+57000+35000</f>
        <v>429700</v>
      </c>
      <c r="AU207" s="149">
        <f>186700+10000</f>
        <v>196700</v>
      </c>
      <c r="AV207" s="214">
        <v>2012</v>
      </c>
      <c r="AW207" s="149">
        <v>186160.26670199999</v>
      </c>
      <c r="AX207" s="128">
        <f>AU207/AW207</f>
        <v>1.0566164492816918</v>
      </c>
      <c r="AY207" s="197" t="s">
        <v>1842</v>
      </c>
      <c r="AZ207" s="161" t="str">
        <f t="shared" si="140"/>
        <v>Y</v>
      </c>
      <c r="BA207" s="161" t="str">
        <f t="shared" si="141"/>
        <v>N</v>
      </c>
      <c r="BB207" s="161" t="str">
        <f t="shared" si="142"/>
        <v>N</v>
      </c>
      <c r="BC207" s="161" t="str">
        <f t="shared" si="143"/>
        <v>N</v>
      </c>
      <c r="BD207" s="161" t="str">
        <f t="shared" si="144"/>
        <v>N</v>
      </c>
      <c r="BE207" s="161" t="str">
        <f t="shared" si="145"/>
        <v>N</v>
      </c>
      <c r="BF207" s="161" t="str">
        <f t="shared" si="146"/>
        <v>N</v>
      </c>
      <c r="BG207" s="161" t="str">
        <f t="shared" si="147"/>
        <v>N</v>
      </c>
      <c r="BH207" s="161" t="str">
        <f t="shared" si="148"/>
        <v>N</v>
      </c>
      <c r="BI207" s="161" t="str">
        <f t="shared" si="149"/>
        <v>N</v>
      </c>
      <c r="BJ207" s="161" t="str">
        <f t="shared" si="150"/>
        <v>Y</v>
      </c>
      <c r="BK207" s="161" t="str">
        <f t="shared" si="151"/>
        <v>Y</v>
      </c>
      <c r="BL207" s="161" t="str">
        <f t="shared" si="152"/>
        <v>Y</v>
      </c>
      <c r="BM207" s="161" t="str">
        <f t="shared" si="153"/>
        <v>Y</v>
      </c>
      <c r="BN207" s="176" t="str">
        <f t="shared" si="154"/>
        <v>N</v>
      </c>
      <c r="BO207" s="222" t="s">
        <v>798</v>
      </c>
      <c r="BP207" s="174" t="str">
        <f t="shared" si="155"/>
        <v>上交所主板</v>
      </c>
      <c r="BQ207" s="219" t="s">
        <v>317</v>
      </c>
      <c r="BR207" s="173">
        <f t="shared" si="156"/>
        <v>36525</v>
      </c>
      <c r="BS207" s="171" t="str">
        <f t="shared" si="157"/>
        <v>N</v>
      </c>
    </row>
    <row r="208" spans="1:163" ht="15" customHeight="1" x14ac:dyDescent="0.25">
      <c r="A208" s="31">
        <v>93</v>
      </c>
      <c r="B208" s="223" t="s">
        <v>1843</v>
      </c>
      <c r="C208" s="57" t="s">
        <v>1844</v>
      </c>
      <c r="D208" s="57" t="s">
        <v>826</v>
      </c>
      <c r="E208" s="57" t="s">
        <v>1845</v>
      </c>
      <c r="F208" s="57" t="s">
        <v>1846</v>
      </c>
      <c r="G208" s="57" t="s">
        <v>315</v>
      </c>
      <c r="H208" s="32" t="s">
        <v>1847</v>
      </c>
      <c r="I208" s="78">
        <v>42675</v>
      </c>
      <c r="J208" s="78">
        <v>42956</v>
      </c>
      <c r="K208" s="85">
        <v>42962</v>
      </c>
      <c r="L208" s="226" t="s">
        <v>1848</v>
      </c>
      <c r="M208" s="69" t="s">
        <v>1217</v>
      </c>
      <c r="N208" s="69">
        <v>3</v>
      </c>
      <c r="O208" s="69" t="s">
        <v>1314</v>
      </c>
      <c r="P208" s="69" t="s">
        <v>1315</v>
      </c>
      <c r="Q208" s="32" t="s">
        <v>507</v>
      </c>
      <c r="R208" s="85">
        <v>39475</v>
      </c>
      <c r="S208" s="197" t="s">
        <v>1048</v>
      </c>
      <c r="T208" s="161" t="s">
        <v>317</v>
      </c>
      <c r="U208" s="69" t="str">
        <f t="shared" ref="U208:U271" si="159">IF(OR(BL208="Y",BM208="Y",BN208="Y"),"Y","N")</f>
        <v>N</v>
      </c>
      <c r="V208" s="57" t="s">
        <v>607</v>
      </c>
      <c r="W208" s="197" t="s">
        <v>361</v>
      </c>
      <c r="X208" s="197" t="s">
        <v>320</v>
      </c>
      <c r="Y208" s="213">
        <v>30</v>
      </c>
      <c r="Z208" s="149"/>
      <c r="AA208" s="149"/>
      <c r="AB208" s="214"/>
      <c r="AC208" s="149"/>
      <c r="AD208" s="128"/>
      <c r="AE208" s="149"/>
      <c r="AF208" s="149"/>
      <c r="AG208" s="206"/>
      <c r="AH208" s="149"/>
      <c r="AI208" s="128"/>
      <c r="AJ208" s="149"/>
      <c r="AK208" s="149"/>
      <c r="AL208" s="214"/>
      <c r="AM208" s="149"/>
      <c r="AN208" s="128"/>
      <c r="AO208" s="149"/>
      <c r="AP208" s="149"/>
      <c r="AQ208" s="57"/>
      <c r="AR208" s="149"/>
      <c r="AS208" s="128"/>
      <c r="AT208" s="149">
        <v>4785</v>
      </c>
      <c r="AU208" s="149">
        <v>2254</v>
      </c>
      <c r="AV208" s="214">
        <v>2015</v>
      </c>
      <c r="AW208" s="149">
        <v>43587.281148000002</v>
      </c>
      <c r="AX208" s="128">
        <f>AU208/AW208</f>
        <v>5.171233306217414E-2</v>
      </c>
      <c r="AY208" s="197" t="s">
        <v>1849</v>
      </c>
      <c r="AZ208" s="161" t="str">
        <f t="shared" si="140"/>
        <v>N</v>
      </c>
      <c r="BA208" s="161" t="str">
        <f t="shared" si="141"/>
        <v>N</v>
      </c>
      <c r="BB208" s="161" t="str">
        <f t="shared" si="142"/>
        <v>N</v>
      </c>
      <c r="BC208" s="161" t="str">
        <f t="shared" si="143"/>
        <v>N</v>
      </c>
      <c r="BD208" s="161" t="str">
        <f t="shared" si="144"/>
        <v>N</v>
      </c>
      <c r="BE208" s="161" t="str">
        <f t="shared" si="145"/>
        <v>N</v>
      </c>
      <c r="BF208" s="161" t="str">
        <f t="shared" si="146"/>
        <v>N</v>
      </c>
      <c r="BG208" s="161" t="str">
        <f t="shared" si="147"/>
        <v>N</v>
      </c>
      <c r="BH208" s="161" t="str">
        <f t="shared" si="148"/>
        <v>N</v>
      </c>
      <c r="BI208" s="161" t="str">
        <f t="shared" si="149"/>
        <v>N</v>
      </c>
      <c r="BJ208" s="161" t="str">
        <f t="shared" si="150"/>
        <v>N</v>
      </c>
      <c r="BK208" s="161" t="str">
        <f t="shared" si="151"/>
        <v>N</v>
      </c>
      <c r="BL208" s="161" t="str">
        <f t="shared" si="152"/>
        <v>N</v>
      </c>
      <c r="BM208" s="161" t="str">
        <f t="shared" si="153"/>
        <v>N</v>
      </c>
      <c r="BN208" s="176" t="str">
        <f t="shared" si="154"/>
        <v>N</v>
      </c>
      <c r="BO208" s="222" t="s">
        <v>833</v>
      </c>
      <c r="BP208" s="174" t="str">
        <f t="shared" si="155"/>
        <v>深交所主板</v>
      </c>
      <c r="BQ208" s="219" t="s">
        <v>317</v>
      </c>
      <c r="BR208" s="173">
        <f t="shared" si="156"/>
        <v>40543</v>
      </c>
      <c r="BS208" s="171" t="str">
        <f t="shared" si="157"/>
        <v>N</v>
      </c>
    </row>
    <row r="209" spans="1:163" ht="15" customHeight="1" x14ac:dyDescent="0.25">
      <c r="A209" s="31">
        <v>92</v>
      </c>
      <c r="B209" s="223" t="s">
        <v>1706</v>
      </c>
      <c r="C209" s="57" t="s">
        <v>1850</v>
      </c>
      <c r="D209" s="57" t="s">
        <v>439</v>
      </c>
      <c r="E209" s="57" t="s">
        <v>1417</v>
      </c>
      <c r="F209" s="57" t="s">
        <v>1708</v>
      </c>
      <c r="G209" s="57" t="s">
        <v>315</v>
      </c>
      <c r="H209" s="32" t="s">
        <v>327</v>
      </c>
      <c r="I209" s="78">
        <v>42331</v>
      </c>
      <c r="J209" s="78">
        <v>42923</v>
      </c>
      <c r="K209" s="85">
        <v>43131</v>
      </c>
      <c r="L209" s="226" t="s">
        <v>1851</v>
      </c>
      <c r="M209" s="69" t="s">
        <v>1806</v>
      </c>
      <c r="N209" s="69">
        <v>3</v>
      </c>
      <c r="O209" s="69" t="s">
        <v>1314</v>
      </c>
      <c r="P209" s="69" t="s">
        <v>1718</v>
      </c>
      <c r="Q209" s="32" t="s">
        <v>1047</v>
      </c>
      <c r="R209" s="85">
        <v>35487</v>
      </c>
      <c r="S209" s="197" t="s">
        <v>707</v>
      </c>
      <c r="T209" s="161" t="s">
        <v>317</v>
      </c>
      <c r="U209" s="69" t="str">
        <f t="shared" si="159"/>
        <v>Y</v>
      </c>
      <c r="V209" s="57" t="s">
        <v>988</v>
      </c>
      <c r="W209" s="197" t="s">
        <v>361</v>
      </c>
      <c r="X209" s="197" t="s">
        <v>334</v>
      </c>
      <c r="Y209" s="213">
        <v>60</v>
      </c>
      <c r="Z209" s="149"/>
      <c r="AA209" s="149"/>
      <c r="AB209" s="214"/>
      <c r="AC209" s="149"/>
      <c r="AD209" s="128"/>
      <c r="AE209" s="149"/>
      <c r="AF209" s="149"/>
      <c r="AG209" s="206"/>
      <c r="AH209" s="149"/>
      <c r="AI209" s="128"/>
      <c r="AJ209" s="149"/>
      <c r="AK209" s="149"/>
      <c r="AL209" s="214"/>
      <c r="AM209" s="149"/>
      <c r="AN209" s="128"/>
      <c r="AO209" s="149"/>
      <c r="AP209" s="149"/>
      <c r="AQ209" s="57"/>
      <c r="AR209" s="149"/>
      <c r="AS209" s="128"/>
      <c r="AT209" s="149">
        <f>(820240000+1154153937+1329340121)/10000</f>
        <v>330373.40580000001</v>
      </c>
      <c r="AU209" s="149">
        <f>(1329340121)/10000</f>
        <v>132934.01209999999</v>
      </c>
      <c r="AV209" s="214">
        <v>2015</v>
      </c>
      <c r="AW209" s="149">
        <f>1256868120.7/10000</f>
        <v>125686.81207</v>
      </c>
      <c r="AX209" s="128">
        <f>AU209/AW209</f>
        <v>1.0576607832647051</v>
      </c>
      <c r="AY209" s="197" t="s">
        <v>1852</v>
      </c>
      <c r="AZ209" s="161" t="str">
        <f t="shared" si="140"/>
        <v>N</v>
      </c>
      <c r="BA209" s="161" t="str">
        <f t="shared" si="141"/>
        <v>N</v>
      </c>
      <c r="BB209" s="161" t="str">
        <f t="shared" si="142"/>
        <v>N</v>
      </c>
      <c r="BC209" s="161" t="str">
        <f t="shared" si="143"/>
        <v>N</v>
      </c>
      <c r="BD209" s="161" t="str">
        <f t="shared" si="144"/>
        <v>N</v>
      </c>
      <c r="BE209" s="161" t="str">
        <f t="shared" si="145"/>
        <v>N</v>
      </c>
      <c r="BF209" s="161" t="str">
        <f t="shared" si="146"/>
        <v>N</v>
      </c>
      <c r="BG209" s="161" t="str">
        <f t="shared" si="147"/>
        <v>N</v>
      </c>
      <c r="BH209" s="161" t="str">
        <f t="shared" si="148"/>
        <v>N</v>
      </c>
      <c r="BI209" s="161" t="str">
        <f t="shared" si="149"/>
        <v>N</v>
      </c>
      <c r="BJ209" s="161" t="str">
        <f t="shared" si="150"/>
        <v>Y</v>
      </c>
      <c r="BK209" s="161" t="str">
        <f t="shared" si="151"/>
        <v>Y</v>
      </c>
      <c r="BL209" s="161" t="str">
        <f t="shared" si="152"/>
        <v>Y</v>
      </c>
      <c r="BM209" s="161" t="str">
        <f t="shared" si="153"/>
        <v>Y</v>
      </c>
      <c r="BN209" s="176" t="str">
        <f t="shared" si="154"/>
        <v>N</v>
      </c>
      <c r="BO209" s="222" t="s">
        <v>1712</v>
      </c>
      <c r="BP209" s="174" t="str">
        <f t="shared" si="155"/>
        <v>深交所主板</v>
      </c>
      <c r="BQ209" s="219" t="s">
        <v>345</v>
      </c>
      <c r="BR209" s="173">
        <f t="shared" si="156"/>
        <v>36525</v>
      </c>
      <c r="BS209" s="171" t="str">
        <f t="shared" si="157"/>
        <v>N</v>
      </c>
    </row>
    <row r="210" spans="1:163" s="13" customFormat="1" ht="15" customHeight="1" x14ac:dyDescent="0.25">
      <c r="A210" s="31">
        <v>91</v>
      </c>
      <c r="B210" s="223" t="s">
        <v>1853</v>
      </c>
      <c r="C210" s="57" t="s">
        <v>1854</v>
      </c>
      <c r="D210" s="57" t="s">
        <v>612</v>
      </c>
      <c r="E210" s="57" t="s">
        <v>613</v>
      </c>
      <c r="F210" s="57" t="s">
        <v>1855</v>
      </c>
      <c r="G210" s="57" t="s">
        <v>326</v>
      </c>
      <c r="H210" s="32" t="s">
        <v>327</v>
      </c>
      <c r="I210" s="78">
        <v>42524</v>
      </c>
      <c r="J210" s="78">
        <v>42919</v>
      </c>
      <c r="K210" s="85">
        <v>43053</v>
      </c>
      <c r="L210" s="226" t="s">
        <v>1856</v>
      </c>
      <c r="M210" s="69">
        <v>2015</v>
      </c>
      <c r="N210" s="69">
        <v>0.5</v>
      </c>
      <c r="O210" s="69" t="s">
        <v>1495</v>
      </c>
      <c r="P210" s="69" t="s">
        <v>1718</v>
      </c>
      <c r="Q210" s="32" t="s">
        <v>605</v>
      </c>
      <c r="R210" s="85">
        <v>35838</v>
      </c>
      <c r="S210" s="197" t="s">
        <v>543</v>
      </c>
      <c r="T210" s="161" t="s">
        <v>317</v>
      </c>
      <c r="U210" s="69" t="str">
        <f t="shared" si="159"/>
        <v>N</v>
      </c>
      <c r="V210" s="57" t="s">
        <v>988</v>
      </c>
      <c r="W210" s="197" t="s">
        <v>670</v>
      </c>
      <c r="X210" s="197" t="s">
        <v>320</v>
      </c>
      <c r="Y210" s="213">
        <v>45</v>
      </c>
      <c r="Z210" s="149">
        <v>8402.4823489999999</v>
      </c>
      <c r="AA210" s="149">
        <v>8402.4823489999999</v>
      </c>
      <c r="AB210" s="214">
        <v>2015</v>
      </c>
      <c r="AC210" s="149">
        <v>54764.7</v>
      </c>
      <c r="AD210" s="128">
        <f>AA210/AC210</f>
        <v>0.15342880265937731</v>
      </c>
      <c r="AE210" s="149"/>
      <c r="AF210" s="149"/>
      <c r="AG210" s="206"/>
      <c r="AH210" s="149"/>
      <c r="AI210" s="128"/>
      <c r="AJ210" s="149"/>
      <c r="AK210" s="149"/>
      <c r="AL210" s="214"/>
      <c r="AM210" s="149"/>
      <c r="AN210" s="128"/>
      <c r="AO210" s="149"/>
      <c r="AP210" s="149"/>
      <c r="AQ210" s="57"/>
      <c r="AR210" s="149"/>
      <c r="AS210" s="128"/>
      <c r="AT210" s="149">
        <f>(180329584.47+168424045.13)/10000</f>
        <v>34875.362960000006</v>
      </c>
      <c r="AU210" s="149">
        <v>18032.958447000001</v>
      </c>
      <c r="AV210" s="214">
        <v>2014</v>
      </c>
      <c r="AW210" s="149">
        <v>84259.442706000002</v>
      </c>
      <c r="AX210" s="128">
        <f>AU210/AW210</f>
        <v>0.21401706286998617</v>
      </c>
      <c r="AY210" s="197" t="s">
        <v>1857</v>
      </c>
      <c r="AZ210" s="161" t="str">
        <f t="shared" si="140"/>
        <v>N</v>
      </c>
      <c r="BA210" s="161" t="str">
        <f t="shared" si="141"/>
        <v>N</v>
      </c>
      <c r="BB210" s="161" t="str">
        <f t="shared" si="142"/>
        <v>N</v>
      </c>
      <c r="BC210" s="161" t="str">
        <f t="shared" si="143"/>
        <v>N</v>
      </c>
      <c r="BD210" s="161" t="str">
        <f t="shared" si="144"/>
        <v>N</v>
      </c>
      <c r="BE210" s="161" t="str">
        <f t="shared" si="145"/>
        <v>N</v>
      </c>
      <c r="BF210" s="161" t="str">
        <f t="shared" si="146"/>
        <v>N</v>
      </c>
      <c r="BG210" s="161" t="str">
        <f t="shared" si="147"/>
        <v>N</v>
      </c>
      <c r="BH210" s="161" t="str">
        <f t="shared" si="148"/>
        <v>N</v>
      </c>
      <c r="BI210" s="161" t="str">
        <f t="shared" si="149"/>
        <v>N</v>
      </c>
      <c r="BJ210" s="161" t="str">
        <f t="shared" si="150"/>
        <v>N</v>
      </c>
      <c r="BK210" s="161" t="str">
        <f t="shared" si="151"/>
        <v>N</v>
      </c>
      <c r="BL210" s="161" t="str">
        <f t="shared" si="152"/>
        <v>N</v>
      </c>
      <c r="BM210" s="161" t="str">
        <f t="shared" si="153"/>
        <v>N</v>
      </c>
      <c r="BN210" s="176" t="str">
        <f t="shared" si="154"/>
        <v>N</v>
      </c>
      <c r="BO210" s="222" t="s">
        <v>1858</v>
      </c>
      <c r="BP210" s="174" t="str">
        <f t="shared" si="155"/>
        <v>深交所主板</v>
      </c>
      <c r="BQ210" s="219" t="s">
        <v>317</v>
      </c>
      <c r="BR210" s="173">
        <f t="shared" si="156"/>
        <v>36891</v>
      </c>
      <c r="BS210" s="171" t="str">
        <f t="shared" si="157"/>
        <v>N</v>
      </c>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row>
    <row r="211" spans="1:163" ht="15" customHeight="1" x14ac:dyDescent="0.35">
      <c r="A211" s="31">
        <v>90</v>
      </c>
      <c r="B211" s="32" t="s">
        <v>1859</v>
      </c>
      <c r="C211" s="23" t="s">
        <v>1860</v>
      </c>
      <c r="D211" s="44" t="s">
        <v>754</v>
      </c>
      <c r="E211" s="44" t="s">
        <v>1861</v>
      </c>
      <c r="F211" s="58" t="s">
        <v>1862</v>
      </c>
      <c r="G211" s="42" t="s">
        <v>315</v>
      </c>
      <c r="H211" s="32" t="s">
        <v>327</v>
      </c>
      <c r="I211" s="78">
        <v>42656</v>
      </c>
      <c r="J211" s="78">
        <v>42902</v>
      </c>
      <c r="K211" s="78">
        <v>43094</v>
      </c>
      <c r="L211" s="79" t="s">
        <v>1863</v>
      </c>
      <c r="M211" s="198">
        <v>2015</v>
      </c>
      <c r="N211" s="23">
        <v>1</v>
      </c>
      <c r="O211" s="69" t="str">
        <f>IF(N211&lt;1,"1年以内",IF(N211&lt;2,"1-2年",IF(N211&lt;3,"2-3年",IF(N211&lt;5,"3-5年","5年以上"))))</f>
        <v>1-2年</v>
      </c>
      <c r="P211" s="69" t="s">
        <v>1207</v>
      </c>
      <c r="Q211" s="191" t="s">
        <v>1864</v>
      </c>
      <c r="R211" s="80">
        <v>34107</v>
      </c>
      <c r="S211" s="44" t="s">
        <v>669</v>
      </c>
      <c r="T211" s="207" t="s">
        <v>345</v>
      </c>
      <c r="U211" s="69" t="str">
        <f t="shared" si="159"/>
        <v>N</v>
      </c>
      <c r="V211" s="44" t="s">
        <v>318</v>
      </c>
      <c r="W211" s="208" t="s">
        <v>1865</v>
      </c>
      <c r="X211" s="44" t="s">
        <v>334</v>
      </c>
      <c r="Y211" s="229">
        <v>60</v>
      </c>
      <c r="Z211" s="216">
        <f>1795.24+172.5</f>
        <v>1967.74</v>
      </c>
      <c r="AA211" s="216">
        <f>1795.24+172.5</f>
        <v>1967.74</v>
      </c>
      <c r="AB211" s="44">
        <v>2015</v>
      </c>
      <c r="AC211" s="148">
        <f>1415440842.75/10000</f>
        <v>141544.084275</v>
      </c>
      <c r="AD211" s="128">
        <f>AA211/AC211</f>
        <v>1.3901958602359965E-2</v>
      </c>
      <c r="AE211" s="148"/>
      <c r="AF211" s="148"/>
      <c r="AG211" s="218"/>
      <c r="AH211" s="147"/>
      <c r="AI211" s="128"/>
      <c r="AJ211" s="148"/>
      <c r="AK211" s="148"/>
      <c r="AL211" s="218"/>
      <c r="AM211" s="148"/>
      <c r="AN211" s="128"/>
      <c r="AO211" s="148">
        <v>1967.74</v>
      </c>
      <c r="AP211" s="148">
        <v>1967.74</v>
      </c>
      <c r="AQ211" s="44">
        <v>2015</v>
      </c>
      <c r="AR211" s="148">
        <f>-17409872.2/10000</f>
        <v>-1740.98722</v>
      </c>
      <c r="AS211" s="128">
        <f>AP211/AR211</f>
        <v>-1.1302437935184844</v>
      </c>
      <c r="AT211" s="148"/>
      <c r="AU211" s="148"/>
      <c r="AV211" s="218"/>
      <c r="AW211" s="148"/>
      <c r="AX211" s="159"/>
      <c r="AY211" s="198" t="s">
        <v>1866</v>
      </c>
      <c r="AZ211" s="161" t="str">
        <f t="shared" si="140"/>
        <v>N</v>
      </c>
      <c r="BA211" s="161" t="str">
        <f t="shared" si="141"/>
        <v>N</v>
      </c>
      <c r="BB211" s="161" t="str">
        <f t="shared" si="142"/>
        <v>N</v>
      </c>
      <c r="BC211" s="161" t="str">
        <f t="shared" si="143"/>
        <v>N</v>
      </c>
      <c r="BD211" s="161" t="str">
        <f t="shared" si="144"/>
        <v>N</v>
      </c>
      <c r="BE211" s="161" t="str">
        <f t="shared" si="145"/>
        <v>N</v>
      </c>
      <c r="BF211" s="161" t="str">
        <f t="shared" si="146"/>
        <v>N</v>
      </c>
      <c r="BG211" s="161" t="str">
        <f t="shared" si="147"/>
        <v>N</v>
      </c>
      <c r="BH211" s="161" t="str">
        <f t="shared" si="148"/>
        <v>N</v>
      </c>
      <c r="BI211" s="161" t="str">
        <f t="shared" si="149"/>
        <v>N</v>
      </c>
      <c r="BJ211" s="161" t="str">
        <f t="shared" si="150"/>
        <v>N</v>
      </c>
      <c r="BK211" s="161" t="str">
        <f t="shared" si="151"/>
        <v>N</v>
      </c>
      <c r="BL211" s="161" t="str">
        <f t="shared" si="152"/>
        <v>N</v>
      </c>
      <c r="BM211" s="161" t="str">
        <f t="shared" si="153"/>
        <v>N</v>
      </c>
      <c r="BN211" s="176" t="str">
        <f t="shared" si="154"/>
        <v>N</v>
      </c>
      <c r="BO211" s="170" t="s">
        <v>1867</v>
      </c>
      <c r="BP211" s="174" t="str">
        <f t="shared" si="155"/>
        <v>深交所主板</v>
      </c>
      <c r="BQ211" s="172" t="s">
        <v>317</v>
      </c>
      <c r="BR211" s="173">
        <f t="shared" si="156"/>
        <v>35064</v>
      </c>
      <c r="BS211" s="171" t="str">
        <f t="shared" si="157"/>
        <v>N</v>
      </c>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row>
    <row r="212" spans="1:163" ht="15" customHeight="1" x14ac:dyDescent="0.25">
      <c r="A212" s="31">
        <v>89</v>
      </c>
      <c r="B212" s="223" t="s">
        <v>1868</v>
      </c>
      <c r="C212" s="57" t="s">
        <v>1869</v>
      </c>
      <c r="D212" s="57" t="s">
        <v>1870</v>
      </c>
      <c r="E212" s="57" t="s">
        <v>1871</v>
      </c>
      <c r="F212" s="57" t="s">
        <v>1872</v>
      </c>
      <c r="G212" s="57" t="s">
        <v>354</v>
      </c>
      <c r="H212" s="32" t="s">
        <v>327</v>
      </c>
      <c r="I212" s="78">
        <v>42654</v>
      </c>
      <c r="J212" s="78">
        <v>42902</v>
      </c>
      <c r="K212" s="85">
        <v>42916</v>
      </c>
      <c r="L212" s="226" t="s">
        <v>1873</v>
      </c>
      <c r="M212" s="69">
        <v>2014</v>
      </c>
      <c r="N212" s="69">
        <v>1</v>
      </c>
      <c r="O212" s="69" t="s">
        <v>1258</v>
      </c>
      <c r="P212" s="69" t="s">
        <v>1315</v>
      </c>
      <c r="Q212" s="32" t="s">
        <v>1078</v>
      </c>
      <c r="R212" s="85">
        <v>36839</v>
      </c>
      <c r="S212" s="197" t="s">
        <v>995</v>
      </c>
      <c r="T212" s="161" t="s">
        <v>317</v>
      </c>
      <c r="U212" s="69" t="str">
        <f t="shared" si="159"/>
        <v>N</v>
      </c>
      <c r="V212" s="57" t="s">
        <v>333</v>
      </c>
      <c r="W212" s="197" t="s">
        <v>346</v>
      </c>
      <c r="X212" s="197" t="s">
        <v>320</v>
      </c>
      <c r="Y212" s="213">
        <v>40</v>
      </c>
      <c r="Z212" s="149"/>
      <c r="AA212" s="149"/>
      <c r="AB212" s="214"/>
      <c r="AC212" s="149"/>
      <c r="AD212" s="128"/>
      <c r="AE212" s="149">
        <f>(41133297.88+316694126.8+47545786.37+34404615.4+66824582.07+130081740)/10000+9865</f>
        <v>73533.414852000002</v>
      </c>
      <c r="AF212" s="149">
        <v>73533.414848</v>
      </c>
      <c r="AG212" s="206">
        <v>2014</v>
      </c>
      <c r="AH212" s="149">
        <v>337014.41572400002</v>
      </c>
      <c r="AI212" s="128">
        <f>AF212/AH212</f>
        <v>0.21819071059625125</v>
      </c>
      <c r="AJ212" s="149"/>
      <c r="AK212" s="149"/>
      <c r="AL212" s="214"/>
      <c r="AM212" s="149"/>
      <c r="AN212" s="128"/>
      <c r="AO212" s="149"/>
      <c r="AP212" s="149"/>
      <c r="AQ212" s="57"/>
      <c r="AR212" s="149"/>
      <c r="AS212" s="128"/>
      <c r="AT212" s="149"/>
      <c r="AU212" s="149"/>
      <c r="AV212" s="214"/>
      <c r="AW212" s="149"/>
      <c r="AX212" s="128"/>
      <c r="AY212" s="197" t="s">
        <v>1874</v>
      </c>
      <c r="AZ212" s="161" t="str">
        <f t="shared" si="140"/>
        <v>N</v>
      </c>
      <c r="BA212" s="161" t="str">
        <f t="shared" si="141"/>
        <v>N</v>
      </c>
      <c r="BB212" s="161" t="str">
        <f t="shared" si="142"/>
        <v>N</v>
      </c>
      <c r="BC212" s="161" t="str">
        <f t="shared" si="143"/>
        <v>N</v>
      </c>
      <c r="BD212" s="161" t="str">
        <f t="shared" si="144"/>
        <v>N</v>
      </c>
      <c r="BE212" s="161" t="str">
        <f t="shared" si="145"/>
        <v>N</v>
      </c>
      <c r="BF212" s="161" t="str">
        <f t="shared" si="146"/>
        <v>N</v>
      </c>
      <c r="BG212" s="161" t="str">
        <f t="shared" si="147"/>
        <v>N</v>
      </c>
      <c r="BH212" s="161" t="str">
        <f t="shared" si="148"/>
        <v>N</v>
      </c>
      <c r="BI212" s="161" t="str">
        <f t="shared" si="149"/>
        <v>N</v>
      </c>
      <c r="BJ212" s="161" t="str">
        <f t="shared" si="150"/>
        <v>N</v>
      </c>
      <c r="BK212" s="161" t="str">
        <f t="shared" si="151"/>
        <v>N</v>
      </c>
      <c r="BL212" s="161" t="str">
        <f t="shared" si="152"/>
        <v>N</v>
      </c>
      <c r="BM212" s="161" t="str">
        <f t="shared" si="153"/>
        <v>N</v>
      </c>
      <c r="BN212" s="176" t="str">
        <f t="shared" si="154"/>
        <v>N</v>
      </c>
      <c r="BO212" s="222" t="s">
        <v>1875</v>
      </c>
      <c r="BP212" s="174" t="str">
        <f t="shared" si="155"/>
        <v>上交所主板</v>
      </c>
      <c r="BQ212" s="219" t="s">
        <v>317</v>
      </c>
      <c r="BR212" s="173">
        <f t="shared" si="156"/>
        <v>37621</v>
      </c>
      <c r="BS212" s="171" t="str">
        <f t="shared" si="157"/>
        <v>N</v>
      </c>
    </row>
    <row r="213" spans="1:163" ht="15" customHeight="1" x14ac:dyDescent="0.35">
      <c r="A213" s="31">
        <v>88</v>
      </c>
      <c r="B213" s="32" t="s">
        <v>1876</v>
      </c>
      <c r="C213" s="23" t="s">
        <v>1877</v>
      </c>
      <c r="D213" s="44" t="s">
        <v>809</v>
      </c>
      <c r="E213" s="44" t="s">
        <v>1878</v>
      </c>
      <c r="F213" s="58" t="s">
        <v>1879</v>
      </c>
      <c r="G213" s="42" t="s">
        <v>354</v>
      </c>
      <c r="H213" s="32" t="s">
        <v>368</v>
      </c>
      <c r="I213" s="78">
        <v>42832</v>
      </c>
      <c r="J213" s="78">
        <v>42867</v>
      </c>
      <c r="K213" s="78">
        <v>43084</v>
      </c>
      <c r="L213" s="79" t="s">
        <v>1880</v>
      </c>
      <c r="M213" s="198" t="s">
        <v>1349</v>
      </c>
      <c r="N213" s="23">
        <v>1.75</v>
      </c>
      <c r="O213" s="69" t="str">
        <f>IF(N213&lt;1,"1年以内",IF(N213&lt;2,"1-2年",IF(N213&lt;3,"2-3年",IF(N213&lt;5,"3-5年","5年以上"))))</f>
        <v>1-2年</v>
      </c>
      <c r="P213" s="69" t="s">
        <v>1881</v>
      </c>
      <c r="Q213" s="191" t="s">
        <v>1260</v>
      </c>
      <c r="R213" s="80">
        <v>42221</v>
      </c>
      <c r="S213" s="44" t="s">
        <v>397</v>
      </c>
      <c r="T213" s="207" t="s">
        <v>317</v>
      </c>
      <c r="U213" s="69" t="str">
        <f t="shared" si="159"/>
        <v>Y</v>
      </c>
      <c r="V213" s="44" t="s">
        <v>333</v>
      </c>
      <c r="W213" s="208" t="s">
        <v>319</v>
      </c>
      <c r="X213" s="44" t="s">
        <v>334</v>
      </c>
      <c r="Y213" s="229">
        <v>60</v>
      </c>
      <c r="Z213" s="216"/>
      <c r="AA213" s="148"/>
      <c r="AB213" s="44"/>
      <c r="AC213" s="148"/>
      <c r="AD213" s="128"/>
      <c r="AE213" s="148">
        <v>58312.41</v>
      </c>
      <c r="AF213" s="148">
        <v>48182.17</v>
      </c>
      <c r="AG213" s="218">
        <v>2015</v>
      </c>
      <c r="AH213" s="147">
        <f>443808695.85/10000</f>
        <v>44380.869585</v>
      </c>
      <c r="AI213" s="128">
        <f>AF213/AH213</f>
        <v>1.0856517785826525</v>
      </c>
      <c r="AJ213" s="148">
        <v>25650.11</v>
      </c>
      <c r="AK213" s="148">
        <v>23226.34</v>
      </c>
      <c r="AL213" s="218">
        <v>2015</v>
      </c>
      <c r="AM213" s="148">
        <f>87081572.14/10000</f>
        <v>8708.1572140000007</v>
      </c>
      <c r="AN213" s="128">
        <f>AK213/AM213</f>
        <v>2.6671934634642667</v>
      </c>
      <c r="AO213" s="148"/>
      <c r="AP213" s="148"/>
      <c r="AQ213" s="44"/>
      <c r="AR213" s="148"/>
      <c r="AS213" s="128"/>
      <c r="AT213" s="148"/>
      <c r="AU213" s="148"/>
      <c r="AV213" s="218"/>
      <c r="AW213" s="148"/>
      <c r="AX213" s="159"/>
      <c r="AY213" s="198" t="s">
        <v>1882</v>
      </c>
      <c r="AZ213" s="161" t="str">
        <f t="shared" si="140"/>
        <v>N</v>
      </c>
      <c r="BA213" s="161" t="str">
        <f t="shared" si="141"/>
        <v>N</v>
      </c>
      <c r="BB213" s="161" t="str">
        <f t="shared" si="142"/>
        <v>N</v>
      </c>
      <c r="BC213" s="161" t="str">
        <f t="shared" si="143"/>
        <v>Y</v>
      </c>
      <c r="BD213" s="161" t="str">
        <f t="shared" si="144"/>
        <v>N</v>
      </c>
      <c r="BE213" s="161" t="str">
        <f t="shared" si="145"/>
        <v>Y</v>
      </c>
      <c r="BF213" s="161" t="str">
        <f t="shared" si="146"/>
        <v>Y</v>
      </c>
      <c r="BG213" s="161" t="str">
        <f t="shared" si="147"/>
        <v>N</v>
      </c>
      <c r="BH213" s="161" t="str">
        <f t="shared" si="148"/>
        <v>N</v>
      </c>
      <c r="BI213" s="161" t="str">
        <f t="shared" si="149"/>
        <v>N</v>
      </c>
      <c r="BJ213" s="161" t="str">
        <f t="shared" si="150"/>
        <v>N</v>
      </c>
      <c r="BK213" s="161" t="str">
        <f t="shared" si="151"/>
        <v>N</v>
      </c>
      <c r="BL213" s="161" t="str">
        <f t="shared" si="152"/>
        <v>N</v>
      </c>
      <c r="BM213" s="161" t="str">
        <f t="shared" si="153"/>
        <v>Y</v>
      </c>
      <c r="BN213" s="176" t="str">
        <f t="shared" si="154"/>
        <v>Y</v>
      </c>
      <c r="BO213" s="170" t="s">
        <v>1883</v>
      </c>
      <c r="BP213" s="174" t="str">
        <f t="shared" si="155"/>
        <v>深交所主板</v>
      </c>
      <c r="BQ213" s="172" t="s">
        <v>345</v>
      </c>
      <c r="BR213" s="173">
        <f t="shared" si="156"/>
        <v>43100</v>
      </c>
      <c r="BS213" s="171" t="str">
        <f t="shared" si="157"/>
        <v>N</v>
      </c>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row>
    <row r="214" spans="1:163" ht="15" customHeight="1" x14ac:dyDescent="0.25">
      <c r="A214" s="31">
        <v>87</v>
      </c>
      <c r="B214" s="55" t="s">
        <v>1884</v>
      </c>
      <c r="C214" s="57" t="s">
        <v>1885</v>
      </c>
      <c r="D214" s="57" t="s">
        <v>809</v>
      </c>
      <c r="E214" s="57" t="s">
        <v>1886</v>
      </c>
      <c r="F214" s="57" t="s">
        <v>1887</v>
      </c>
      <c r="G214" s="57" t="s">
        <v>354</v>
      </c>
      <c r="H214" s="32" t="s">
        <v>327</v>
      </c>
      <c r="I214" s="78">
        <v>42815</v>
      </c>
      <c r="J214" s="78">
        <v>42867</v>
      </c>
      <c r="K214" s="85">
        <v>43003</v>
      </c>
      <c r="L214" s="226" t="s">
        <v>1888</v>
      </c>
      <c r="M214" s="69" t="s">
        <v>1349</v>
      </c>
      <c r="N214" s="69">
        <v>1.75</v>
      </c>
      <c r="O214" s="69" t="s">
        <v>1258</v>
      </c>
      <c r="P214" s="69" t="s">
        <v>1889</v>
      </c>
      <c r="Q214" s="32" t="s">
        <v>718</v>
      </c>
      <c r="R214" s="227">
        <v>40472</v>
      </c>
      <c r="S214" s="197" t="s">
        <v>332</v>
      </c>
      <c r="T214" s="161" t="s">
        <v>317</v>
      </c>
      <c r="U214" s="69" t="str">
        <f t="shared" si="159"/>
        <v>N</v>
      </c>
      <c r="V214" s="57" t="s">
        <v>398</v>
      </c>
      <c r="W214" s="197" t="s">
        <v>346</v>
      </c>
      <c r="X214" s="197" t="s">
        <v>320</v>
      </c>
      <c r="Y214" s="213">
        <v>60</v>
      </c>
      <c r="Z214" s="149"/>
      <c r="AA214" s="149"/>
      <c r="AB214" s="214"/>
      <c r="AC214" s="149"/>
      <c r="AD214" s="128"/>
      <c r="AE214" s="149">
        <f>2411.49+7318.97+2167.73+4140+10000+6049.28</f>
        <v>32087.469999999998</v>
      </c>
      <c r="AF214" s="149">
        <v>10000</v>
      </c>
      <c r="AG214" s="206">
        <v>2016</v>
      </c>
      <c r="AH214" s="149">
        <v>153111.84</v>
      </c>
      <c r="AI214" s="128">
        <f>AF214/AH214</f>
        <v>6.5311735526135672E-2</v>
      </c>
      <c r="AJ214" s="149">
        <f>2411.49-6.72</f>
        <v>2404.77</v>
      </c>
      <c r="AK214" s="149"/>
      <c r="AL214" s="214"/>
      <c r="AM214" s="149"/>
      <c r="AN214" s="128"/>
      <c r="AO214" s="149">
        <f>2404.77+8214.05+10519.07+6140+15231.64+22731.56</f>
        <v>65241.09</v>
      </c>
      <c r="AP214" s="149">
        <v>22731.56</v>
      </c>
      <c r="AQ214" s="57">
        <v>2016</v>
      </c>
      <c r="AR214" s="149">
        <v>188566.72</v>
      </c>
      <c r="AS214" s="128">
        <f>AP214/AR214</f>
        <v>0.12054916159118641</v>
      </c>
      <c r="AT214" s="149"/>
      <c r="AU214" s="149"/>
      <c r="AV214" s="214"/>
      <c r="AW214" s="149"/>
      <c r="AX214" s="128"/>
      <c r="AY214" s="197" t="s">
        <v>1890</v>
      </c>
      <c r="AZ214" s="161" t="str">
        <f t="shared" si="140"/>
        <v>N</v>
      </c>
      <c r="BA214" s="161" t="str">
        <f t="shared" si="141"/>
        <v>N</v>
      </c>
      <c r="BB214" s="161" t="str">
        <f t="shared" si="142"/>
        <v>N</v>
      </c>
      <c r="BC214" s="161" t="str">
        <f t="shared" si="143"/>
        <v>N</v>
      </c>
      <c r="BD214" s="161" t="str">
        <f t="shared" si="144"/>
        <v>N</v>
      </c>
      <c r="BE214" s="161" t="str">
        <f t="shared" si="145"/>
        <v>N</v>
      </c>
      <c r="BF214" s="161" t="str">
        <f t="shared" si="146"/>
        <v>N</v>
      </c>
      <c r="BG214" s="161" t="str">
        <f t="shared" si="147"/>
        <v>N</v>
      </c>
      <c r="BH214" s="161" t="str">
        <f t="shared" si="148"/>
        <v>N</v>
      </c>
      <c r="BI214" s="161" t="str">
        <f t="shared" si="149"/>
        <v>N</v>
      </c>
      <c r="BJ214" s="161" t="str">
        <f t="shared" si="150"/>
        <v>N</v>
      </c>
      <c r="BK214" s="161" t="str">
        <f t="shared" si="151"/>
        <v>N</v>
      </c>
      <c r="BL214" s="161" t="str">
        <f t="shared" si="152"/>
        <v>N</v>
      </c>
      <c r="BM214" s="161" t="str">
        <f t="shared" si="153"/>
        <v>N</v>
      </c>
      <c r="BN214" s="176" t="str">
        <f t="shared" si="154"/>
        <v>N</v>
      </c>
      <c r="BO214" s="222" t="s">
        <v>363</v>
      </c>
      <c r="BP214" s="174" t="str">
        <f t="shared" si="155"/>
        <v>深交所主板</v>
      </c>
      <c r="BQ214" s="219" t="s">
        <v>317</v>
      </c>
      <c r="BR214" s="173">
        <f t="shared" si="156"/>
        <v>41274</v>
      </c>
      <c r="BS214" s="171" t="str">
        <f t="shared" si="157"/>
        <v>N</v>
      </c>
    </row>
    <row r="215" spans="1:163" ht="15" customHeight="1" x14ac:dyDescent="0.25">
      <c r="A215" s="31">
        <v>86</v>
      </c>
      <c r="B215" s="223" t="s">
        <v>1891</v>
      </c>
      <c r="C215" s="57" t="s">
        <v>1892</v>
      </c>
      <c r="D215" s="57" t="s">
        <v>426</v>
      </c>
      <c r="E215" s="57" t="s">
        <v>1615</v>
      </c>
      <c r="F215" s="57" t="s">
        <v>1893</v>
      </c>
      <c r="G215" s="57" t="s">
        <v>315</v>
      </c>
      <c r="H215" s="32" t="s">
        <v>327</v>
      </c>
      <c r="I215" s="78">
        <v>42297</v>
      </c>
      <c r="J215" s="78">
        <v>42854</v>
      </c>
      <c r="K215" s="85">
        <v>42891</v>
      </c>
      <c r="L215" s="79" t="s">
        <v>1894</v>
      </c>
      <c r="M215" s="69" t="s">
        <v>1806</v>
      </c>
      <c r="N215" s="69">
        <v>2.25</v>
      </c>
      <c r="O215" s="69" t="s">
        <v>1305</v>
      </c>
      <c r="P215" s="69" t="s">
        <v>1895</v>
      </c>
      <c r="Q215" s="32" t="s">
        <v>718</v>
      </c>
      <c r="R215" s="85">
        <v>41689</v>
      </c>
      <c r="S215" s="197" t="s">
        <v>555</v>
      </c>
      <c r="T215" s="161" t="s">
        <v>317</v>
      </c>
      <c r="U215" s="69" t="str">
        <f t="shared" si="159"/>
        <v>N</v>
      </c>
      <c r="V215" s="57" t="s">
        <v>318</v>
      </c>
      <c r="W215" s="197" t="s">
        <v>1664</v>
      </c>
      <c r="X215" s="197" t="s">
        <v>320</v>
      </c>
      <c r="Y215" s="213">
        <v>60</v>
      </c>
      <c r="Z215" s="149"/>
      <c r="AA215" s="149"/>
      <c r="AB215" s="214"/>
      <c r="AC215" s="149"/>
      <c r="AD215" s="128"/>
      <c r="AE215" s="149"/>
      <c r="AF215" s="149"/>
      <c r="AG215" s="206"/>
      <c r="AH215" s="149"/>
      <c r="AI215" s="128"/>
      <c r="AJ215" s="149">
        <f>(5020406.98+2929311.2+3451964.74+652500+4212385.54)/10000</f>
        <v>1626.6568460000001</v>
      </c>
      <c r="AK215" s="149">
        <v>794.97181799999998</v>
      </c>
      <c r="AL215" s="214">
        <v>2013</v>
      </c>
      <c r="AM215" s="149">
        <v>4049.7635399999999</v>
      </c>
      <c r="AN215" s="128">
        <f>AK215/AM215</f>
        <v>0.19630079883626983</v>
      </c>
      <c r="AO215" s="149"/>
      <c r="AP215" s="149"/>
      <c r="AQ215" s="57"/>
      <c r="AR215" s="149"/>
      <c r="AS215" s="128"/>
      <c r="AT215" s="149"/>
      <c r="AU215" s="149"/>
      <c r="AV215" s="214"/>
      <c r="AW215" s="149"/>
      <c r="AX215" s="128"/>
      <c r="AY215" s="197" t="s">
        <v>1896</v>
      </c>
      <c r="AZ215" s="161" t="str">
        <f t="shared" si="140"/>
        <v>N</v>
      </c>
      <c r="BA215" s="161" t="str">
        <f t="shared" si="141"/>
        <v>N</v>
      </c>
      <c r="BB215" s="161" t="str">
        <f t="shared" si="142"/>
        <v>N</v>
      </c>
      <c r="BC215" s="161" t="str">
        <f t="shared" si="143"/>
        <v>N</v>
      </c>
      <c r="BD215" s="161" t="str">
        <f t="shared" si="144"/>
        <v>N</v>
      </c>
      <c r="BE215" s="161" t="str">
        <f t="shared" si="145"/>
        <v>N</v>
      </c>
      <c r="BF215" s="161" t="str">
        <f t="shared" si="146"/>
        <v>N</v>
      </c>
      <c r="BG215" s="161" t="str">
        <f t="shared" si="147"/>
        <v>N</v>
      </c>
      <c r="BH215" s="161" t="str">
        <f t="shared" si="148"/>
        <v>N</v>
      </c>
      <c r="BI215" s="161" t="str">
        <f t="shared" si="149"/>
        <v>N</v>
      </c>
      <c r="BJ215" s="161" t="str">
        <f t="shared" si="150"/>
        <v>N</v>
      </c>
      <c r="BK215" s="161" t="str">
        <f t="shared" si="151"/>
        <v>N</v>
      </c>
      <c r="BL215" s="161" t="str">
        <f t="shared" si="152"/>
        <v>N</v>
      </c>
      <c r="BM215" s="161" t="str">
        <f t="shared" si="153"/>
        <v>N</v>
      </c>
      <c r="BN215" s="176" t="str">
        <f t="shared" si="154"/>
        <v>N</v>
      </c>
      <c r="BO215" s="222" t="s">
        <v>501</v>
      </c>
      <c r="BP215" s="174" t="str">
        <f t="shared" si="155"/>
        <v>深交所主板</v>
      </c>
      <c r="BQ215" s="219" t="s">
        <v>317</v>
      </c>
      <c r="BR215" s="173">
        <f t="shared" si="156"/>
        <v>42735</v>
      </c>
      <c r="BS215" s="171" t="str">
        <f t="shared" si="157"/>
        <v>Y</v>
      </c>
    </row>
    <row r="216" spans="1:163" ht="15" customHeight="1" x14ac:dyDescent="0.35">
      <c r="A216" s="31">
        <v>85</v>
      </c>
      <c r="B216" s="32" t="s">
        <v>1897</v>
      </c>
      <c r="C216" s="23" t="s">
        <v>1898</v>
      </c>
      <c r="D216" s="44" t="s">
        <v>754</v>
      </c>
      <c r="E216" s="44" t="s">
        <v>1899</v>
      </c>
      <c r="F216" s="190" t="s">
        <v>1900</v>
      </c>
      <c r="G216" s="42" t="s">
        <v>315</v>
      </c>
      <c r="H216" s="32" t="s">
        <v>327</v>
      </c>
      <c r="I216" s="78">
        <v>42517</v>
      </c>
      <c r="J216" s="78">
        <v>42804</v>
      </c>
      <c r="K216" s="78">
        <v>42852</v>
      </c>
      <c r="L216" s="79" t="s">
        <v>1901</v>
      </c>
      <c r="M216" s="225" t="s">
        <v>1806</v>
      </c>
      <c r="N216" s="23">
        <v>3</v>
      </c>
      <c r="O216" s="69" t="str">
        <f>IF(N216&lt;1,"1年以内",IF(N216&lt;2,"1-2年",IF(N216&lt;3,"2-3年",IF(N216&lt;5,"3-5年","5年以上"))))</f>
        <v>3-5年</v>
      </c>
      <c r="P216" s="69" t="s">
        <v>1807</v>
      </c>
      <c r="Q216" s="191" t="s">
        <v>1835</v>
      </c>
      <c r="R216" s="80">
        <v>40997</v>
      </c>
      <c r="S216" s="44" t="s">
        <v>332</v>
      </c>
      <c r="T216" s="207" t="s">
        <v>317</v>
      </c>
      <c r="U216" s="69" t="str">
        <f t="shared" si="159"/>
        <v>Y</v>
      </c>
      <c r="V216" s="44" t="s">
        <v>398</v>
      </c>
      <c r="W216" s="208" t="s">
        <v>1902</v>
      </c>
      <c r="X216" s="44" t="s">
        <v>320</v>
      </c>
      <c r="Y216" s="229">
        <v>60</v>
      </c>
      <c r="Z216" s="216">
        <f>(300000000+300000000)/10000</f>
        <v>60000</v>
      </c>
      <c r="AA216" s="216">
        <f>(300000000+300000000)/10000</f>
        <v>60000</v>
      </c>
      <c r="AB216" s="44">
        <v>2015</v>
      </c>
      <c r="AC216" s="148">
        <f>760900254.54/10000</f>
        <v>76090.025454000002</v>
      </c>
      <c r="AD216" s="128">
        <f>AA216/AC216</f>
        <v>0.78853962318980719</v>
      </c>
      <c r="AE216" s="148">
        <f>(264897668.7+574786.32)/10000</f>
        <v>26547.245501999998</v>
      </c>
      <c r="AF216" s="148">
        <f>(160071925.68+574786.32)/10000</f>
        <v>16064.671200000001</v>
      </c>
      <c r="AG216" s="218">
        <v>2015</v>
      </c>
      <c r="AH216" s="147">
        <f>161574436.42/10000</f>
        <v>16157.443641999998</v>
      </c>
      <c r="AI216" s="128">
        <f>AF216/AH216</f>
        <v>0.99425822276991616</v>
      </c>
      <c r="AJ216" s="148"/>
      <c r="AK216" s="148"/>
      <c r="AL216" s="218"/>
      <c r="AM216" s="148"/>
      <c r="AN216" s="128"/>
      <c r="AO216" s="148"/>
      <c r="AP216" s="148"/>
      <c r="AQ216" s="44"/>
      <c r="AR216" s="148"/>
      <c r="AS216" s="128"/>
      <c r="AT216" s="148"/>
      <c r="AU216" s="148"/>
      <c r="AV216" s="218"/>
      <c r="AW216" s="148"/>
      <c r="AX216" s="159"/>
      <c r="AY216" s="198" t="s">
        <v>1903</v>
      </c>
      <c r="AZ216" s="161" t="str">
        <f t="shared" si="140"/>
        <v>N</v>
      </c>
      <c r="BA216" s="161" t="str">
        <f t="shared" si="141"/>
        <v>Y</v>
      </c>
      <c r="BB216" s="161" t="str">
        <f t="shared" si="142"/>
        <v>N</v>
      </c>
      <c r="BC216" s="161" t="str">
        <f t="shared" si="143"/>
        <v>Y</v>
      </c>
      <c r="BD216" s="161" t="str">
        <f t="shared" si="144"/>
        <v>N</v>
      </c>
      <c r="BE216" s="161" t="str">
        <f t="shared" si="145"/>
        <v>N</v>
      </c>
      <c r="BF216" s="161" t="str">
        <f t="shared" si="146"/>
        <v>N</v>
      </c>
      <c r="BG216" s="161" t="str">
        <f t="shared" si="147"/>
        <v>N</v>
      </c>
      <c r="BH216" s="161" t="str">
        <f t="shared" si="148"/>
        <v>N</v>
      </c>
      <c r="BI216" s="161" t="str">
        <f t="shared" si="149"/>
        <v>N</v>
      </c>
      <c r="BJ216" s="161" t="str">
        <f t="shared" si="150"/>
        <v>N</v>
      </c>
      <c r="BK216" s="161" t="str">
        <f t="shared" si="151"/>
        <v>N</v>
      </c>
      <c r="BL216" s="161" t="str">
        <f t="shared" si="152"/>
        <v>N</v>
      </c>
      <c r="BM216" s="161" t="str">
        <f t="shared" si="153"/>
        <v>Y</v>
      </c>
      <c r="BN216" s="176" t="str">
        <f t="shared" si="154"/>
        <v>N</v>
      </c>
      <c r="BO216" s="170" t="s">
        <v>374</v>
      </c>
      <c r="BP216" s="174" t="str">
        <f t="shared" si="155"/>
        <v>深交所主板</v>
      </c>
      <c r="BQ216" s="172" t="s">
        <v>317</v>
      </c>
      <c r="BR216" s="173">
        <f t="shared" si="156"/>
        <v>42004</v>
      </c>
      <c r="BS216" s="171" t="str">
        <f t="shared" si="157"/>
        <v>Y</v>
      </c>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c r="ER216" s="7"/>
      <c r="ES216" s="7"/>
      <c r="ET216" s="7"/>
      <c r="EU216" s="7"/>
      <c r="EV216" s="7"/>
      <c r="EW216" s="7"/>
      <c r="EX216" s="7"/>
      <c r="EY216" s="7"/>
      <c r="EZ216" s="7"/>
      <c r="FA216" s="7"/>
      <c r="FB216" s="7"/>
      <c r="FC216" s="7"/>
      <c r="FD216" s="7"/>
      <c r="FE216" s="7"/>
      <c r="FF216" s="7"/>
      <c r="FG216" s="7"/>
    </row>
    <row r="217" spans="1:163" ht="15" customHeight="1" x14ac:dyDescent="0.25">
      <c r="A217" s="31">
        <v>84</v>
      </c>
      <c r="B217" s="223" t="s">
        <v>1904</v>
      </c>
      <c r="C217" s="57" t="s">
        <v>1905</v>
      </c>
      <c r="D217" s="57" t="s">
        <v>612</v>
      </c>
      <c r="E217" s="57" t="s">
        <v>613</v>
      </c>
      <c r="F217" s="57" t="s">
        <v>1906</v>
      </c>
      <c r="G217" s="57" t="s">
        <v>315</v>
      </c>
      <c r="H217" s="32" t="s">
        <v>368</v>
      </c>
      <c r="I217" s="78">
        <v>42167</v>
      </c>
      <c r="J217" s="78">
        <v>42734</v>
      </c>
      <c r="K217" s="85">
        <v>42853</v>
      </c>
      <c r="L217" s="226" t="s">
        <v>1907</v>
      </c>
      <c r="M217" s="69" t="s">
        <v>1908</v>
      </c>
      <c r="N217" s="69">
        <v>7</v>
      </c>
      <c r="O217" s="69" t="s">
        <v>1391</v>
      </c>
      <c r="P217" s="69" t="s">
        <v>1909</v>
      </c>
      <c r="Q217" s="32" t="s">
        <v>1910</v>
      </c>
      <c r="R217" s="85">
        <v>40423</v>
      </c>
      <c r="S217" s="197" t="s">
        <v>1472</v>
      </c>
      <c r="T217" s="161" t="s">
        <v>317</v>
      </c>
      <c r="U217" s="69" t="str">
        <f t="shared" si="159"/>
        <v>Y</v>
      </c>
      <c r="V217" s="57" t="s">
        <v>398</v>
      </c>
      <c r="W217" s="197" t="s">
        <v>1911</v>
      </c>
      <c r="X217" s="197" t="s">
        <v>334</v>
      </c>
      <c r="Y217" s="213">
        <v>60</v>
      </c>
      <c r="Z217" s="149">
        <f>31333.76+31479.69+3080</f>
        <v>65893.45</v>
      </c>
      <c r="AA217" s="149">
        <v>31479.69</v>
      </c>
      <c r="AB217" s="214">
        <v>2011</v>
      </c>
      <c r="AC217" s="149">
        <v>115563.26</v>
      </c>
      <c r="AD217" s="128">
        <f>AA217/AC217</f>
        <v>0.2724022323357787</v>
      </c>
      <c r="AE217" s="149"/>
      <c r="AF217" s="149"/>
      <c r="AG217" s="206"/>
      <c r="AH217" s="149"/>
      <c r="AI217" s="128"/>
      <c r="AJ217" s="149">
        <f>4241.8+807.54+150.5+2384.69+155.46+534.27</f>
        <v>8274.26</v>
      </c>
      <c r="AK217" s="149">
        <v>4241.8</v>
      </c>
      <c r="AL217" s="214">
        <v>2010</v>
      </c>
      <c r="AM217" s="149">
        <f>79669186.79/10000</f>
        <v>7966.9186790000003</v>
      </c>
      <c r="AN217" s="128">
        <f>AK217/AM217</f>
        <v>0.53242667220652828</v>
      </c>
      <c r="AO217" s="149"/>
      <c r="AP217" s="149"/>
      <c r="AQ217" s="57"/>
      <c r="AR217" s="149"/>
      <c r="AS217" s="128"/>
      <c r="AT217" s="149"/>
      <c r="AU217" s="149"/>
      <c r="AV217" s="214"/>
      <c r="AW217" s="149"/>
      <c r="AX217" s="128"/>
      <c r="AY217" s="197" t="s">
        <v>1912</v>
      </c>
      <c r="AZ217" s="161" t="str">
        <f t="shared" si="140"/>
        <v>N</v>
      </c>
      <c r="BA217" s="161" t="str">
        <f t="shared" si="141"/>
        <v>N</v>
      </c>
      <c r="BB217" s="161" t="str">
        <f t="shared" si="142"/>
        <v>N</v>
      </c>
      <c r="BC217" s="161" t="str">
        <f t="shared" si="143"/>
        <v>N</v>
      </c>
      <c r="BD217" s="161" t="str">
        <f t="shared" si="144"/>
        <v>N</v>
      </c>
      <c r="BE217" s="161" t="str">
        <f t="shared" si="145"/>
        <v>Y</v>
      </c>
      <c r="BF217" s="161" t="str">
        <f t="shared" si="146"/>
        <v>N</v>
      </c>
      <c r="BG217" s="161" t="str">
        <f t="shared" si="147"/>
        <v>N</v>
      </c>
      <c r="BH217" s="161" t="str">
        <f t="shared" si="148"/>
        <v>N</v>
      </c>
      <c r="BI217" s="161" t="str">
        <f t="shared" si="149"/>
        <v>N</v>
      </c>
      <c r="BJ217" s="161" t="str">
        <f t="shared" si="150"/>
        <v>N</v>
      </c>
      <c r="BK217" s="161" t="str">
        <f t="shared" si="151"/>
        <v>N</v>
      </c>
      <c r="BL217" s="161" t="str">
        <f t="shared" si="152"/>
        <v>N</v>
      </c>
      <c r="BM217" s="161" t="str">
        <f t="shared" si="153"/>
        <v>Y</v>
      </c>
      <c r="BN217" s="176" t="str">
        <f t="shared" si="154"/>
        <v>N</v>
      </c>
      <c r="BO217" s="222" t="s">
        <v>520</v>
      </c>
      <c r="BP217" s="174" t="str">
        <f t="shared" si="155"/>
        <v>深交所创业板</v>
      </c>
      <c r="BQ217" s="219" t="s">
        <v>317</v>
      </c>
      <c r="BR217" s="173">
        <f t="shared" si="156"/>
        <v>41639</v>
      </c>
      <c r="BS217" s="171" t="str">
        <f t="shared" si="157"/>
        <v>Y</v>
      </c>
    </row>
    <row r="218" spans="1:163" ht="15" customHeight="1" x14ac:dyDescent="0.25">
      <c r="A218" s="31">
        <v>83</v>
      </c>
      <c r="B218" s="223" t="s">
        <v>1913</v>
      </c>
      <c r="C218" s="57" t="s">
        <v>1914</v>
      </c>
      <c r="D218" s="57" t="s">
        <v>448</v>
      </c>
      <c r="E218" s="57" t="s">
        <v>1569</v>
      </c>
      <c r="F218" s="57" t="s">
        <v>1915</v>
      </c>
      <c r="G218" s="57" t="s">
        <v>315</v>
      </c>
      <c r="H218" s="32" t="s">
        <v>368</v>
      </c>
      <c r="I218" s="78">
        <v>41975</v>
      </c>
      <c r="J218" s="78">
        <v>42723</v>
      </c>
      <c r="K218" s="85">
        <v>43444</v>
      </c>
      <c r="L218" s="226" t="s">
        <v>1916</v>
      </c>
      <c r="M218" s="69" t="s">
        <v>1917</v>
      </c>
      <c r="N218" s="69">
        <v>2</v>
      </c>
      <c r="O218" s="69" t="s">
        <v>1305</v>
      </c>
      <c r="P218" s="69" t="s">
        <v>1315</v>
      </c>
      <c r="Q218" s="32" t="s">
        <v>507</v>
      </c>
      <c r="R218" s="85">
        <v>38145</v>
      </c>
      <c r="S218" s="197" t="s">
        <v>332</v>
      </c>
      <c r="T218" s="161" t="s">
        <v>317</v>
      </c>
      <c r="U218" s="69" t="str">
        <f t="shared" si="159"/>
        <v>Y</v>
      </c>
      <c r="V218" s="57" t="s">
        <v>333</v>
      </c>
      <c r="W218" s="197" t="s">
        <v>319</v>
      </c>
      <c r="X218" s="197" t="s">
        <v>320</v>
      </c>
      <c r="Y218" s="213">
        <v>60</v>
      </c>
      <c r="Z218" s="149"/>
      <c r="AA218" s="149"/>
      <c r="AB218" s="214"/>
      <c r="AC218" s="149"/>
      <c r="AD218" s="128"/>
      <c r="AE218" s="149">
        <v>14420.109366000001</v>
      </c>
      <c r="AF218" s="149">
        <v>10304.914253000001</v>
      </c>
      <c r="AG218" s="206">
        <v>2013</v>
      </c>
      <c r="AH218" s="149">
        <v>11141.80595</v>
      </c>
      <c r="AI218" s="128">
        <f>AF218/AH218</f>
        <v>0.92488724891138507</v>
      </c>
      <c r="AJ218" s="149"/>
      <c r="AK218" s="149"/>
      <c r="AL218" s="214"/>
      <c r="AM218" s="149"/>
      <c r="AN218" s="128"/>
      <c r="AO218" s="149"/>
      <c r="AP218" s="149"/>
      <c r="AQ218" s="57"/>
      <c r="AR218" s="149"/>
      <c r="AS218" s="128"/>
      <c r="AT218" s="149"/>
      <c r="AU218" s="149"/>
      <c r="AV218" s="214"/>
      <c r="AW218" s="149"/>
      <c r="AX218" s="128"/>
      <c r="AY218" s="197" t="s">
        <v>1918</v>
      </c>
      <c r="AZ218" s="161" t="str">
        <f t="shared" si="140"/>
        <v>N</v>
      </c>
      <c r="BA218" s="161" t="str">
        <f t="shared" si="141"/>
        <v>N</v>
      </c>
      <c r="BB218" s="161" t="str">
        <f t="shared" si="142"/>
        <v>N</v>
      </c>
      <c r="BC218" s="161" t="str">
        <f t="shared" si="143"/>
        <v>Y</v>
      </c>
      <c r="BD218" s="161" t="str">
        <f t="shared" si="144"/>
        <v>N</v>
      </c>
      <c r="BE218" s="161" t="str">
        <f t="shared" si="145"/>
        <v>N</v>
      </c>
      <c r="BF218" s="161" t="str">
        <f t="shared" si="146"/>
        <v>N</v>
      </c>
      <c r="BG218" s="161" t="str">
        <f t="shared" si="147"/>
        <v>N</v>
      </c>
      <c r="BH218" s="161" t="str">
        <f t="shared" si="148"/>
        <v>N</v>
      </c>
      <c r="BI218" s="161" t="str">
        <f t="shared" si="149"/>
        <v>N</v>
      </c>
      <c r="BJ218" s="161" t="str">
        <f t="shared" si="150"/>
        <v>N</v>
      </c>
      <c r="BK218" s="161" t="str">
        <f t="shared" si="151"/>
        <v>N</v>
      </c>
      <c r="BL218" s="161" t="str">
        <f t="shared" si="152"/>
        <v>N</v>
      </c>
      <c r="BM218" s="161" t="str">
        <f t="shared" si="153"/>
        <v>Y</v>
      </c>
      <c r="BN218" s="176" t="str">
        <f t="shared" si="154"/>
        <v>N</v>
      </c>
      <c r="BO218" s="222" t="s">
        <v>1919</v>
      </c>
      <c r="BP218" s="174" t="str">
        <f t="shared" si="155"/>
        <v>上交所主板</v>
      </c>
      <c r="BQ218" s="219" t="s">
        <v>317</v>
      </c>
      <c r="BR218" s="173">
        <f t="shared" si="156"/>
        <v>39082</v>
      </c>
      <c r="BS218" s="171" t="str">
        <f t="shared" si="157"/>
        <v>N</v>
      </c>
    </row>
    <row r="219" spans="1:163" ht="15" customHeight="1" x14ac:dyDescent="0.25">
      <c r="A219" s="31">
        <v>82</v>
      </c>
      <c r="B219" s="223" t="s">
        <v>1920</v>
      </c>
      <c r="C219" s="57" t="s">
        <v>1921</v>
      </c>
      <c r="D219" s="57" t="s">
        <v>377</v>
      </c>
      <c r="E219" s="57" t="s">
        <v>1922</v>
      </c>
      <c r="F219" s="57" t="s">
        <v>1923</v>
      </c>
      <c r="G219" s="57" t="s">
        <v>354</v>
      </c>
      <c r="H219" s="32" t="s">
        <v>327</v>
      </c>
      <c r="I219" s="78">
        <v>42342</v>
      </c>
      <c r="J219" s="78">
        <v>42712</v>
      </c>
      <c r="K219" s="85">
        <v>42724</v>
      </c>
      <c r="L219" s="226" t="s">
        <v>1924</v>
      </c>
      <c r="M219" s="69" t="s">
        <v>1717</v>
      </c>
      <c r="N219" s="69">
        <v>1.5</v>
      </c>
      <c r="O219" s="69" t="s">
        <v>1258</v>
      </c>
      <c r="P219" s="69" t="s">
        <v>1718</v>
      </c>
      <c r="Q219" s="32" t="s">
        <v>1925</v>
      </c>
      <c r="R219" s="85">
        <v>34340</v>
      </c>
      <c r="S219" s="197" t="s">
        <v>995</v>
      </c>
      <c r="T219" s="161" t="s">
        <v>345</v>
      </c>
      <c r="U219" s="69" t="str">
        <f t="shared" si="159"/>
        <v>Y</v>
      </c>
      <c r="V219" s="57" t="s">
        <v>318</v>
      </c>
      <c r="W219" s="197" t="s">
        <v>346</v>
      </c>
      <c r="X219" s="197" t="s">
        <v>320</v>
      </c>
      <c r="Y219" s="213">
        <v>40</v>
      </c>
      <c r="Z219" s="149"/>
      <c r="AA219" s="149"/>
      <c r="AB219" s="214"/>
      <c r="AC219" s="149"/>
      <c r="AD219" s="128"/>
      <c r="AE219" s="149">
        <v>785552.80291299999</v>
      </c>
      <c r="AF219" s="149">
        <v>534341.99310600001</v>
      </c>
      <c r="AG219" s="206">
        <v>2014</v>
      </c>
      <c r="AH219" s="149">
        <v>1488614.3547660001</v>
      </c>
      <c r="AI219" s="128">
        <f>AF219/AH219</f>
        <v>0.35895260004394819</v>
      </c>
      <c r="AJ219" s="149"/>
      <c r="AK219" s="149"/>
      <c r="AL219" s="214"/>
      <c r="AM219" s="149"/>
      <c r="AN219" s="128"/>
      <c r="AO219" s="149"/>
      <c r="AP219" s="149"/>
      <c r="AQ219" s="57"/>
      <c r="AR219" s="149"/>
      <c r="AS219" s="128"/>
      <c r="AT219" s="149"/>
      <c r="AU219" s="149"/>
      <c r="AV219" s="214"/>
      <c r="AW219" s="149"/>
      <c r="AX219" s="128"/>
      <c r="AY219" s="197" t="s">
        <v>1926</v>
      </c>
      <c r="AZ219" s="161" t="str">
        <f t="shared" si="140"/>
        <v>N</v>
      </c>
      <c r="BA219" s="161" t="str">
        <f t="shared" si="141"/>
        <v>N</v>
      </c>
      <c r="BB219" s="161" t="str">
        <f t="shared" si="142"/>
        <v>Y</v>
      </c>
      <c r="BC219" s="161" t="str">
        <f t="shared" si="143"/>
        <v>N</v>
      </c>
      <c r="BD219" s="161" t="str">
        <f t="shared" si="144"/>
        <v>N</v>
      </c>
      <c r="BE219" s="161" t="str">
        <f t="shared" si="145"/>
        <v>N</v>
      </c>
      <c r="BF219" s="161" t="str">
        <f t="shared" si="146"/>
        <v>N</v>
      </c>
      <c r="BG219" s="161" t="str">
        <f t="shared" si="147"/>
        <v>N</v>
      </c>
      <c r="BH219" s="161" t="str">
        <f t="shared" si="148"/>
        <v>N</v>
      </c>
      <c r="BI219" s="161" t="str">
        <f t="shared" si="149"/>
        <v>N</v>
      </c>
      <c r="BJ219" s="161" t="str">
        <f t="shared" si="150"/>
        <v>N</v>
      </c>
      <c r="BK219" s="161" t="str">
        <f t="shared" si="151"/>
        <v>N</v>
      </c>
      <c r="BL219" s="161" t="str">
        <f t="shared" si="152"/>
        <v>Y</v>
      </c>
      <c r="BM219" s="161" t="str">
        <f t="shared" si="153"/>
        <v>N</v>
      </c>
      <c r="BN219" s="176" t="str">
        <f t="shared" si="154"/>
        <v>N</v>
      </c>
      <c r="BO219" s="222" t="s">
        <v>1927</v>
      </c>
      <c r="BP219" s="174" t="str">
        <f t="shared" si="155"/>
        <v>上交所主板</v>
      </c>
      <c r="BQ219" s="219" t="s">
        <v>317</v>
      </c>
      <c r="BR219" s="173">
        <f t="shared" si="156"/>
        <v>35430</v>
      </c>
      <c r="BS219" s="171" t="str">
        <f t="shared" si="157"/>
        <v>N</v>
      </c>
    </row>
    <row r="220" spans="1:163" ht="15" customHeight="1" x14ac:dyDescent="0.25">
      <c r="A220" s="31">
        <v>81</v>
      </c>
      <c r="B220" s="223" t="s">
        <v>1928</v>
      </c>
      <c r="C220" s="57" t="s">
        <v>1929</v>
      </c>
      <c r="D220" s="57" t="s">
        <v>574</v>
      </c>
      <c r="E220" s="57" t="s">
        <v>575</v>
      </c>
      <c r="F220" s="57" t="s">
        <v>1930</v>
      </c>
      <c r="G220" s="57" t="s">
        <v>315</v>
      </c>
      <c r="H220" s="32" t="s">
        <v>368</v>
      </c>
      <c r="I220" s="78">
        <v>42332</v>
      </c>
      <c r="J220" s="78">
        <v>42711</v>
      </c>
      <c r="K220" s="85">
        <v>42720</v>
      </c>
      <c r="L220" s="79" t="s">
        <v>1931</v>
      </c>
      <c r="M220" s="69">
        <v>2015</v>
      </c>
      <c r="N220" s="69">
        <v>0.5</v>
      </c>
      <c r="O220" s="69" t="s">
        <v>1495</v>
      </c>
      <c r="P220" s="69" t="s">
        <v>1718</v>
      </c>
      <c r="Q220" s="32" t="s">
        <v>877</v>
      </c>
      <c r="R220" s="85">
        <v>40464</v>
      </c>
      <c r="S220" s="197" t="s">
        <v>332</v>
      </c>
      <c r="T220" s="161" t="s">
        <v>317</v>
      </c>
      <c r="U220" s="69" t="str">
        <f t="shared" si="159"/>
        <v>N</v>
      </c>
      <c r="V220" s="57" t="s">
        <v>318</v>
      </c>
      <c r="W220" s="197" t="s">
        <v>1362</v>
      </c>
      <c r="X220" s="197" t="s">
        <v>320</v>
      </c>
      <c r="Y220" s="213">
        <v>30</v>
      </c>
      <c r="Z220" s="149">
        <v>233.26137600000001</v>
      </c>
      <c r="AA220" s="149">
        <v>233.26137600000001</v>
      </c>
      <c r="AB220" s="214">
        <v>2015</v>
      </c>
      <c r="AC220" s="149">
        <v>104723.32</v>
      </c>
      <c r="AD220" s="128">
        <f>AA220/AC220</f>
        <v>2.2274062357839687E-3</v>
      </c>
      <c r="AE220" s="149"/>
      <c r="AF220" s="149"/>
      <c r="AG220" s="206"/>
      <c r="AH220" s="149"/>
      <c r="AI220" s="128"/>
      <c r="AJ220" s="149">
        <v>233.26137600000001</v>
      </c>
      <c r="AK220" s="149">
        <v>233.26137600000001</v>
      </c>
      <c r="AL220" s="214">
        <v>2015</v>
      </c>
      <c r="AM220" s="149">
        <v>812.64</v>
      </c>
      <c r="AN220" s="128">
        <f>AK220/AM220</f>
        <v>0.28704146485528648</v>
      </c>
      <c r="AO220" s="149"/>
      <c r="AP220" s="149"/>
      <c r="AQ220" s="57"/>
      <c r="AR220" s="149"/>
      <c r="AS220" s="128"/>
      <c r="AT220" s="149"/>
      <c r="AU220" s="149"/>
      <c r="AV220" s="214"/>
      <c r="AW220" s="149"/>
      <c r="AX220" s="128"/>
      <c r="AY220" s="197" t="s">
        <v>1932</v>
      </c>
      <c r="AZ220" s="161" t="str">
        <f t="shared" si="140"/>
        <v>N</v>
      </c>
      <c r="BA220" s="161" t="str">
        <f t="shared" si="141"/>
        <v>N</v>
      </c>
      <c r="BB220" s="161" t="str">
        <f t="shared" si="142"/>
        <v>N</v>
      </c>
      <c r="BC220" s="161" t="str">
        <f t="shared" si="143"/>
        <v>N</v>
      </c>
      <c r="BD220" s="161" t="str">
        <f t="shared" si="144"/>
        <v>N</v>
      </c>
      <c r="BE220" s="161" t="str">
        <f t="shared" si="145"/>
        <v>N</v>
      </c>
      <c r="BF220" s="161" t="str">
        <f t="shared" si="146"/>
        <v>N</v>
      </c>
      <c r="BG220" s="161" t="str">
        <f t="shared" si="147"/>
        <v>N</v>
      </c>
      <c r="BH220" s="161" t="str">
        <f t="shared" si="148"/>
        <v>N</v>
      </c>
      <c r="BI220" s="161" t="str">
        <f t="shared" si="149"/>
        <v>N</v>
      </c>
      <c r="BJ220" s="161" t="str">
        <f t="shared" si="150"/>
        <v>N</v>
      </c>
      <c r="BK220" s="161" t="str">
        <f t="shared" si="151"/>
        <v>N</v>
      </c>
      <c r="BL220" s="161" t="str">
        <f t="shared" si="152"/>
        <v>N</v>
      </c>
      <c r="BM220" s="161" t="str">
        <f t="shared" si="153"/>
        <v>N</v>
      </c>
      <c r="BN220" s="176" t="str">
        <f t="shared" si="154"/>
        <v>N</v>
      </c>
      <c r="BO220" s="170" t="s">
        <v>520</v>
      </c>
      <c r="BP220" s="236" t="str">
        <f t="shared" si="155"/>
        <v>深交所创业板</v>
      </c>
      <c r="BQ220" s="172" t="s">
        <v>317</v>
      </c>
      <c r="BR220" s="175">
        <f t="shared" si="156"/>
        <v>41639</v>
      </c>
      <c r="BS220" s="237" t="str">
        <f t="shared" si="157"/>
        <v>N</v>
      </c>
      <c r="BT220" s="12"/>
      <c r="BU220" s="12"/>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c r="CT220" s="12"/>
      <c r="CU220" s="12"/>
      <c r="CV220" s="12"/>
      <c r="CW220" s="12"/>
      <c r="CX220" s="12"/>
      <c r="CY220" s="12"/>
      <c r="CZ220" s="12"/>
      <c r="DA220" s="12"/>
      <c r="DB220" s="12"/>
      <c r="DC220" s="12"/>
      <c r="DD220" s="12"/>
      <c r="DE220" s="12"/>
      <c r="DF220" s="12"/>
      <c r="DG220" s="12"/>
      <c r="DH220" s="12"/>
      <c r="DI220" s="12"/>
      <c r="DJ220" s="12"/>
      <c r="DK220" s="12"/>
      <c r="DL220" s="12"/>
      <c r="DM220" s="12"/>
      <c r="DN220" s="12"/>
      <c r="DO220" s="12"/>
      <c r="DP220" s="12"/>
      <c r="DQ220" s="12"/>
      <c r="DR220" s="12"/>
      <c r="DS220" s="12"/>
      <c r="DT220" s="12"/>
      <c r="DU220" s="12"/>
      <c r="DV220" s="12"/>
      <c r="DW220" s="12"/>
      <c r="DX220" s="12"/>
      <c r="DY220" s="12"/>
      <c r="DZ220" s="12"/>
      <c r="EA220" s="12"/>
      <c r="EB220" s="12"/>
      <c r="EC220" s="12"/>
      <c r="ED220" s="12"/>
      <c r="EE220" s="12"/>
      <c r="EF220" s="12"/>
      <c r="EG220" s="12"/>
      <c r="EH220" s="12"/>
      <c r="EI220" s="12"/>
      <c r="EJ220" s="12"/>
      <c r="EK220" s="12"/>
      <c r="EL220" s="12"/>
      <c r="EM220" s="12"/>
      <c r="EN220" s="12"/>
      <c r="EO220" s="12"/>
      <c r="EP220" s="12"/>
      <c r="EQ220" s="12"/>
      <c r="ER220" s="12"/>
      <c r="ES220" s="12"/>
      <c r="ET220" s="12"/>
      <c r="EU220" s="12"/>
      <c r="EV220" s="12"/>
      <c r="EW220" s="12"/>
      <c r="EX220" s="12"/>
      <c r="EY220" s="12"/>
      <c r="EZ220" s="12"/>
      <c r="FA220" s="12"/>
      <c r="FB220" s="12"/>
      <c r="FC220" s="12"/>
      <c r="FD220" s="12"/>
      <c r="FE220" s="12"/>
      <c r="FF220" s="12"/>
      <c r="FG220" s="12"/>
    </row>
    <row r="221" spans="1:163" ht="15" customHeight="1" x14ac:dyDescent="0.25">
      <c r="A221" s="31">
        <v>80</v>
      </c>
      <c r="B221" s="223" t="s">
        <v>1474</v>
      </c>
      <c r="C221" s="57" t="s">
        <v>1475</v>
      </c>
      <c r="D221" s="57" t="s">
        <v>1476</v>
      </c>
      <c r="E221" s="57" t="s">
        <v>1477</v>
      </c>
      <c r="F221" s="57" t="s">
        <v>1478</v>
      </c>
      <c r="G221" s="57" t="s">
        <v>315</v>
      </c>
      <c r="H221" s="32" t="s">
        <v>1792</v>
      </c>
      <c r="I221" s="78">
        <v>42537</v>
      </c>
      <c r="J221" s="78">
        <v>42670</v>
      </c>
      <c r="K221" s="85">
        <v>42718</v>
      </c>
      <c r="L221" s="226" t="s">
        <v>1933</v>
      </c>
      <c r="M221" s="69">
        <v>2015</v>
      </c>
      <c r="N221" s="69">
        <v>1</v>
      </c>
      <c r="O221" s="69" t="s">
        <v>1258</v>
      </c>
      <c r="P221" s="69" t="s">
        <v>1315</v>
      </c>
      <c r="Q221" s="32" t="s">
        <v>1480</v>
      </c>
      <c r="R221" s="85">
        <v>36745</v>
      </c>
      <c r="S221" s="197" t="s">
        <v>1041</v>
      </c>
      <c r="T221" s="161" t="s">
        <v>317</v>
      </c>
      <c r="U221" s="69" t="str">
        <f t="shared" si="159"/>
        <v>Y</v>
      </c>
      <c r="V221" s="57" t="s">
        <v>333</v>
      </c>
      <c r="W221" s="197" t="s">
        <v>814</v>
      </c>
      <c r="X221" s="197" t="s">
        <v>320</v>
      </c>
      <c r="Y221" s="213">
        <v>40</v>
      </c>
      <c r="Z221" s="149"/>
      <c r="AA221" s="149"/>
      <c r="AB221" s="214"/>
      <c r="AC221" s="149"/>
      <c r="AD221" s="128"/>
      <c r="AE221" s="149"/>
      <c r="AF221" s="149"/>
      <c r="AG221" s="206"/>
      <c r="AH221" s="149"/>
      <c r="AI221" s="128"/>
      <c r="AJ221" s="149">
        <v>500</v>
      </c>
      <c r="AK221" s="149">
        <v>500</v>
      </c>
      <c r="AL221" s="214">
        <v>2015</v>
      </c>
      <c r="AM221" s="149">
        <v>967.36202400000002</v>
      </c>
      <c r="AN221" s="128">
        <f>AK221/AM221</f>
        <v>0.51686957684417012</v>
      </c>
      <c r="AO221" s="149"/>
      <c r="AP221" s="149"/>
      <c r="AQ221" s="57"/>
      <c r="AR221" s="149"/>
      <c r="AS221" s="128"/>
      <c r="AT221" s="149"/>
      <c r="AU221" s="149"/>
      <c r="AV221" s="214"/>
      <c r="AW221" s="149"/>
      <c r="AX221" s="128"/>
      <c r="AY221" s="197" t="s">
        <v>1934</v>
      </c>
      <c r="AZ221" s="161" t="str">
        <f t="shared" si="140"/>
        <v>N</v>
      </c>
      <c r="BA221" s="161" t="str">
        <f t="shared" si="141"/>
        <v>N</v>
      </c>
      <c r="BB221" s="161" t="str">
        <f t="shared" si="142"/>
        <v>N</v>
      </c>
      <c r="BC221" s="161" t="str">
        <f t="shared" si="143"/>
        <v>N</v>
      </c>
      <c r="BD221" s="161" t="str">
        <f t="shared" si="144"/>
        <v>N</v>
      </c>
      <c r="BE221" s="161" t="str">
        <f t="shared" si="145"/>
        <v>Y</v>
      </c>
      <c r="BF221" s="161" t="str">
        <f t="shared" si="146"/>
        <v>N</v>
      </c>
      <c r="BG221" s="161" t="str">
        <f t="shared" si="147"/>
        <v>N</v>
      </c>
      <c r="BH221" s="161" t="str">
        <f t="shared" si="148"/>
        <v>N</v>
      </c>
      <c r="BI221" s="161" t="str">
        <f t="shared" si="149"/>
        <v>N</v>
      </c>
      <c r="BJ221" s="161" t="str">
        <f t="shared" si="150"/>
        <v>N</v>
      </c>
      <c r="BK221" s="161" t="str">
        <f t="shared" si="151"/>
        <v>N</v>
      </c>
      <c r="BL221" s="161" t="str">
        <f t="shared" si="152"/>
        <v>N</v>
      </c>
      <c r="BM221" s="161" t="str">
        <f t="shared" si="153"/>
        <v>Y</v>
      </c>
      <c r="BN221" s="176" t="str">
        <f t="shared" si="154"/>
        <v>N</v>
      </c>
      <c r="BO221" s="222" t="s">
        <v>1482</v>
      </c>
      <c r="BP221" s="174" t="str">
        <f t="shared" si="155"/>
        <v>深交所主板</v>
      </c>
      <c r="BQ221" s="219" t="s">
        <v>317</v>
      </c>
      <c r="BR221" s="173">
        <f t="shared" si="156"/>
        <v>37621</v>
      </c>
      <c r="BS221" s="171" t="str">
        <f t="shared" si="157"/>
        <v>N</v>
      </c>
    </row>
    <row r="222" spans="1:163" ht="15" customHeight="1" x14ac:dyDescent="0.25">
      <c r="A222" s="31">
        <v>79</v>
      </c>
      <c r="B222" s="223" t="s">
        <v>1935</v>
      </c>
      <c r="C222" s="57" t="s">
        <v>1936</v>
      </c>
      <c r="D222" s="57" t="s">
        <v>809</v>
      </c>
      <c r="E222" s="57" t="s">
        <v>810</v>
      </c>
      <c r="F222" s="57" t="s">
        <v>1937</v>
      </c>
      <c r="G222" s="57" t="s">
        <v>315</v>
      </c>
      <c r="H222" s="32" t="s">
        <v>368</v>
      </c>
      <c r="I222" s="78">
        <v>42362</v>
      </c>
      <c r="J222" s="78">
        <v>42632</v>
      </c>
      <c r="K222" s="85">
        <v>42639</v>
      </c>
      <c r="L222" s="226" t="s">
        <v>1938</v>
      </c>
      <c r="M222" s="69" t="s">
        <v>1717</v>
      </c>
      <c r="N222" s="69">
        <v>1.5</v>
      </c>
      <c r="O222" s="69" t="s">
        <v>1258</v>
      </c>
      <c r="P222" s="69" t="s">
        <v>1939</v>
      </c>
      <c r="Q222" s="32" t="s">
        <v>471</v>
      </c>
      <c r="R222" s="85">
        <v>40184</v>
      </c>
      <c r="S222" s="197" t="s">
        <v>1041</v>
      </c>
      <c r="T222" s="161" t="s">
        <v>317</v>
      </c>
      <c r="U222" s="69" t="str">
        <f t="shared" si="159"/>
        <v>N</v>
      </c>
      <c r="V222" s="57" t="s">
        <v>607</v>
      </c>
      <c r="W222" s="197" t="s">
        <v>670</v>
      </c>
      <c r="X222" s="197" t="s">
        <v>320</v>
      </c>
      <c r="Y222" s="213">
        <v>30</v>
      </c>
      <c r="Z222" s="149">
        <f>5000*2</f>
        <v>10000</v>
      </c>
      <c r="AA222" s="149">
        <f>5000*2</f>
        <v>10000</v>
      </c>
      <c r="AB222" s="214">
        <v>2014</v>
      </c>
      <c r="AC222" s="149">
        <v>130601.9</v>
      </c>
      <c r="AD222" s="128">
        <f>AA222/AC222</f>
        <v>7.6568564469582753E-2</v>
      </c>
      <c r="AE222" s="149"/>
      <c r="AF222" s="149"/>
      <c r="AG222" s="206"/>
      <c r="AH222" s="149"/>
      <c r="AI222" s="128"/>
      <c r="AJ222" s="149"/>
      <c r="AK222" s="149"/>
      <c r="AL222" s="214"/>
      <c r="AM222" s="149"/>
      <c r="AN222" s="128"/>
      <c r="AO222" s="149"/>
      <c r="AP222" s="149"/>
      <c r="AQ222" s="57"/>
      <c r="AR222" s="149"/>
      <c r="AS222" s="128"/>
      <c r="AT222" s="149">
        <v>44550</v>
      </c>
      <c r="AU222" s="149"/>
      <c r="AV222" s="214"/>
      <c r="AW222" s="149"/>
      <c r="AX222" s="128"/>
      <c r="AY222" s="197" t="s">
        <v>1940</v>
      </c>
      <c r="AZ222" s="161" t="str">
        <f t="shared" si="140"/>
        <v>N</v>
      </c>
      <c r="BA222" s="161" t="str">
        <f t="shared" si="141"/>
        <v>N</v>
      </c>
      <c r="BB222" s="161" t="str">
        <f t="shared" si="142"/>
        <v>N</v>
      </c>
      <c r="BC222" s="161" t="str">
        <f t="shared" si="143"/>
        <v>N</v>
      </c>
      <c r="BD222" s="161" t="str">
        <f t="shared" si="144"/>
        <v>N</v>
      </c>
      <c r="BE222" s="161" t="str">
        <f t="shared" si="145"/>
        <v>N</v>
      </c>
      <c r="BF222" s="161" t="str">
        <f t="shared" si="146"/>
        <v>N</v>
      </c>
      <c r="BG222" s="161" t="str">
        <f t="shared" si="147"/>
        <v>N</v>
      </c>
      <c r="BH222" s="161" t="str">
        <f t="shared" si="148"/>
        <v>N</v>
      </c>
      <c r="BI222" s="161" t="str">
        <f t="shared" si="149"/>
        <v>N</v>
      </c>
      <c r="BJ222" s="161" t="str">
        <f t="shared" si="150"/>
        <v>N</v>
      </c>
      <c r="BK222" s="161" t="str">
        <f t="shared" si="151"/>
        <v>N</v>
      </c>
      <c r="BL222" s="161" t="str">
        <f t="shared" si="152"/>
        <v>N</v>
      </c>
      <c r="BM222" s="161" t="str">
        <f t="shared" si="153"/>
        <v>N</v>
      </c>
      <c r="BN222" s="176" t="str">
        <f t="shared" si="154"/>
        <v>N</v>
      </c>
      <c r="BO222" s="222" t="s">
        <v>490</v>
      </c>
      <c r="BP222" s="174" t="str">
        <f t="shared" si="155"/>
        <v>深交所主板</v>
      </c>
      <c r="BQ222" s="219" t="s">
        <v>317</v>
      </c>
      <c r="BR222" s="173">
        <f t="shared" si="156"/>
        <v>41274</v>
      </c>
      <c r="BS222" s="171" t="str">
        <f t="shared" si="157"/>
        <v>N</v>
      </c>
    </row>
    <row r="223" spans="1:163" ht="15" customHeight="1" x14ac:dyDescent="0.25">
      <c r="A223" s="31">
        <v>78</v>
      </c>
      <c r="B223" s="223" t="s">
        <v>1941</v>
      </c>
      <c r="C223" s="57" t="s">
        <v>1942</v>
      </c>
      <c r="D223" s="57" t="s">
        <v>725</v>
      </c>
      <c r="E223" s="57" t="s">
        <v>1943</v>
      </c>
      <c r="F223" s="57" t="s">
        <v>1944</v>
      </c>
      <c r="G223" s="57" t="s">
        <v>315</v>
      </c>
      <c r="H223" s="32" t="s">
        <v>1847</v>
      </c>
      <c r="I223" s="78">
        <v>41702</v>
      </c>
      <c r="J223" s="78">
        <v>42614</v>
      </c>
      <c r="K223" s="85">
        <v>42814</v>
      </c>
      <c r="L223" s="226" t="s">
        <v>1945</v>
      </c>
      <c r="M223" s="69" t="s">
        <v>1946</v>
      </c>
      <c r="N223" s="69">
        <v>8</v>
      </c>
      <c r="O223" s="69" t="s">
        <v>1391</v>
      </c>
      <c r="P223" s="69" t="s">
        <v>1315</v>
      </c>
      <c r="Q223" s="32" t="s">
        <v>1947</v>
      </c>
      <c r="R223" s="85">
        <v>36853</v>
      </c>
      <c r="S223" s="197" t="s">
        <v>1021</v>
      </c>
      <c r="T223" s="161" t="s">
        <v>317</v>
      </c>
      <c r="U223" s="69" t="str">
        <f t="shared" si="159"/>
        <v>Y</v>
      </c>
      <c r="V223" s="57" t="s">
        <v>333</v>
      </c>
      <c r="W223" s="197" t="s">
        <v>1948</v>
      </c>
      <c r="X223" s="197" t="s">
        <v>334</v>
      </c>
      <c r="Y223" s="213">
        <v>60</v>
      </c>
      <c r="Z223" s="149">
        <f>5000*3+4000*6</f>
        <v>39000</v>
      </c>
      <c r="AA223" s="149">
        <v>5000</v>
      </c>
      <c r="AB223" s="214">
        <v>2006</v>
      </c>
      <c r="AC223" s="149">
        <f>450179392.47/10000</f>
        <v>45017.939247000002</v>
      </c>
      <c r="AD223" s="128">
        <f>AA223/AC223</f>
        <v>0.1110668343250119</v>
      </c>
      <c r="AE223" s="149">
        <v>18444</v>
      </c>
      <c r="AF223" s="149">
        <v>18444</v>
      </c>
      <c r="AG223" s="206">
        <v>2012</v>
      </c>
      <c r="AH223" s="149">
        <v>35254.42</v>
      </c>
      <c r="AI223" s="128">
        <f>AF223/AH223</f>
        <v>0.52316844242509164</v>
      </c>
      <c r="AJ223" s="149">
        <v>5265</v>
      </c>
      <c r="AK223" s="149">
        <v>5265</v>
      </c>
      <c r="AL223" s="214">
        <v>2012</v>
      </c>
      <c r="AM223" s="149">
        <v>3528.24</v>
      </c>
      <c r="AN223" s="128">
        <f>AK223/AM223</f>
        <v>1.4922454254812598</v>
      </c>
      <c r="AO223" s="149"/>
      <c r="AP223" s="149"/>
      <c r="AQ223" s="57"/>
      <c r="AR223" s="149"/>
      <c r="AS223" s="128"/>
      <c r="AT223" s="149"/>
      <c r="AU223" s="149"/>
      <c r="AV223" s="214"/>
      <c r="AW223" s="149"/>
      <c r="AX223" s="128"/>
      <c r="AY223" s="197" t="s">
        <v>1949</v>
      </c>
      <c r="AZ223" s="161" t="str">
        <f t="shared" si="140"/>
        <v>N</v>
      </c>
      <c r="BA223" s="161" t="str">
        <f t="shared" si="141"/>
        <v>N</v>
      </c>
      <c r="BB223" s="161" t="str">
        <f t="shared" si="142"/>
        <v>N</v>
      </c>
      <c r="BC223" s="161" t="str">
        <f t="shared" si="143"/>
        <v>Y</v>
      </c>
      <c r="BD223" s="161" t="str">
        <f t="shared" si="144"/>
        <v>N</v>
      </c>
      <c r="BE223" s="161" t="str">
        <f t="shared" si="145"/>
        <v>Y</v>
      </c>
      <c r="BF223" s="161" t="str">
        <f t="shared" si="146"/>
        <v>Y</v>
      </c>
      <c r="BG223" s="161" t="str">
        <f t="shared" si="147"/>
        <v>N</v>
      </c>
      <c r="BH223" s="161" t="str">
        <f t="shared" si="148"/>
        <v>N</v>
      </c>
      <c r="BI223" s="161" t="str">
        <f t="shared" si="149"/>
        <v>N</v>
      </c>
      <c r="BJ223" s="161" t="str">
        <f t="shared" si="150"/>
        <v>N</v>
      </c>
      <c r="BK223" s="161" t="str">
        <f t="shared" si="151"/>
        <v>N</v>
      </c>
      <c r="BL223" s="161" t="str">
        <f t="shared" si="152"/>
        <v>N</v>
      </c>
      <c r="BM223" s="161" t="str">
        <f t="shared" si="153"/>
        <v>Y</v>
      </c>
      <c r="BN223" s="176" t="str">
        <f t="shared" si="154"/>
        <v>Y</v>
      </c>
      <c r="BO223" s="222" t="s">
        <v>1950</v>
      </c>
      <c r="BP223" s="174" t="str">
        <f t="shared" si="155"/>
        <v>上交所主板</v>
      </c>
      <c r="BQ223" s="219" t="s">
        <v>317</v>
      </c>
      <c r="BR223" s="173">
        <f t="shared" si="156"/>
        <v>37621</v>
      </c>
      <c r="BS223" s="171" t="str">
        <f t="shared" si="157"/>
        <v>N</v>
      </c>
    </row>
    <row r="224" spans="1:163" ht="15" customHeight="1" x14ac:dyDescent="0.35">
      <c r="A224" s="31">
        <v>77</v>
      </c>
      <c r="B224" s="32" t="s">
        <v>1951</v>
      </c>
      <c r="C224" s="23" t="s">
        <v>1952</v>
      </c>
      <c r="D224" s="44" t="s">
        <v>686</v>
      </c>
      <c r="E224" s="44" t="s">
        <v>1204</v>
      </c>
      <c r="F224" s="58" t="s">
        <v>1953</v>
      </c>
      <c r="G224" s="42" t="s">
        <v>315</v>
      </c>
      <c r="H224" s="32" t="s">
        <v>327</v>
      </c>
      <c r="I224" s="78">
        <v>42439</v>
      </c>
      <c r="J224" s="78">
        <v>42549</v>
      </c>
      <c r="K224" s="78">
        <v>42579</v>
      </c>
      <c r="L224" s="79" t="s">
        <v>1954</v>
      </c>
      <c r="M224" s="198">
        <v>2014</v>
      </c>
      <c r="N224" s="23">
        <v>1</v>
      </c>
      <c r="O224" s="69" t="str">
        <f>IF(N224&lt;1,"1年以内",IF(N224&lt;2,"1-2年",IF(N224&lt;3,"2-3年",IF(N224&lt;5,"3-5年","5年以上"))))</f>
        <v>1-2年</v>
      </c>
      <c r="P224" s="69" t="s">
        <v>1627</v>
      </c>
      <c r="Q224" s="191" t="s">
        <v>371</v>
      </c>
      <c r="R224" s="80">
        <v>39660</v>
      </c>
      <c r="S224" s="44" t="s">
        <v>410</v>
      </c>
      <c r="T224" s="207" t="s">
        <v>317</v>
      </c>
      <c r="U224" s="69" t="str">
        <f t="shared" si="159"/>
        <v>N</v>
      </c>
      <c r="V224" s="44" t="s">
        <v>361</v>
      </c>
      <c r="W224" s="208" t="s">
        <v>361</v>
      </c>
      <c r="X224" s="44" t="s">
        <v>320</v>
      </c>
      <c r="Y224" s="229">
        <v>30</v>
      </c>
      <c r="Z224" s="216"/>
      <c r="AA224" s="148"/>
      <c r="AB224" s="44"/>
      <c r="AC224" s="148"/>
      <c r="AD224" s="128"/>
      <c r="AE224" s="148"/>
      <c r="AF224" s="148"/>
      <c r="AG224" s="218"/>
      <c r="AH224" s="147"/>
      <c r="AI224" s="128"/>
      <c r="AJ224" s="148"/>
      <c r="AK224" s="148"/>
      <c r="AL224" s="218"/>
      <c r="AM224" s="148"/>
      <c r="AN224" s="128"/>
      <c r="AO224" s="148"/>
      <c r="AP224" s="148"/>
      <c r="AQ224" s="44"/>
      <c r="AR224" s="148"/>
      <c r="AS224" s="128"/>
      <c r="AT224" s="148">
        <v>1140</v>
      </c>
      <c r="AU224" s="148">
        <v>1140</v>
      </c>
      <c r="AV224" s="218">
        <v>2014</v>
      </c>
      <c r="AW224" s="148">
        <f>1015402020.21/10000</f>
        <v>101540.202021</v>
      </c>
      <c r="AX224" s="159">
        <f>AU224/AW224</f>
        <v>1.1227080282588283E-2</v>
      </c>
      <c r="AY224" s="198" t="s">
        <v>1955</v>
      </c>
      <c r="AZ224" s="161" t="str">
        <f t="shared" si="140"/>
        <v>N</v>
      </c>
      <c r="BA224" s="161" t="str">
        <f t="shared" si="141"/>
        <v>N</v>
      </c>
      <c r="BB224" s="161" t="str">
        <f t="shared" si="142"/>
        <v>N</v>
      </c>
      <c r="BC224" s="161" t="str">
        <f t="shared" si="143"/>
        <v>N</v>
      </c>
      <c r="BD224" s="161" t="str">
        <f t="shared" si="144"/>
        <v>N</v>
      </c>
      <c r="BE224" s="161" t="str">
        <f t="shared" si="145"/>
        <v>N</v>
      </c>
      <c r="BF224" s="161" t="str">
        <f t="shared" si="146"/>
        <v>N</v>
      </c>
      <c r="BG224" s="161" t="str">
        <f t="shared" si="147"/>
        <v>N</v>
      </c>
      <c r="BH224" s="161" t="str">
        <f t="shared" si="148"/>
        <v>N</v>
      </c>
      <c r="BI224" s="161" t="str">
        <f t="shared" si="149"/>
        <v>N</v>
      </c>
      <c r="BJ224" s="161" t="str">
        <f t="shared" si="150"/>
        <v>N</v>
      </c>
      <c r="BK224" s="161" t="str">
        <f t="shared" si="151"/>
        <v>N</v>
      </c>
      <c r="BL224" s="161" t="str">
        <f t="shared" si="152"/>
        <v>N</v>
      </c>
      <c r="BM224" s="161" t="str">
        <f t="shared" si="153"/>
        <v>N</v>
      </c>
      <c r="BN224" s="176" t="str">
        <f t="shared" si="154"/>
        <v>N</v>
      </c>
      <c r="BO224" s="170" t="s">
        <v>401</v>
      </c>
      <c r="BP224" s="174" t="str">
        <f t="shared" si="155"/>
        <v>深交所主板</v>
      </c>
      <c r="BQ224" s="172" t="s">
        <v>317</v>
      </c>
      <c r="BR224" s="173">
        <f t="shared" si="156"/>
        <v>40543</v>
      </c>
      <c r="BS224" s="171" t="str">
        <f t="shared" si="157"/>
        <v>N</v>
      </c>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c r="ER224" s="7"/>
      <c r="ES224" s="7"/>
      <c r="ET224" s="7"/>
      <c r="EU224" s="7"/>
      <c r="EV224" s="7"/>
      <c r="EW224" s="7"/>
      <c r="EX224" s="7"/>
      <c r="EY224" s="7"/>
      <c r="EZ224" s="7"/>
      <c r="FA224" s="7"/>
      <c r="FB224" s="7"/>
      <c r="FC224" s="7"/>
      <c r="FD224" s="7"/>
      <c r="FE224" s="7"/>
      <c r="FF224" s="7"/>
      <c r="FG224" s="7"/>
    </row>
    <row r="225" spans="1:163" ht="15" customHeight="1" x14ac:dyDescent="0.35">
      <c r="A225" s="31">
        <v>76</v>
      </c>
      <c r="B225" s="32" t="s">
        <v>1956</v>
      </c>
      <c r="C225" s="23" t="s">
        <v>1957</v>
      </c>
      <c r="D225" s="44" t="s">
        <v>1958</v>
      </c>
      <c r="E225" s="44" t="s">
        <v>1959</v>
      </c>
      <c r="F225" s="58" t="s">
        <v>1960</v>
      </c>
      <c r="G225" s="42" t="s">
        <v>380</v>
      </c>
      <c r="H225" s="32" t="s">
        <v>327</v>
      </c>
      <c r="I225" s="78">
        <v>42185</v>
      </c>
      <c r="J225" s="78">
        <v>42534</v>
      </c>
      <c r="K225" s="78">
        <v>42557</v>
      </c>
      <c r="L225" s="79" t="s">
        <v>1961</v>
      </c>
      <c r="M225" s="198">
        <v>2013</v>
      </c>
      <c r="N225" s="23">
        <v>1</v>
      </c>
      <c r="O225" s="69" t="str">
        <f>IF(N225&lt;1,"1年以内",IF(N225&lt;2,"1-2年",IF(N225&lt;3,"2-3年",IF(N225&lt;5,"3-5年","5年以上"))))</f>
        <v>1-2年</v>
      </c>
      <c r="P225" s="69" t="s">
        <v>1703</v>
      </c>
      <c r="Q225" s="191" t="s">
        <v>1055</v>
      </c>
      <c r="R225" s="80">
        <v>35346</v>
      </c>
      <c r="S225" s="44" t="s">
        <v>606</v>
      </c>
      <c r="T225" s="207" t="s">
        <v>317</v>
      </c>
      <c r="U225" s="69" t="str">
        <f t="shared" si="159"/>
        <v>Y</v>
      </c>
      <c r="V225" s="44" t="s">
        <v>318</v>
      </c>
      <c r="W225" s="208" t="s">
        <v>1962</v>
      </c>
      <c r="X225" s="44" t="s">
        <v>320</v>
      </c>
      <c r="Y225" s="229">
        <v>40</v>
      </c>
      <c r="Z225" s="216">
        <f>759000000/10000</f>
        <v>75900</v>
      </c>
      <c r="AA225" s="216">
        <f>759000000/10000</f>
        <v>75900</v>
      </c>
      <c r="AB225" s="44">
        <v>2013</v>
      </c>
      <c r="AC225" s="148">
        <f>595611234.52/10000</f>
        <v>59561.123452</v>
      </c>
      <c r="AD225" s="128">
        <f>AA225/AC225</f>
        <v>1.2743211612045466</v>
      </c>
      <c r="AE225" s="148"/>
      <c r="AF225" s="148"/>
      <c r="AG225" s="218"/>
      <c r="AH225" s="147"/>
      <c r="AI225" s="128"/>
      <c r="AJ225" s="148"/>
      <c r="AK225" s="148"/>
      <c r="AL225" s="218"/>
      <c r="AM225" s="148"/>
      <c r="AN225" s="128"/>
      <c r="AO225" s="241"/>
      <c r="AP225" s="148"/>
      <c r="AQ225" s="44"/>
      <c r="AR225" s="148"/>
      <c r="AS225" s="128"/>
      <c r="AT225" s="148"/>
      <c r="AU225" s="148"/>
      <c r="AV225" s="218"/>
      <c r="AW225" s="148"/>
      <c r="AX225" s="159"/>
      <c r="AY225" s="198" t="s">
        <v>1963</v>
      </c>
      <c r="AZ225" s="161" t="str">
        <f t="shared" si="140"/>
        <v>N</v>
      </c>
      <c r="BA225" s="161" t="str">
        <f t="shared" si="141"/>
        <v>Y</v>
      </c>
      <c r="BB225" s="161" t="str">
        <f t="shared" si="142"/>
        <v>N</v>
      </c>
      <c r="BC225" s="161" t="str">
        <f t="shared" si="143"/>
        <v>N</v>
      </c>
      <c r="BD225" s="161" t="str">
        <f t="shared" si="144"/>
        <v>N</v>
      </c>
      <c r="BE225" s="161" t="str">
        <f t="shared" si="145"/>
        <v>N</v>
      </c>
      <c r="BF225" s="161" t="str">
        <f t="shared" si="146"/>
        <v>N</v>
      </c>
      <c r="BG225" s="161" t="str">
        <f t="shared" si="147"/>
        <v>N</v>
      </c>
      <c r="BH225" s="161" t="str">
        <f t="shared" si="148"/>
        <v>N</v>
      </c>
      <c r="BI225" s="161" t="str">
        <f t="shared" si="149"/>
        <v>N</v>
      </c>
      <c r="BJ225" s="161" t="str">
        <f t="shared" si="150"/>
        <v>N</v>
      </c>
      <c r="BK225" s="161" t="str">
        <f t="shared" si="151"/>
        <v>N</v>
      </c>
      <c r="BL225" s="161" t="str">
        <f t="shared" si="152"/>
        <v>N</v>
      </c>
      <c r="BM225" s="161" t="str">
        <f t="shared" si="153"/>
        <v>Y</v>
      </c>
      <c r="BN225" s="176" t="str">
        <f t="shared" si="154"/>
        <v>N</v>
      </c>
      <c r="BO225" s="170" t="s">
        <v>761</v>
      </c>
      <c r="BP225" s="174" t="str">
        <f t="shared" si="155"/>
        <v>深交所主板</v>
      </c>
      <c r="BQ225" s="172" t="s">
        <v>317</v>
      </c>
      <c r="BR225" s="173">
        <f t="shared" si="156"/>
        <v>36160</v>
      </c>
      <c r="BS225" s="171" t="str">
        <f t="shared" si="157"/>
        <v>N</v>
      </c>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c r="EM225" s="7"/>
      <c r="EN225" s="7"/>
      <c r="EO225" s="7"/>
      <c r="EP225" s="7"/>
      <c r="EQ225" s="7"/>
      <c r="ER225" s="7"/>
      <c r="ES225" s="7"/>
      <c r="ET225" s="7"/>
      <c r="EU225" s="7"/>
      <c r="EV225" s="7"/>
      <c r="EW225" s="7"/>
      <c r="EX225" s="7"/>
      <c r="EY225" s="7"/>
      <c r="EZ225" s="7"/>
      <c r="FA225" s="7"/>
      <c r="FB225" s="7"/>
      <c r="FC225" s="7"/>
      <c r="FD225" s="7"/>
      <c r="FE225" s="7"/>
      <c r="FF225" s="7"/>
      <c r="FG225" s="7"/>
    </row>
    <row r="226" spans="1:163" ht="15" customHeight="1" x14ac:dyDescent="0.35">
      <c r="A226" s="31">
        <v>75</v>
      </c>
      <c r="B226" s="32" t="s">
        <v>1964</v>
      </c>
      <c r="C226" s="23" t="s">
        <v>1965</v>
      </c>
      <c r="D226" s="44" t="s">
        <v>754</v>
      </c>
      <c r="E226" s="44" t="s">
        <v>1966</v>
      </c>
      <c r="F226" s="190" t="s">
        <v>1967</v>
      </c>
      <c r="G226" s="42" t="s">
        <v>315</v>
      </c>
      <c r="H226" s="32" t="s">
        <v>327</v>
      </c>
      <c r="I226" s="78">
        <v>42199</v>
      </c>
      <c r="J226" s="78">
        <v>42521</v>
      </c>
      <c r="K226" s="78">
        <v>42558</v>
      </c>
      <c r="L226" s="79" t="s">
        <v>1968</v>
      </c>
      <c r="M226" s="225" t="s">
        <v>1840</v>
      </c>
      <c r="N226" s="23">
        <v>4</v>
      </c>
      <c r="O226" s="69" t="str">
        <f>IF(N226&lt;1,"1年以内",IF(N226&lt;2,"1-2年",IF(N226&lt;3,"2-3年",IF(N226&lt;5,"3-5年","5年以上"))))</f>
        <v>3-5年</v>
      </c>
      <c r="P226" s="69" t="s">
        <v>1969</v>
      </c>
      <c r="Q226" s="191" t="s">
        <v>1135</v>
      </c>
      <c r="R226" s="80">
        <v>41666</v>
      </c>
      <c r="S226" s="44" t="s">
        <v>359</v>
      </c>
      <c r="T226" s="207" t="s">
        <v>317</v>
      </c>
      <c r="U226" s="69" t="str">
        <f t="shared" si="159"/>
        <v>Y</v>
      </c>
      <c r="V226" s="44" t="s">
        <v>434</v>
      </c>
      <c r="W226" s="208" t="s">
        <v>1970</v>
      </c>
      <c r="X226" s="44" t="s">
        <v>334</v>
      </c>
      <c r="Y226" s="229">
        <v>832</v>
      </c>
      <c r="Z226" s="216">
        <f>10156+12062+19940+9974+3384+6224+7478+659+726+1240+363+2421+1521+21232+14767+500+770</f>
        <v>113417</v>
      </c>
      <c r="AA226" s="148">
        <f>19940+6224+1240+2421+500+21232</f>
        <v>51557</v>
      </c>
      <c r="AB226" s="44">
        <v>2013</v>
      </c>
      <c r="AC226" s="148">
        <f>383703993.98/10000</f>
        <v>38370.399398000001</v>
      </c>
      <c r="AD226" s="128">
        <f>AA226/AC226</f>
        <v>1.343665971918117</v>
      </c>
      <c r="AE226" s="148"/>
      <c r="AF226" s="148"/>
      <c r="AG226" s="218"/>
      <c r="AH226" s="147"/>
      <c r="AI226" s="128"/>
      <c r="AJ226" s="148"/>
      <c r="AK226" s="148"/>
      <c r="AL226" s="218"/>
      <c r="AM226" s="148"/>
      <c r="AN226" s="128"/>
      <c r="AO226" s="148"/>
      <c r="AP226" s="148"/>
      <c r="AQ226" s="44"/>
      <c r="AR226" s="148"/>
      <c r="AS226" s="128"/>
      <c r="AT226" s="148">
        <v>6388</v>
      </c>
      <c r="AU226" s="148">
        <v>6388</v>
      </c>
      <c r="AV226" s="218">
        <v>2014</v>
      </c>
      <c r="AW226" s="148">
        <f>631850850.57/10000</f>
        <v>63185.085057000004</v>
      </c>
      <c r="AX226" s="159">
        <f>AU226/AW226</f>
        <v>0.10109980851077925</v>
      </c>
      <c r="AY226" s="198" t="s">
        <v>1971</v>
      </c>
      <c r="AZ226" s="161" t="str">
        <f t="shared" ref="AZ226:AZ257" si="160">IFERROR(IF(Z226&gt;100000,"Y","N"),"N")</f>
        <v>Y</v>
      </c>
      <c r="BA226" s="161" t="str">
        <f t="shared" ref="BA226:BA257" si="161">IFERROR(IF(AD226&gt;0.5,"Y","N"),"N")</f>
        <v>Y</v>
      </c>
      <c r="BB226" s="161" t="str">
        <f t="shared" ref="BB226:BB257" si="162">IFERROR(IF(AE226&gt;100000,"Y","N"),"N")</f>
        <v>N</v>
      </c>
      <c r="BC226" s="161" t="str">
        <f t="shared" ref="BC226:BC257" si="163">IFERROR(IF(AI226&gt;0.5,"Y","N"),"N")</f>
        <v>N</v>
      </c>
      <c r="BD226" s="161" t="str">
        <f t="shared" ref="BD226:BD257" si="164">IFERROR(IF(AJ226&gt;100000,"Y","N"),"N")</f>
        <v>N</v>
      </c>
      <c r="BE226" s="161" t="str">
        <f t="shared" ref="BE226:BE257" si="165">IFERROR(IF(AN226&gt;0.5,"Y","N"),"N")</f>
        <v>N</v>
      </c>
      <c r="BF226" s="161" t="str">
        <f t="shared" ref="BF226:BF257" si="166">IFERROR(IF(AND(AM226-AK226&lt;0,AM226&gt;0),"Y","N"),"N")</f>
        <v>N</v>
      </c>
      <c r="BG226" s="161" t="str">
        <f t="shared" ref="BG226:BG257" si="167">IFERROR(IF(AO226&gt;100000,"Y","N"),"N")</f>
        <v>N</v>
      </c>
      <c r="BH226" s="161" t="str">
        <f t="shared" ref="BH226:BH257" si="168">IFERROR(IF(AS226&gt;0.5,"Y","N"),"N")</f>
        <v>N</v>
      </c>
      <c r="BI226" s="161" t="str">
        <f t="shared" ref="BI226:BI257" si="169">IFERROR(IF(AND(AR226-AP226&lt;0,AR226&gt;0),"Y","N"),"N")</f>
        <v>N</v>
      </c>
      <c r="BJ226" s="161" t="str">
        <f t="shared" ref="BJ226:BJ257" si="170">IFERROR(IF(AT226&gt;100000,"Y","N"),"N")</f>
        <v>N</v>
      </c>
      <c r="BK226" s="161" t="str">
        <f t="shared" ref="BK226:BK257" si="171">IFERROR(IF(AX226&gt;0.5,"Y","N"),"N")</f>
        <v>N</v>
      </c>
      <c r="BL226" s="161" t="str">
        <f t="shared" ref="BL226:BL257" si="172">IF(OR(AZ226="Y",BB226="Y",BD226="Y",BG226="Y",BJ226="Y"),"Y","N")</f>
        <v>Y</v>
      </c>
      <c r="BM226" s="161" t="str">
        <f t="shared" ref="BM226:BM257" si="173">IF(OR(BA226="Y",BC226="Y",BE226="Y",BH226="Y",BK226="Y"),"Y","N")</f>
        <v>Y</v>
      </c>
      <c r="BN226" s="176" t="str">
        <f t="shared" ref="BN226:BN257" si="174">IF(OR(BF226="Y",BI226="Y"),"Y","N")</f>
        <v>N</v>
      </c>
      <c r="BO226" s="170" t="s">
        <v>1263</v>
      </c>
      <c r="BP226" s="174" t="str">
        <f t="shared" ref="BP226:BP257" si="175">IF(LEFT(B226,2)="00","深交所主板",IF(LEFT(B226,2)="60","上交所主板",IF(LEFT(B226,2)="30","深交所创业板",IF(LEFT(B226,3)="688","上交所科创板",IF(RIGHT(B226,2)="BJ","北交所","")))))</f>
        <v>深交所创业板</v>
      </c>
      <c r="BQ226" s="172" t="s">
        <v>317</v>
      </c>
      <c r="BR226" s="173">
        <f t="shared" ref="BR226:BR257" si="176">IF(OR(BP226="上交所主板",BP226="深交所主板"),DATE(YEAR(R226)+2,12,31),IF(OR(BP226="上交所科创板",BP226="深交所创业板",,BP226="北交所"),DATE(YEAR(R226)+3,12,31),""))</f>
        <v>43100</v>
      </c>
      <c r="BS226" s="171" t="str">
        <f t="shared" ref="BS226:BS257" si="177">IF(BQ226="是","N",IF(OR(R226="-",LEFT(R226)="A"),"Y",IF(OR(LEFT(M226,4)-YEAR(BR226)&gt;0,RIGHT(M226,4)-(YEAR(R226)-3)&lt;0),"N","Y")))</f>
        <v>Y</v>
      </c>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c r="ER226" s="7"/>
      <c r="ES226" s="7"/>
      <c r="ET226" s="7"/>
      <c r="EU226" s="7"/>
      <c r="EV226" s="7"/>
      <c r="EW226" s="7"/>
      <c r="EX226" s="7"/>
      <c r="EY226" s="7"/>
      <c r="EZ226" s="7"/>
      <c r="FA226" s="7"/>
      <c r="FB226" s="7"/>
      <c r="FC226" s="7"/>
      <c r="FD226" s="7"/>
      <c r="FE226" s="7"/>
      <c r="FF226" s="7"/>
      <c r="FG226" s="7"/>
    </row>
    <row r="227" spans="1:163" ht="15" customHeight="1" x14ac:dyDescent="0.25">
      <c r="A227" s="31">
        <v>74</v>
      </c>
      <c r="B227" s="223" t="s">
        <v>1972</v>
      </c>
      <c r="C227" s="57" t="s">
        <v>1973</v>
      </c>
      <c r="D227" s="57" t="s">
        <v>809</v>
      </c>
      <c r="E227" s="57" t="s">
        <v>965</v>
      </c>
      <c r="F227" s="57" t="s">
        <v>1974</v>
      </c>
      <c r="G227" s="57" t="s">
        <v>354</v>
      </c>
      <c r="H227" s="32" t="s">
        <v>327</v>
      </c>
      <c r="I227" s="78">
        <v>42342</v>
      </c>
      <c r="J227" s="78">
        <v>42489</v>
      </c>
      <c r="K227" s="85">
        <v>42496</v>
      </c>
      <c r="L227" s="226" t="s">
        <v>1975</v>
      </c>
      <c r="M227" s="69" t="s">
        <v>1806</v>
      </c>
      <c r="N227" s="69">
        <v>2.5</v>
      </c>
      <c r="O227" s="69" t="s">
        <v>1305</v>
      </c>
      <c r="P227" s="69" t="s">
        <v>1976</v>
      </c>
      <c r="Q227" s="32" t="s">
        <v>1821</v>
      </c>
      <c r="R227" s="85">
        <v>39588</v>
      </c>
      <c r="S227" s="197" t="s">
        <v>707</v>
      </c>
      <c r="T227" s="161" t="s">
        <v>345</v>
      </c>
      <c r="U227" s="69" t="str">
        <f t="shared" si="159"/>
        <v>Y</v>
      </c>
      <c r="V227" s="57" t="s">
        <v>607</v>
      </c>
      <c r="W227" s="197" t="s">
        <v>1599</v>
      </c>
      <c r="X227" s="197" t="s">
        <v>320</v>
      </c>
      <c r="Y227" s="213">
        <v>30</v>
      </c>
      <c r="Z227" s="149">
        <f>21000*2+30400*2+51740*2+45500*2</f>
        <v>297280</v>
      </c>
      <c r="AA227" s="149">
        <v>103480</v>
      </c>
      <c r="AB227" s="214">
        <v>2014</v>
      </c>
      <c r="AC227" s="149">
        <v>358664.40363700001</v>
      </c>
      <c r="AD227" s="128">
        <f>AA227/AC227</f>
        <v>0.28851483155471119</v>
      </c>
      <c r="AE227" s="149"/>
      <c r="AF227" s="149"/>
      <c r="AG227" s="206"/>
      <c r="AH227" s="149"/>
      <c r="AI227" s="128"/>
      <c r="AJ227" s="149"/>
      <c r="AK227" s="149"/>
      <c r="AL227" s="214"/>
      <c r="AM227" s="149"/>
      <c r="AN227" s="128"/>
      <c r="AO227" s="230"/>
      <c r="AP227" s="149"/>
      <c r="AQ227" s="57"/>
      <c r="AR227" s="149"/>
      <c r="AS227" s="128"/>
      <c r="AT227" s="149">
        <f>35000+110810+79730+3500</f>
        <v>229040</v>
      </c>
      <c r="AU227" s="149">
        <v>110810</v>
      </c>
      <c r="AV227" s="214">
        <v>2014</v>
      </c>
      <c r="AW227" s="149">
        <v>358664.40363700001</v>
      </c>
      <c r="AX227" s="128">
        <f>AU227/AW227</f>
        <v>0.30895176347678338</v>
      </c>
      <c r="AY227" s="197" t="s">
        <v>1977</v>
      </c>
      <c r="AZ227" s="161" t="str">
        <f t="shared" si="160"/>
        <v>Y</v>
      </c>
      <c r="BA227" s="161" t="str">
        <f t="shared" si="161"/>
        <v>N</v>
      </c>
      <c r="BB227" s="161" t="str">
        <f t="shared" si="162"/>
        <v>N</v>
      </c>
      <c r="BC227" s="161" t="str">
        <f t="shared" si="163"/>
        <v>N</v>
      </c>
      <c r="BD227" s="161" t="str">
        <f t="shared" si="164"/>
        <v>N</v>
      </c>
      <c r="BE227" s="161" t="str">
        <f t="shared" si="165"/>
        <v>N</v>
      </c>
      <c r="BF227" s="161" t="str">
        <f t="shared" si="166"/>
        <v>N</v>
      </c>
      <c r="BG227" s="161" t="str">
        <f t="shared" si="167"/>
        <v>N</v>
      </c>
      <c r="BH227" s="161" t="str">
        <f t="shared" si="168"/>
        <v>N</v>
      </c>
      <c r="BI227" s="161" t="str">
        <f t="shared" si="169"/>
        <v>N</v>
      </c>
      <c r="BJ227" s="161" t="str">
        <f t="shared" si="170"/>
        <v>Y</v>
      </c>
      <c r="BK227" s="161" t="str">
        <f t="shared" si="171"/>
        <v>N</v>
      </c>
      <c r="BL227" s="161" t="str">
        <f t="shared" si="172"/>
        <v>Y</v>
      </c>
      <c r="BM227" s="161" t="str">
        <f t="shared" si="173"/>
        <v>N</v>
      </c>
      <c r="BN227" s="176" t="str">
        <f t="shared" si="174"/>
        <v>N</v>
      </c>
      <c r="BO227" s="222" t="s">
        <v>1978</v>
      </c>
      <c r="BP227" s="174" t="str">
        <f t="shared" si="175"/>
        <v>深交所主板</v>
      </c>
      <c r="BQ227" s="219" t="s">
        <v>317</v>
      </c>
      <c r="BR227" s="173">
        <f t="shared" si="176"/>
        <v>40543</v>
      </c>
      <c r="BS227" s="171" t="str">
        <f t="shared" si="177"/>
        <v>N</v>
      </c>
    </row>
    <row r="228" spans="1:163" ht="15" customHeight="1" x14ac:dyDescent="0.25">
      <c r="A228" s="31">
        <v>73</v>
      </c>
      <c r="B228" s="223" t="s">
        <v>1979</v>
      </c>
      <c r="C228" s="57" t="s">
        <v>1980</v>
      </c>
      <c r="D228" s="57" t="s">
        <v>1870</v>
      </c>
      <c r="E228" s="57" t="s">
        <v>1981</v>
      </c>
      <c r="F228" s="57" t="s">
        <v>1982</v>
      </c>
      <c r="G228" s="57" t="s">
        <v>315</v>
      </c>
      <c r="H228" s="32" t="s">
        <v>368</v>
      </c>
      <c r="I228" s="78">
        <v>42145</v>
      </c>
      <c r="J228" s="85">
        <v>42480</v>
      </c>
      <c r="K228" s="85">
        <v>42480</v>
      </c>
      <c r="L228" s="226" t="s">
        <v>1983</v>
      </c>
      <c r="M228" s="69">
        <v>2014</v>
      </c>
      <c r="N228" s="69">
        <v>0.75</v>
      </c>
      <c r="O228" s="69" t="s">
        <v>1495</v>
      </c>
      <c r="P228" s="69" t="s">
        <v>1984</v>
      </c>
      <c r="Q228" s="32" t="s">
        <v>507</v>
      </c>
      <c r="R228" s="85">
        <v>37664</v>
      </c>
      <c r="S228" s="197" t="s">
        <v>1048</v>
      </c>
      <c r="T228" s="161" t="s">
        <v>317</v>
      </c>
      <c r="U228" s="69" t="str">
        <f t="shared" si="159"/>
        <v>Y</v>
      </c>
      <c r="V228" s="57" t="s">
        <v>361</v>
      </c>
      <c r="W228" s="197" t="s">
        <v>361</v>
      </c>
      <c r="X228" s="197" t="s">
        <v>320</v>
      </c>
      <c r="Y228" s="213">
        <v>60</v>
      </c>
      <c r="Z228" s="149"/>
      <c r="AA228" s="149"/>
      <c r="AB228" s="214"/>
      <c r="AC228" s="149"/>
      <c r="AD228" s="128"/>
      <c r="AE228" s="230"/>
      <c r="AF228" s="149"/>
      <c r="AG228" s="206"/>
      <c r="AH228" s="149"/>
      <c r="AI228" s="128"/>
      <c r="AJ228" s="149"/>
      <c r="AK228" s="149"/>
      <c r="AL228" s="214"/>
      <c r="AM228" s="149"/>
      <c r="AN228" s="128"/>
      <c r="AO228" s="149"/>
      <c r="AP228" s="149"/>
      <c r="AQ228" s="57"/>
      <c r="AR228" s="149"/>
      <c r="AS228" s="128"/>
      <c r="AT228" s="149">
        <f>(15.16+25.64)*10000</f>
        <v>408000</v>
      </c>
      <c r="AU228" s="149">
        <f>(15.16+25.64)*10000</f>
        <v>408000</v>
      </c>
      <c r="AV228" s="214">
        <v>2014</v>
      </c>
      <c r="AW228" s="149">
        <v>198595.226818</v>
      </c>
      <c r="AX228" s="128">
        <f>AU228/AW228</f>
        <v>2.0544300411303755</v>
      </c>
      <c r="AY228" s="197" t="s">
        <v>1985</v>
      </c>
      <c r="AZ228" s="161" t="str">
        <f t="shared" si="160"/>
        <v>N</v>
      </c>
      <c r="BA228" s="161" t="str">
        <f t="shared" si="161"/>
        <v>N</v>
      </c>
      <c r="BB228" s="161" t="str">
        <f t="shared" si="162"/>
        <v>N</v>
      </c>
      <c r="BC228" s="161" t="str">
        <f t="shared" si="163"/>
        <v>N</v>
      </c>
      <c r="BD228" s="161" t="str">
        <f t="shared" si="164"/>
        <v>N</v>
      </c>
      <c r="BE228" s="161" t="str">
        <f t="shared" si="165"/>
        <v>N</v>
      </c>
      <c r="BF228" s="161" t="str">
        <f t="shared" si="166"/>
        <v>N</v>
      </c>
      <c r="BG228" s="161" t="str">
        <f t="shared" si="167"/>
        <v>N</v>
      </c>
      <c r="BH228" s="161" t="str">
        <f t="shared" si="168"/>
        <v>N</v>
      </c>
      <c r="BI228" s="161" t="str">
        <f t="shared" si="169"/>
        <v>N</v>
      </c>
      <c r="BJ228" s="161" t="str">
        <f t="shared" si="170"/>
        <v>Y</v>
      </c>
      <c r="BK228" s="161" t="str">
        <f t="shared" si="171"/>
        <v>Y</v>
      </c>
      <c r="BL228" s="161" t="str">
        <f t="shared" si="172"/>
        <v>Y</v>
      </c>
      <c r="BM228" s="161" t="str">
        <f t="shared" si="173"/>
        <v>Y</v>
      </c>
      <c r="BN228" s="176" t="str">
        <f t="shared" si="174"/>
        <v>N</v>
      </c>
      <c r="BO228" s="222" t="s">
        <v>1986</v>
      </c>
      <c r="BP228" s="174" t="str">
        <f t="shared" si="175"/>
        <v>上交所主板</v>
      </c>
      <c r="BQ228" s="219" t="s">
        <v>317</v>
      </c>
      <c r="BR228" s="173">
        <f t="shared" si="176"/>
        <v>38717</v>
      </c>
      <c r="BS228" s="171" t="str">
        <f t="shared" si="177"/>
        <v>N</v>
      </c>
    </row>
    <row r="229" spans="1:163" ht="15" customHeight="1" x14ac:dyDescent="0.25">
      <c r="A229" s="31">
        <v>72</v>
      </c>
      <c r="B229" s="223" t="s">
        <v>1987</v>
      </c>
      <c r="C229" s="57" t="s">
        <v>1988</v>
      </c>
      <c r="D229" s="57" t="s">
        <v>351</v>
      </c>
      <c r="E229" s="57" t="s">
        <v>404</v>
      </c>
      <c r="F229" s="57" t="s">
        <v>1989</v>
      </c>
      <c r="G229" s="57" t="s">
        <v>354</v>
      </c>
      <c r="H229" s="32" t="s">
        <v>327</v>
      </c>
      <c r="I229" s="78">
        <v>42230</v>
      </c>
      <c r="J229" s="78">
        <v>42479</v>
      </c>
      <c r="K229" s="85">
        <v>42668</v>
      </c>
      <c r="L229" s="226" t="s">
        <v>1990</v>
      </c>
      <c r="M229" s="69" t="s">
        <v>1991</v>
      </c>
      <c r="N229" s="69">
        <v>2</v>
      </c>
      <c r="O229" s="69" t="s">
        <v>1305</v>
      </c>
      <c r="P229" s="69" t="s">
        <v>1315</v>
      </c>
      <c r="Q229" s="32" t="s">
        <v>1992</v>
      </c>
      <c r="R229" s="85">
        <v>40765</v>
      </c>
      <c r="S229" s="197" t="s">
        <v>628</v>
      </c>
      <c r="T229" s="161" t="s">
        <v>345</v>
      </c>
      <c r="U229" s="69" t="str">
        <f t="shared" si="159"/>
        <v>Y</v>
      </c>
      <c r="V229" s="57" t="s">
        <v>398</v>
      </c>
      <c r="W229" s="197" t="s">
        <v>1993</v>
      </c>
      <c r="X229" s="197" t="s">
        <v>334</v>
      </c>
      <c r="Y229" s="213">
        <v>60</v>
      </c>
      <c r="Z229" s="149">
        <f>9093.4+7829.42</f>
        <v>16922.82</v>
      </c>
      <c r="AA229" s="149">
        <v>9093.4</v>
      </c>
      <c r="AB229" s="214">
        <v>2013</v>
      </c>
      <c r="AC229" s="149">
        <v>214307.22921300001</v>
      </c>
      <c r="AD229" s="128">
        <f>AA229/AC229</f>
        <v>4.2431606406343234E-2</v>
      </c>
      <c r="AE229" s="149">
        <f>57529.73+49363.26</f>
        <v>106892.99</v>
      </c>
      <c r="AF229" s="149">
        <v>57529.73</v>
      </c>
      <c r="AG229" s="206">
        <v>2013</v>
      </c>
      <c r="AH229" s="149">
        <v>326838.27103399998</v>
      </c>
      <c r="AI229" s="128">
        <f>AF229/AH229</f>
        <v>0.17601895218083369</v>
      </c>
      <c r="AJ229" s="149">
        <f>9093.4+7829.42+1912.89+5031.48+10419.02+3711.41+494.15+1565.82</f>
        <v>40057.589999999997</v>
      </c>
      <c r="AK229" s="149">
        <f>9093.4+1912.89+10419.02+494.15</f>
        <v>21919.46</v>
      </c>
      <c r="AL229" s="214">
        <v>2013</v>
      </c>
      <c r="AM229" s="149">
        <v>17120.758656999998</v>
      </c>
      <c r="AN229" s="128">
        <f>AK229/AM229</f>
        <v>1.2802855550468262</v>
      </c>
      <c r="AO229" s="149"/>
      <c r="AP229" s="149"/>
      <c r="AQ229" s="57"/>
      <c r="AR229" s="149"/>
      <c r="AS229" s="128"/>
      <c r="AT229" s="149"/>
      <c r="AU229" s="149"/>
      <c r="AV229" s="214"/>
      <c r="AW229" s="149"/>
      <c r="AX229" s="128"/>
      <c r="AY229" s="197" t="s">
        <v>1994</v>
      </c>
      <c r="AZ229" s="161" t="str">
        <f t="shared" si="160"/>
        <v>N</v>
      </c>
      <c r="BA229" s="161" t="str">
        <f t="shared" si="161"/>
        <v>N</v>
      </c>
      <c r="BB229" s="161" t="str">
        <f t="shared" si="162"/>
        <v>Y</v>
      </c>
      <c r="BC229" s="161" t="str">
        <f t="shared" si="163"/>
        <v>N</v>
      </c>
      <c r="BD229" s="161" t="str">
        <f t="shared" si="164"/>
        <v>N</v>
      </c>
      <c r="BE229" s="161" t="str">
        <f t="shared" si="165"/>
        <v>Y</v>
      </c>
      <c r="BF229" s="161" t="str">
        <f t="shared" si="166"/>
        <v>Y</v>
      </c>
      <c r="BG229" s="161" t="str">
        <f t="shared" si="167"/>
        <v>N</v>
      </c>
      <c r="BH229" s="161" t="str">
        <f t="shared" si="168"/>
        <v>N</v>
      </c>
      <c r="BI229" s="161" t="str">
        <f t="shared" si="169"/>
        <v>N</v>
      </c>
      <c r="BJ229" s="161" t="str">
        <f t="shared" si="170"/>
        <v>N</v>
      </c>
      <c r="BK229" s="161" t="str">
        <f t="shared" si="171"/>
        <v>N</v>
      </c>
      <c r="BL229" s="161" t="str">
        <f t="shared" si="172"/>
        <v>Y</v>
      </c>
      <c r="BM229" s="161" t="str">
        <f t="shared" si="173"/>
        <v>Y</v>
      </c>
      <c r="BN229" s="176" t="str">
        <f t="shared" si="174"/>
        <v>Y</v>
      </c>
      <c r="BO229" s="222" t="s">
        <v>663</v>
      </c>
      <c r="BP229" s="174" t="str">
        <f t="shared" si="175"/>
        <v>深交所主板</v>
      </c>
      <c r="BQ229" s="219" t="s">
        <v>317</v>
      </c>
      <c r="BR229" s="173">
        <f t="shared" si="176"/>
        <v>41639</v>
      </c>
      <c r="BS229" s="171" t="str">
        <f t="shared" si="177"/>
        <v>Y</v>
      </c>
    </row>
    <row r="230" spans="1:163" ht="15" customHeight="1" x14ac:dyDescent="0.25">
      <c r="A230" s="31">
        <v>71</v>
      </c>
      <c r="B230" s="223" t="s">
        <v>1995</v>
      </c>
      <c r="C230" s="57" t="s">
        <v>1996</v>
      </c>
      <c r="D230" s="57" t="s">
        <v>574</v>
      </c>
      <c r="E230" s="57" t="s">
        <v>575</v>
      </c>
      <c r="F230" s="57" t="s">
        <v>1997</v>
      </c>
      <c r="G230" s="57" t="s">
        <v>315</v>
      </c>
      <c r="H230" s="32" t="s">
        <v>327</v>
      </c>
      <c r="I230" s="78">
        <v>41821</v>
      </c>
      <c r="J230" s="78">
        <v>42340</v>
      </c>
      <c r="K230" s="85">
        <v>42447</v>
      </c>
      <c r="L230" s="226" t="s">
        <v>1998</v>
      </c>
      <c r="M230" s="69" t="s">
        <v>1917</v>
      </c>
      <c r="N230" s="69">
        <v>1</v>
      </c>
      <c r="O230" s="69" t="s">
        <v>1258</v>
      </c>
      <c r="P230" s="69" t="s">
        <v>1315</v>
      </c>
      <c r="Q230" s="32" t="s">
        <v>1999</v>
      </c>
      <c r="R230" s="85">
        <v>35409</v>
      </c>
      <c r="S230" s="197" t="s">
        <v>669</v>
      </c>
      <c r="T230" s="161" t="s">
        <v>317</v>
      </c>
      <c r="U230" s="69" t="str">
        <f t="shared" si="159"/>
        <v>N</v>
      </c>
      <c r="V230" s="57" t="s">
        <v>361</v>
      </c>
      <c r="W230" s="197" t="s">
        <v>361</v>
      </c>
      <c r="X230" s="197" t="s">
        <v>320</v>
      </c>
      <c r="Y230" s="213">
        <v>60</v>
      </c>
      <c r="Z230" s="149"/>
      <c r="AA230" s="149"/>
      <c r="AB230" s="214"/>
      <c r="AC230" s="149"/>
      <c r="AD230" s="128"/>
      <c r="AE230" s="149"/>
      <c r="AF230" s="149"/>
      <c r="AG230" s="206"/>
      <c r="AH230" s="149"/>
      <c r="AI230" s="128"/>
      <c r="AJ230" s="149"/>
      <c r="AK230" s="149"/>
      <c r="AL230" s="214"/>
      <c r="AM230" s="149"/>
      <c r="AN230" s="128"/>
      <c r="AO230" s="149"/>
      <c r="AP230" s="149"/>
      <c r="AQ230" s="57"/>
      <c r="AR230" s="149"/>
      <c r="AS230" s="128"/>
      <c r="AT230" s="149">
        <v>46850</v>
      </c>
      <c r="AU230" s="149">
        <v>31700</v>
      </c>
      <c r="AV230" s="214">
        <v>2013</v>
      </c>
      <c r="AW230" s="149">
        <v>74722.789999999994</v>
      </c>
      <c r="AX230" s="128">
        <f>AU230/AW230</f>
        <v>0.42423469466276625</v>
      </c>
      <c r="AY230" s="197" t="s">
        <v>2000</v>
      </c>
      <c r="AZ230" s="161" t="str">
        <f t="shared" si="160"/>
        <v>N</v>
      </c>
      <c r="BA230" s="161" t="str">
        <f t="shared" si="161"/>
        <v>N</v>
      </c>
      <c r="BB230" s="161" t="str">
        <f t="shared" si="162"/>
        <v>N</v>
      </c>
      <c r="BC230" s="161" t="str">
        <f t="shared" si="163"/>
        <v>N</v>
      </c>
      <c r="BD230" s="161" t="str">
        <f t="shared" si="164"/>
        <v>N</v>
      </c>
      <c r="BE230" s="161" t="str">
        <f t="shared" si="165"/>
        <v>N</v>
      </c>
      <c r="BF230" s="161" t="str">
        <f t="shared" si="166"/>
        <v>N</v>
      </c>
      <c r="BG230" s="161" t="str">
        <f t="shared" si="167"/>
        <v>N</v>
      </c>
      <c r="BH230" s="161" t="str">
        <f t="shared" si="168"/>
        <v>N</v>
      </c>
      <c r="BI230" s="161" t="str">
        <f t="shared" si="169"/>
        <v>N</v>
      </c>
      <c r="BJ230" s="161" t="str">
        <f t="shared" si="170"/>
        <v>N</v>
      </c>
      <c r="BK230" s="161" t="str">
        <f t="shared" si="171"/>
        <v>N</v>
      </c>
      <c r="BL230" s="161" t="str">
        <f t="shared" si="172"/>
        <v>N</v>
      </c>
      <c r="BM230" s="161" t="str">
        <f t="shared" si="173"/>
        <v>N</v>
      </c>
      <c r="BN230" s="176" t="str">
        <f t="shared" si="174"/>
        <v>N</v>
      </c>
      <c r="BO230" s="222" t="s">
        <v>2001</v>
      </c>
      <c r="BP230" s="174" t="str">
        <f t="shared" si="175"/>
        <v>深交所主板</v>
      </c>
      <c r="BQ230" s="219" t="s">
        <v>317</v>
      </c>
      <c r="BR230" s="173">
        <f t="shared" si="176"/>
        <v>36160</v>
      </c>
      <c r="BS230" s="171" t="str">
        <f t="shared" si="177"/>
        <v>N</v>
      </c>
    </row>
    <row r="231" spans="1:163" ht="15" customHeight="1" x14ac:dyDescent="0.25">
      <c r="A231" s="31">
        <v>70</v>
      </c>
      <c r="B231" s="223" t="s">
        <v>2002</v>
      </c>
      <c r="C231" s="57" t="s">
        <v>2003</v>
      </c>
      <c r="D231" s="57" t="s">
        <v>1476</v>
      </c>
      <c r="E231" s="57" t="s">
        <v>1501</v>
      </c>
      <c r="F231" s="57" t="s">
        <v>2004</v>
      </c>
      <c r="G231" s="57" t="s">
        <v>315</v>
      </c>
      <c r="H231" s="32" t="s">
        <v>368</v>
      </c>
      <c r="I231" s="78">
        <v>42160</v>
      </c>
      <c r="J231" s="78">
        <v>42327</v>
      </c>
      <c r="K231" s="85">
        <v>42422</v>
      </c>
      <c r="L231" s="226" t="s">
        <v>2005</v>
      </c>
      <c r="M231" s="69" t="s">
        <v>2006</v>
      </c>
      <c r="N231" s="69">
        <v>4</v>
      </c>
      <c r="O231" s="69" t="s">
        <v>1314</v>
      </c>
      <c r="P231" s="69" t="s">
        <v>1315</v>
      </c>
      <c r="Q231" s="32" t="s">
        <v>2007</v>
      </c>
      <c r="R231" s="85">
        <v>35489</v>
      </c>
      <c r="S231" s="197" t="s">
        <v>669</v>
      </c>
      <c r="T231" s="161" t="s">
        <v>317</v>
      </c>
      <c r="U231" s="69" t="str">
        <f t="shared" si="159"/>
        <v>Y</v>
      </c>
      <c r="V231" s="57" t="s">
        <v>318</v>
      </c>
      <c r="W231" s="197" t="s">
        <v>2008</v>
      </c>
      <c r="X231" s="197" t="s">
        <v>320</v>
      </c>
      <c r="Y231" s="213">
        <v>60</v>
      </c>
      <c r="Z231" s="149"/>
      <c r="AA231" s="149"/>
      <c r="AB231" s="214"/>
      <c r="AC231" s="149"/>
      <c r="AD231" s="128"/>
      <c r="AE231" s="149">
        <v>9167.3912</v>
      </c>
      <c r="AF231" s="149">
        <v>4122.6983</v>
      </c>
      <c r="AG231" s="206">
        <v>2011</v>
      </c>
      <c r="AH231" s="149">
        <v>4122.7</v>
      </c>
      <c r="AI231" s="128">
        <f>AF231/AH231</f>
        <v>0.99999958764887098</v>
      </c>
      <c r="AJ231" s="149">
        <f>(9714582+41226983+10559252+20431612+9741483+5355085*2+2570440.8*2+2377904.37)/10000</f>
        <v>10990.286797000001</v>
      </c>
      <c r="AK231" s="149">
        <v>494.83451700000001</v>
      </c>
      <c r="AL231" s="214">
        <v>2013</v>
      </c>
      <c r="AM231" s="149">
        <v>16583.900000000001</v>
      </c>
      <c r="AN231" s="128">
        <f>AK231/AM231</f>
        <v>2.9838247758368054E-2</v>
      </c>
      <c r="AO231" s="149"/>
      <c r="AP231" s="149"/>
      <c r="AQ231" s="57"/>
      <c r="AR231" s="149"/>
      <c r="AS231" s="128"/>
      <c r="AT231" s="149"/>
      <c r="AU231" s="149"/>
      <c r="AV231" s="214"/>
      <c r="AW231" s="149"/>
      <c r="AX231" s="128"/>
      <c r="AY231" s="197" t="s">
        <v>2009</v>
      </c>
      <c r="AZ231" s="161" t="str">
        <f t="shared" si="160"/>
        <v>N</v>
      </c>
      <c r="BA231" s="161" t="str">
        <f t="shared" si="161"/>
        <v>N</v>
      </c>
      <c r="BB231" s="161" t="str">
        <f t="shared" si="162"/>
        <v>N</v>
      </c>
      <c r="BC231" s="161" t="str">
        <f t="shared" si="163"/>
        <v>Y</v>
      </c>
      <c r="BD231" s="161" t="str">
        <f t="shared" si="164"/>
        <v>N</v>
      </c>
      <c r="BE231" s="161" t="str">
        <f t="shared" si="165"/>
        <v>N</v>
      </c>
      <c r="BF231" s="161" t="str">
        <f t="shared" si="166"/>
        <v>N</v>
      </c>
      <c r="BG231" s="161" t="str">
        <f t="shared" si="167"/>
        <v>N</v>
      </c>
      <c r="BH231" s="161" t="str">
        <f t="shared" si="168"/>
        <v>N</v>
      </c>
      <c r="BI231" s="161" t="str">
        <f t="shared" si="169"/>
        <v>N</v>
      </c>
      <c r="BJ231" s="161" t="str">
        <f t="shared" si="170"/>
        <v>N</v>
      </c>
      <c r="BK231" s="161" t="str">
        <f t="shared" si="171"/>
        <v>N</v>
      </c>
      <c r="BL231" s="161" t="str">
        <f t="shared" si="172"/>
        <v>N</v>
      </c>
      <c r="BM231" s="161" t="str">
        <f t="shared" si="173"/>
        <v>Y</v>
      </c>
      <c r="BN231" s="176" t="str">
        <f t="shared" si="174"/>
        <v>N</v>
      </c>
      <c r="BO231" s="222" t="s">
        <v>2010</v>
      </c>
      <c r="BP231" s="174" t="str">
        <f t="shared" si="175"/>
        <v>深交所主板</v>
      </c>
      <c r="BQ231" s="219" t="s">
        <v>317</v>
      </c>
      <c r="BR231" s="173">
        <f t="shared" si="176"/>
        <v>36525</v>
      </c>
      <c r="BS231" s="171" t="str">
        <f t="shared" si="177"/>
        <v>N</v>
      </c>
    </row>
    <row r="232" spans="1:163" ht="15" customHeight="1" x14ac:dyDescent="0.25">
      <c r="A232" s="31">
        <v>69</v>
      </c>
      <c r="B232" s="223" t="s">
        <v>2011</v>
      </c>
      <c r="C232" s="57" t="s">
        <v>2012</v>
      </c>
      <c r="D232" s="57" t="s">
        <v>426</v>
      </c>
      <c r="E232" s="57" t="s">
        <v>427</v>
      </c>
      <c r="F232" s="57" t="s">
        <v>2013</v>
      </c>
      <c r="G232" s="57" t="s">
        <v>380</v>
      </c>
      <c r="H232" s="32" t="s">
        <v>327</v>
      </c>
      <c r="I232" s="78">
        <v>42140</v>
      </c>
      <c r="J232" s="78">
        <v>42327</v>
      </c>
      <c r="K232" s="85">
        <v>42360</v>
      </c>
      <c r="L232" s="226" t="s">
        <v>2014</v>
      </c>
      <c r="M232" s="69" t="s">
        <v>1717</v>
      </c>
      <c r="N232" s="69">
        <v>1.25</v>
      </c>
      <c r="O232" s="69" t="s">
        <v>1258</v>
      </c>
      <c r="P232" s="69" t="s">
        <v>2015</v>
      </c>
      <c r="Q232" s="32" t="s">
        <v>1454</v>
      </c>
      <c r="R232" s="85">
        <v>33707</v>
      </c>
      <c r="S232" s="197" t="s">
        <v>1021</v>
      </c>
      <c r="T232" s="161" t="s">
        <v>317</v>
      </c>
      <c r="U232" s="69" t="str">
        <f t="shared" si="159"/>
        <v>N</v>
      </c>
      <c r="V232" s="57" t="s">
        <v>318</v>
      </c>
      <c r="W232" s="197" t="s">
        <v>2016</v>
      </c>
      <c r="X232" s="197" t="s">
        <v>320</v>
      </c>
      <c r="Y232" s="213">
        <v>60</v>
      </c>
      <c r="Z232" s="149">
        <f>2100*2*2</f>
        <v>8400</v>
      </c>
      <c r="AA232" s="149">
        <f>2100*2</f>
        <v>4200</v>
      </c>
      <c r="AB232" s="214">
        <v>2014</v>
      </c>
      <c r="AC232" s="149">
        <v>35796.623907000001</v>
      </c>
      <c r="AD232" s="128">
        <f>AA232/AC232</f>
        <v>0.11732950042751639</v>
      </c>
      <c r="AE232" s="149"/>
      <c r="AF232" s="149"/>
      <c r="AG232" s="206"/>
      <c r="AH232" s="149"/>
      <c r="AI232" s="128"/>
      <c r="AJ232" s="149"/>
      <c r="AK232" s="149"/>
      <c r="AL232" s="214"/>
      <c r="AM232" s="149"/>
      <c r="AN232" s="128"/>
      <c r="AO232" s="149"/>
      <c r="AP232" s="149"/>
      <c r="AQ232" s="57"/>
      <c r="AR232" s="149"/>
      <c r="AS232" s="128"/>
      <c r="AT232" s="149"/>
      <c r="AU232" s="149"/>
      <c r="AV232" s="214"/>
      <c r="AW232" s="149"/>
      <c r="AX232" s="128"/>
      <c r="AY232" s="197" t="s">
        <v>2017</v>
      </c>
      <c r="AZ232" s="161" t="str">
        <f t="shared" si="160"/>
        <v>N</v>
      </c>
      <c r="BA232" s="161" t="str">
        <f t="shared" si="161"/>
        <v>N</v>
      </c>
      <c r="BB232" s="161" t="str">
        <f t="shared" si="162"/>
        <v>N</v>
      </c>
      <c r="BC232" s="161" t="str">
        <f t="shared" si="163"/>
        <v>N</v>
      </c>
      <c r="BD232" s="161" t="str">
        <f t="shared" si="164"/>
        <v>N</v>
      </c>
      <c r="BE232" s="161" t="str">
        <f t="shared" si="165"/>
        <v>N</v>
      </c>
      <c r="BF232" s="161" t="str">
        <f t="shared" si="166"/>
        <v>N</v>
      </c>
      <c r="BG232" s="161" t="str">
        <f t="shared" si="167"/>
        <v>N</v>
      </c>
      <c r="BH232" s="161" t="str">
        <f t="shared" si="168"/>
        <v>N</v>
      </c>
      <c r="BI232" s="161" t="str">
        <f t="shared" si="169"/>
        <v>N</v>
      </c>
      <c r="BJ232" s="161" t="str">
        <f t="shared" si="170"/>
        <v>N</v>
      </c>
      <c r="BK232" s="161" t="str">
        <f t="shared" si="171"/>
        <v>N</v>
      </c>
      <c r="BL232" s="161" t="str">
        <f t="shared" si="172"/>
        <v>N</v>
      </c>
      <c r="BM232" s="161" t="str">
        <f t="shared" si="173"/>
        <v>N</v>
      </c>
      <c r="BN232" s="176" t="str">
        <f t="shared" si="174"/>
        <v>N</v>
      </c>
      <c r="BO232" s="222" t="s">
        <v>2018</v>
      </c>
      <c r="BP232" s="174" t="str">
        <f t="shared" si="175"/>
        <v>深交所主板</v>
      </c>
      <c r="BQ232" s="219" t="s">
        <v>317</v>
      </c>
      <c r="BR232" s="173">
        <f t="shared" si="176"/>
        <v>34699</v>
      </c>
      <c r="BS232" s="171" t="str">
        <f t="shared" si="177"/>
        <v>N</v>
      </c>
    </row>
    <row r="233" spans="1:163" ht="15" customHeight="1" x14ac:dyDescent="0.25">
      <c r="A233" s="31">
        <v>68</v>
      </c>
      <c r="B233" s="223" t="s">
        <v>2019</v>
      </c>
      <c r="C233" s="57" t="s">
        <v>2020</v>
      </c>
      <c r="D233" s="57" t="s">
        <v>574</v>
      </c>
      <c r="E233" s="57" t="s">
        <v>575</v>
      </c>
      <c r="F233" s="57" t="s">
        <v>2021</v>
      </c>
      <c r="G233" s="57" t="s">
        <v>315</v>
      </c>
      <c r="H233" s="32" t="s">
        <v>368</v>
      </c>
      <c r="I233" s="78">
        <v>42124</v>
      </c>
      <c r="J233" s="78">
        <v>42315</v>
      </c>
      <c r="K233" s="85">
        <v>42577</v>
      </c>
      <c r="L233" s="226" t="s">
        <v>2022</v>
      </c>
      <c r="M233" s="69">
        <v>2013</v>
      </c>
      <c r="N233" s="69">
        <v>1</v>
      </c>
      <c r="O233" s="69" t="s">
        <v>1258</v>
      </c>
      <c r="P233" s="69" t="s">
        <v>1315</v>
      </c>
      <c r="Q233" s="32" t="s">
        <v>507</v>
      </c>
      <c r="R233" s="85">
        <v>40571</v>
      </c>
      <c r="S233" s="197" t="s">
        <v>639</v>
      </c>
      <c r="T233" s="161" t="s">
        <v>345</v>
      </c>
      <c r="U233" s="69" t="str">
        <f t="shared" si="159"/>
        <v>Y</v>
      </c>
      <c r="V233" s="57" t="s">
        <v>398</v>
      </c>
      <c r="W233" s="197" t="s">
        <v>2023</v>
      </c>
      <c r="X233" s="197" t="s">
        <v>334</v>
      </c>
      <c r="Y233" s="213">
        <v>60</v>
      </c>
      <c r="Z233" s="149">
        <v>433.13019100000002</v>
      </c>
      <c r="AA233" s="149">
        <v>433.13019100000002</v>
      </c>
      <c r="AB233" s="214">
        <v>2013</v>
      </c>
      <c r="AC233" s="149">
        <v>282170.29093199997</v>
      </c>
      <c r="AD233" s="128">
        <f>AA233/AC233</f>
        <v>1.5349957274714643E-3</v>
      </c>
      <c r="AE233" s="149">
        <f>(87446901.48+2872486.68+943396.23+15677377.4)/10000</f>
        <v>10694.016179000002</v>
      </c>
      <c r="AF233" s="149">
        <v>10694.016179</v>
      </c>
      <c r="AG233" s="206">
        <v>2013</v>
      </c>
      <c r="AH233" s="149">
        <v>64807.180890000003</v>
      </c>
      <c r="AI233" s="128">
        <f>AF233/AH233</f>
        <v>0.16501282777831996</v>
      </c>
      <c r="AJ233" s="149">
        <v>12066.608636999999</v>
      </c>
      <c r="AK233" s="149">
        <v>12066.608636999999</v>
      </c>
      <c r="AL233" s="214">
        <v>2013</v>
      </c>
      <c r="AM233" s="149">
        <v>-3973.8598219999999</v>
      </c>
      <c r="AN233" s="128">
        <f>-AK233/AM233</f>
        <v>3.0364957943904041</v>
      </c>
      <c r="AO233" s="149"/>
      <c r="AP233" s="149"/>
      <c r="AQ233" s="57"/>
      <c r="AR233" s="149"/>
      <c r="AS233" s="128"/>
      <c r="AT233" s="149"/>
      <c r="AU233" s="149"/>
      <c r="AV233" s="214"/>
      <c r="AW233" s="149"/>
      <c r="AX233" s="128"/>
      <c r="AY233" s="197" t="s">
        <v>2024</v>
      </c>
      <c r="AZ233" s="161" t="str">
        <f t="shared" si="160"/>
        <v>N</v>
      </c>
      <c r="BA233" s="161" t="str">
        <f t="shared" si="161"/>
        <v>N</v>
      </c>
      <c r="BB233" s="161" t="str">
        <f t="shared" si="162"/>
        <v>N</v>
      </c>
      <c r="BC233" s="161" t="str">
        <f t="shared" si="163"/>
        <v>N</v>
      </c>
      <c r="BD233" s="161" t="str">
        <f t="shared" si="164"/>
        <v>N</v>
      </c>
      <c r="BE233" s="161" t="str">
        <f t="shared" si="165"/>
        <v>Y</v>
      </c>
      <c r="BF233" s="161" t="str">
        <f t="shared" si="166"/>
        <v>N</v>
      </c>
      <c r="BG233" s="161" t="str">
        <f t="shared" si="167"/>
        <v>N</v>
      </c>
      <c r="BH233" s="161" t="str">
        <f t="shared" si="168"/>
        <v>N</v>
      </c>
      <c r="BI233" s="161" t="str">
        <f t="shared" si="169"/>
        <v>N</v>
      </c>
      <c r="BJ233" s="161" t="str">
        <f t="shared" si="170"/>
        <v>N</v>
      </c>
      <c r="BK233" s="161" t="str">
        <f t="shared" si="171"/>
        <v>N</v>
      </c>
      <c r="BL233" s="161" t="str">
        <f t="shared" si="172"/>
        <v>N</v>
      </c>
      <c r="BM233" s="161" t="str">
        <f t="shared" si="173"/>
        <v>Y</v>
      </c>
      <c r="BN233" s="176" t="str">
        <f t="shared" si="174"/>
        <v>N</v>
      </c>
      <c r="BO233" s="222" t="s">
        <v>886</v>
      </c>
      <c r="BP233" s="174" t="str">
        <f t="shared" si="175"/>
        <v>上交所主板</v>
      </c>
      <c r="BQ233" s="219" t="s">
        <v>317</v>
      </c>
      <c r="BR233" s="173">
        <f t="shared" si="176"/>
        <v>41639</v>
      </c>
      <c r="BS233" s="171" t="str">
        <f t="shared" si="177"/>
        <v>Y</v>
      </c>
    </row>
    <row r="234" spans="1:163" ht="15" customHeight="1" x14ac:dyDescent="0.25">
      <c r="A234" s="31">
        <v>67</v>
      </c>
      <c r="B234" s="223" t="s">
        <v>2025</v>
      </c>
      <c r="C234" s="57" t="s">
        <v>2026</v>
      </c>
      <c r="D234" s="57" t="s">
        <v>612</v>
      </c>
      <c r="E234" s="57" t="s">
        <v>613</v>
      </c>
      <c r="F234" s="57" t="s">
        <v>2027</v>
      </c>
      <c r="G234" s="57" t="s">
        <v>315</v>
      </c>
      <c r="H234" s="32" t="s">
        <v>368</v>
      </c>
      <c r="I234" s="78">
        <v>41924</v>
      </c>
      <c r="J234" s="78">
        <v>42265</v>
      </c>
      <c r="K234" s="85">
        <v>42342</v>
      </c>
      <c r="L234" s="226" t="s">
        <v>2028</v>
      </c>
      <c r="M234" s="69" t="s">
        <v>2029</v>
      </c>
      <c r="N234" s="69">
        <v>1.25</v>
      </c>
      <c r="O234" s="69" t="s">
        <v>1258</v>
      </c>
      <c r="P234" s="69" t="s">
        <v>2030</v>
      </c>
      <c r="Q234" s="32" t="s">
        <v>507</v>
      </c>
      <c r="R234" s="85">
        <v>40128</v>
      </c>
      <c r="S234" s="197" t="s">
        <v>2031</v>
      </c>
      <c r="T234" s="161" t="s">
        <v>317</v>
      </c>
      <c r="U234" s="69" t="str">
        <f t="shared" si="159"/>
        <v>N</v>
      </c>
      <c r="V234" s="57" t="s">
        <v>318</v>
      </c>
      <c r="W234" s="197" t="s">
        <v>1023</v>
      </c>
      <c r="X234" s="197" t="s">
        <v>320</v>
      </c>
      <c r="Y234" s="213">
        <v>40</v>
      </c>
      <c r="Z234" s="149"/>
      <c r="AA234" s="149"/>
      <c r="AB234" s="214"/>
      <c r="AC234" s="149"/>
      <c r="AD234" s="128"/>
      <c r="AE234" s="149">
        <f>3418.803419+1480</f>
        <v>4898.8034189999998</v>
      </c>
      <c r="AF234" s="149">
        <v>3418.8</v>
      </c>
      <c r="AG234" s="206">
        <v>2014</v>
      </c>
      <c r="AH234" s="149">
        <v>62120.58</v>
      </c>
      <c r="AI234" s="128">
        <f>AF234/AH234</f>
        <v>5.5034901477095034E-2</v>
      </c>
      <c r="AJ234" s="149">
        <f>3036.054543+1649.57265</f>
        <v>4685.6271930000003</v>
      </c>
      <c r="AK234" s="149">
        <v>3036.0545430000002</v>
      </c>
      <c r="AL234" s="214">
        <v>2012</v>
      </c>
      <c r="AM234" s="149">
        <v>12101.55</v>
      </c>
      <c r="AN234" s="128">
        <f>AK234/AM234</f>
        <v>0.25088146088724173</v>
      </c>
      <c r="AO234" s="149"/>
      <c r="AP234" s="149"/>
      <c r="AQ234" s="57"/>
      <c r="AR234" s="149"/>
      <c r="AS234" s="128"/>
      <c r="AT234" s="149"/>
      <c r="AU234" s="149"/>
      <c r="AV234" s="214"/>
      <c r="AW234" s="149"/>
      <c r="AX234" s="128"/>
      <c r="AY234" s="197" t="s">
        <v>2032</v>
      </c>
      <c r="AZ234" s="161" t="str">
        <f t="shared" si="160"/>
        <v>N</v>
      </c>
      <c r="BA234" s="161" t="str">
        <f t="shared" si="161"/>
        <v>N</v>
      </c>
      <c r="BB234" s="161" t="str">
        <f t="shared" si="162"/>
        <v>N</v>
      </c>
      <c r="BC234" s="161" t="str">
        <f t="shared" si="163"/>
        <v>N</v>
      </c>
      <c r="BD234" s="161" t="str">
        <f t="shared" si="164"/>
        <v>N</v>
      </c>
      <c r="BE234" s="161" t="str">
        <f t="shared" si="165"/>
        <v>N</v>
      </c>
      <c r="BF234" s="161" t="str">
        <f t="shared" si="166"/>
        <v>N</v>
      </c>
      <c r="BG234" s="161" t="str">
        <f t="shared" si="167"/>
        <v>N</v>
      </c>
      <c r="BH234" s="161" t="str">
        <f t="shared" si="168"/>
        <v>N</v>
      </c>
      <c r="BI234" s="161" t="str">
        <f t="shared" si="169"/>
        <v>N</v>
      </c>
      <c r="BJ234" s="161" t="str">
        <f t="shared" si="170"/>
        <v>N</v>
      </c>
      <c r="BK234" s="161" t="str">
        <f t="shared" si="171"/>
        <v>N</v>
      </c>
      <c r="BL234" s="161" t="str">
        <f t="shared" si="172"/>
        <v>N</v>
      </c>
      <c r="BM234" s="161" t="str">
        <f t="shared" si="173"/>
        <v>N</v>
      </c>
      <c r="BN234" s="176" t="str">
        <f t="shared" si="174"/>
        <v>N</v>
      </c>
      <c r="BO234" s="222" t="s">
        <v>363</v>
      </c>
      <c r="BP234" s="174" t="str">
        <f t="shared" si="175"/>
        <v>深交所主板</v>
      </c>
      <c r="BQ234" s="219" t="s">
        <v>317</v>
      </c>
      <c r="BR234" s="173">
        <f t="shared" si="176"/>
        <v>40908</v>
      </c>
      <c r="BS234" s="171" t="str">
        <f t="shared" si="177"/>
        <v>N</v>
      </c>
    </row>
    <row r="235" spans="1:163" s="13" customFormat="1" ht="15" customHeight="1" x14ac:dyDescent="0.25">
      <c r="A235" s="31">
        <v>66</v>
      </c>
      <c r="B235" s="223" t="s">
        <v>2033</v>
      </c>
      <c r="C235" s="57" t="s">
        <v>2034</v>
      </c>
      <c r="D235" s="57" t="s">
        <v>565</v>
      </c>
      <c r="E235" s="57" t="s">
        <v>566</v>
      </c>
      <c r="F235" s="57" t="s">
        <v>2035</v>
      </c>
      <c r="G235" s="57" t="s">
        <v>354</v>
      </c>
      <c r="H235" s="32" t="s">
        <v>327</v>
      </c>
      <c r="I235" s="78">
        <v>41956</v>
      </c>
      <c r="J235" s="78">
        <v>42229</v>
      </c>
      <c r="K235" s="85">
        <v>42270</v>
      </c>
      <c r="L235" s="226" t="s">
        <v>2036</v>
      </c>
      <c r="M235" s="69">
        <v>2012</v>
      </c>
      <c r="N235" s="69">
        <v>1</v>
      </c>
      <c r="O235" s="69" t="s">
        <v>1258</v>
      </c>
      <c r="P235" s="69" t="s">
        <v>1315</v>
      </c>
      <c r="Q235" s="32" t="s">
        <v>2037</v>
      </c>
      <c r="R235" s="85">
        <v>33946</v>
      </c>
      <c r="S235" s="197" t="s">
        <v>421</v>
      </c>
      <c r="T235" s="161" t="s">
        <v>317</v>
      </c>
      <c r="U235" s="69" t="str">
        <f t="shared" si="159"/>
        <v>Y</v>
      </c>
      <c r="V235" s="57" t="s">
        <v>318</v>
      </c>
      <c r="W235" s="197" t="s">
        <v>2038</v>
      </c>
      <c r="X235" s="197" t="s">
        <v>320</v>
      </c>
      <c r="Y235" s="213">
        <v>40</v>
      </c>
      <c r="Z235" s="149">
        <v>15233.22</v>
      </c>
      <c r="AA235" s="149">
        <v>15233.22</v>
      </c>
      <c r="AB235" s="214">
        <v>2012</v>
      </c>
      <c r="AC235" s="149">
        <v>13152.92</v>
      </c>
      <c r="AD235" s="128">
        <f>AA235/AC235</f>
        <v>1.1581625981150954</v>
      </c>
      <c r="AE235" s="149"/>
      <c r="AF235" s="149"/>
      <c r="AG235" s="206"/>
      <c r="AH235" s="149"/>
      <c r="AI235" s="128"/>
      <c r="AJ235" s="149">
        <v>15233.22</v>
      </c>
      <c r="AK235" s="149">
        <v>15233.22</v>
      </c>
      <c r="AL235" s="214">
        <v>2012</v>
      </c>
      <c r="AM235" s="149">
        <v>113.69999999999899</v>
      </c>
      <c r="AN235" s="128">
        <f>AK235/AM235</f>
        <v>133.97730870712519</v>
      </c>
      <c r="AO235" s="149"/>
      <c r="AP235" s="149"/>
      <c r="AQ235" s="57"/>
      <c r="AR235" s="149"/>
      <c r="AS235" s="128"/>
      <c r="AT235" s="149"/>
      <c r="AU235" s="149"/>
      <c r="AV235" s="214"/>
      <c r="AW235" s="149"/>
      <c r="AX235" s="128"/>
      <c r="AY235" s="197" t="s">
        <v>2039</v>
      </c>
      <c r="AZ235" s="161" t="str">
        <f t="shared" si="160"/>
        <v>N</v>
      </c>
      <c r="BA235" s="161" t="str">
        <f t="shared" si="161"/>
        <v>Y</v>
      </c>
      <c r="BB235" s="161" t="str">
        <f t="shared" si="162"/>
        <v>N</v>
      </c>
      <c r="BC235" s="161" t="str">
        <f t="shared" si="163"/>
        <v>N</v>
      </c>
      <c r="BD235" s="161" t="str">
        <f t="shared" si="164"/>
        <v>N</v>
      </c>
      <c r="BE235" s="161" t="str">
        <f t="shared" si="165"/>
        <v>Y</v>
      </c>
      <c r="BF235" s="161" t="str">
        <f t="shared" si="166"/>
        <v>Y</v>
      </c>
      <c r="BG235" s="161" t="str">
        <f t="shared" si="167"/>
        <v>N</v>
      </c>
      <c r="BH235" s="161" t="str">
        <f t="shared" si="168"/>
        <v>N</v>
      </c>
      <c r="BI235" s="161" t="str">
        <f t="shared" si="169"/>
        <v>N</v>
      </c>
      <c r="BJ235" s="161" t="str">
        <f t="shared" si="170"/>
        <v>N</v>
      </c>
      <c r="BK235" s="161" t="str">
        <f t="shared" si="171"/>
        <v>N</v>
      </c>
      <c r="BL235" s="161" t="str">
        <f t="shared" si="172"/>
        <v>N</v>
      </c>
      <c r="BM235" s="161" t="str">
        <f t="shared" si="173"/>
        <v>Y</v>
      </c>
      <c r="BN235" s="176" t="str">
        <f t="shared" si="174"/>
        <v>Y</v>
      </c>
      <c r="BO235" s="222" t="s">
        <v>2040</v>
      </c>
      <c r="BP235" s="174" t="str">
        <f t="shared" si="175"/>
        <v>深交所主板</v>
      </c>
      <c r="BQ235" s="219" t="s">
        <v>317</v>
      </c>
      <c r="BR235" s="173">
        <f t="shared" si="176"/>
        <v>34699</v>
      </c>
      <c r="BS235" s="171" t="str">
        <f t="shared" si="177"/>
        <v>N</v>
      </c>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row>
    <row r="236" spans="1:163" ht="15" customHeight="1" x14ac:dyDescent="0.35">
      <c r="A236" s="31">
        <v>65</v>
      </c>
      <c r="B236" s="32" t="s">
        <v>2041</v>
      </c>
      <c r="C236" s="23" t="s">
        <v>2042</v>
      </c>
      <c r="D236" s="44" t="s">
        <v>675</v>
      </c>
      <c r="E236" s="44" t="s">
        <v>1090</v>
      </c>
      <c r="F236" s="190" t="s">
        <v>2043</v>
      </c>
      <c r="G236" s="42" t="s">
        <v>326</v>
      </c>
      <c r="H236" s="32" t="s">
        <v>368</v>
      </c>
      <c r="I236" s="78">
        <v>41585</v>
      </c>
      <c r="J236" s="78">
        <v>42178</v>
      </c>
      <c r="K236" s="78">
        <v>42611</v>
      </c>
      <c r="L236" s="79" t="s">
        <v>2044</v>
      </c>
      <c r="M236" s="198">
        <v>2011</v>
      </c>
      <c r="N236" s="23">
        <v>1</v>
      </c>
      <c r="O236" s="69" t="str">
        <f>IF(N236&lt;1,"1年以内",IF(N236&lt;2,"1-2年",IF(N236&lt;3,"2-3年",IF(N236&lt;5,"3-5年","5年以上"))))</f>
        <v>1-2年</v>
      </c>
      <c r="P236" s="69" t="s">
        <v>2045</v>
      </c>
      <c r="Q236" s="191" t="s">
        <v>718</v>
      </c>
      <c r="R236" s="80">
        <v>37344</v>
      </c>
      <c r="S236" s="44" t="s">
        <v>543</v>
      </c>
      <c r="T236" s="207" t="s">
        <v>345</v>
      </c>
      <c r="U236" s="69" t="str">
        <f t="shared" si="159"/>
        <v>N</v>
      </c>
      <c r="V236" s="44" t="s">
        <v>333</v>
      </c>
      <c r="W236" s="208" t="s">
        <v>319</v>
      </c>
      <c r="X236" s="44" t="s">
        <v>334</v>
      </c>
      <c r="Y236" s="229">
        <v>50</v>
      </c>
      <c r="Z236" s="216"/>
      <c r="AA236" s="148"/>
      <c r="AB236" s="44"/>
      <c r="AC236" s="148"/>
      <c r="AD236" s="128"/>
      <c r="AE236" s="148">
        <f>(18726738+35238193.81)/10000</f>
        <v>5396.4931809999998</v>
      </c>
      <c r="AF236" s="148">
        <f>(18726738+35238193.81)/10000</f>
        <v>5396.4931809999998</v>
      </c>
      <c r="AG236" s="218">
        <v>2011</v>
      </c>
      <c r="AH236" s="147">
        <f>13304715265.14/10000</f>
        <v>1330471.526514</v>
      </c>
      <c r="AI236" s="128">
        <f>AF236/AH236</f>
        <v>4.0560756644972924E-3</v>
      </c>
      <c r="AJ236" s="148">
        <f>1600.58+3524</f>
        <v>5124.58</v>
      </c>
      <c r="AK236" s="148">
        <f>1600.58+3524</f>
        <v>5124.58</v>
      </c>
      <c r="AL236" s="218">
        <v>2011</v>
      </c>
      <c r="AM236" s="148">
        <f>450712430.32/10000</f>
        <v>45071.243031999998</v>
      </c>
      <c r="AN236" s="128">
        <f>AK236/AM236</f>
        <v>0.11369954887557937</v>
      </c>
      <c r="AO236" s="148"/>
      <c r="AP236" s="148"/>
      <c r="AQ236" s="44"/>
      <c r="AR236" s="148"/>
      <c r="AS236" s="128"/>
      <c r="AT236" s="148"/>
      <c r="AU236" s="148"/>
      <c r="AV236" s="218"/>
      <c r="AW236" s="148"/>
      <c r="AX236" s="159"/>
      <c r="AY236" s="198" t="s">
        <v>2046</v>
      </c>
      <c r="AZ236" s="161" t="str">
        <f t="shared" si="160"/>
        <v>N</v>
      </c>
      <c r="BA236" s="161" t="str">
        <f t="shared" si="161"/>
        <v>N</v>
      </c>
      <c r="BB236" s="161" t="str">
        <f t="shared" si="162"/>
        <v>N</v>
      </c>
      <c r="BC236" s="161" t="str">
        <f t="shared" si="163"/>
        <v>N</v>
      </c>
      <c r="BD236" s="161" t="str">
        <f t="shared" si="164"/>
        <v>N</v>
      </c>
      <c r="BE236" s="161" t="str">
        <f t="shared" si="165"/>
        <v>N</v>
      </c>
      <c r="BF236" s="161" t="str">
        <f t="shared" si="166"/>
        <v>N</v>
      </c>
      <c r="BG236" s="161" t="str">
        <f t="shared" si="167"/>
        <v>N</v>
      </c>
      <c r="BH236" s="161" t="str">
        <f t="shared" si="168"/>
        <v>N</v>
      </c>
      <c r="BI236" s="161" t="str">
        <f t="shared" si="169"/>
        <v>N</v>
      </c>
      <c r="BJ236" s="161" t="str">
        <f t="shared" si="170"/>
        <v>N</v>
      </c>
      <c r="BK236" s="161" t="str">
        <f t="shared" si="171"/>
        <v>N</v>
      </c>
      <c r="BL236" s="161" t="str">
        <f t="shared" si="172"/>
        <v>N</v>
      </c>
      <c r="BM236" s="161" t="str">
        <f t="shared" si="173"/>
        <v>N</v>
      </c>
      <c r="BN236" s="176" t="str">
        <f t="shared" si="174"/>
        <v>N</v>
      </c>
      <c r="BO236" s="170" t="s">
        <v>2047</v>
      </c>
      <c r="BP236" s="174" t="str">
        <f t="shared" si="175"/>
        <v>上交所主板</v>
      </c>
      <c r="BQ236" s="172" t="s">
        <v>317</v>
      </c>
      <c r="BR236" s="173">
        <f t="shared" si="176"/>
        <v>38352</v>
      </c>
      <c r="BS236" s="171" t="str">
        <f t="shared" si="177"/>
        <v>N</v>
      </c>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row>
    <row r="237" spans="1:163" s="12" customFormat="1" ht="15" customHeight="1" x14ac:dyDescent="0.25">
      <c r="A237" s="31">
        <v>64</v>
      </c>
      <c r="B237" s="223" t="s">
        <v>2048</v>
      </c>
      <c r="C237" s="57" t="s">
        <v>2049</v>
      </c>
      <c r="D237" s="57" t="s">
        <v>1344</v>
      </c>
      <c r="E237" s="57" t="s">
        <v>2050</v>
      </c>
      <c r="F237" s="57" t="s">
        <v>2051</v>
      </c>
      <c r="G237" s="57" t="s">
        <v>354</v>
      </c>
      <c r="H237" s="32" t="s">
        <v>1847</v>
      </c>
      <c r="I237" s="78">
        <v>41921</v>
      </c>
      <c r="J237" s="78">
        <v>42172</v>
      </c>
      <c r="K237" s="85">
        <v>42215</v>
      </c>
      <c r="L237" s="226" t="s">
        <v>2052</v>
      </c>
      <c r="M237" s="69" t="s">
        <v>1917</v>
      </c>
      <c r="N237" s="69">
        <v>2</v>
      </c>
      <c r="O237" s="69" t="s">
        <v>1305</v>
      </c>
      <c r="P237" s="69" t="s">
        <v>1315</v>
      </c>
      <c r="Q237" s="32" t="s">
        <v>371</v>
      </c>
      <c r="R237" s="85">
        <v>37708</v>
      </c>
      <c r="S237" s="197" t="s">
        <v>384</v>
      </c>
      <c r="T237" s="161" t="s">
        <v>345</v>
      </c>
      <c r="U237" s="69" t="str">
        <f t="shared" si="159"/>
        <v>Y</v>
      </c>
      <c r="V237" s="57" t="s">
        <v>333</v>
      </c>
      <c r="W237" s="197" t="s">
        <v>319</v>
      </c>
      <c r="X237" s="197" t="s">
        <v>334</v>
      </c>
      <c r="Y237" s="213">
        <v>50</v>
      </c>
      <c r="Z237" s="149"/>
      <c r="AA237" s="149"/>
      <c r="AB237" s="214"/>
      <c r="AC237" s="149"/>
      <c r="AD237" s="128"/>
      <c r="AE237" s="149">
        <v>915408.66210700001</v>
      </c>
      <c r="AF237" s="149">
        <v>460354.02</v>
      </c>
      <c r="AG237" s="206">
        <v>2013</v>
      </c>
      <c r="AH237" s="149">
        <v>3415089.16913947</v>
      </c>
      <c r="AI237" s="128">
        <f>AF237/AH237</f>
        <v>0.13479999999999984</v>
      </c>
      <c r="AJ237" s="149">
        <v>48981.981431</v>
      </c>
      <c r="AK237" s="149">
        <v>25585.35</v>
      </c>
      <c r="AL237" s="214">
        <v>2012</v>
      </c>
      <c r="AM237" s="149">
        <v>49815.712616822399</v>
      </c>
      <c r="AN237" s="128">
        <f>AK237/AM237</f>
        <v>0.51360000000000028</v>
      </c>
      <c r="AO237" s="149"/>
      <c r="AP237" s="149"/>
      <c r="AQ237" s="57"/>
      <c r="AR237" s="149"/>
      <c r="AS237" s="128"/>
      <c r="AT237" s="149"/>
      <c r="AU237" s="149"/>
      <c r="AV237" s="214"/>
      <c r="AW237" s="149"/>
      <c r="AX237" s="128"/>
      <c r="AY237" s="197" t="s">
        <v>2053</v>
      </c>
      <c r="AZ237" s="161" t="str">
        <f t="shared" si="160"/>
        <v>N</v>
      </c>
      <c r="BA237" s="161" t="str">
        <f t="shared" si="161"/>
        <v>N</v>
      </c>
      <c r="BB237" s="161" t="str">
        <f t="shared" si="162"/>
        <v>Y</v>
      </c>
      <c r="BC237" s="161" t="str">
        <f t="shared" si="163"/>
        <v>N</v>
      </c>
      <c r="BD237" s="161" t="str">
        <f t="shared" si="164"/>
        <v>N</v>
      </c>
      <c r="BE237" s="161" t="str">
        <f t="shared" si="165"/>
        <v>Y</v>
      </c>
      <c r="BF237" s="161" t="str">
        <f t="shared" si="166"/>
        <v>N</v>
      </c>
      <c r="BG237" s="161" t="str">
        <f t="shared" si="167"/>
        <v>N</v>
      </c>
      <c r="BH237" s="161" t="str">
        <f t="shared" si="168"/>
        <v>N</v>
      </c>
      <c r="BI237" s="161" t="str">
        <f t="shared" si="169"/>
        <v>N</v>
      </c>
      <c r="BJ237" s="161" t="str">
        <f t="shared" si="170"/>
        <v>N</v>
      </c>
      <c r="BK237" s="161" t="str">
        <f t="shared" si="171"/>
        <v>N</v>
      </c>
      <c r="BL237" s="161" t="str">
        <f t="shared" si="172"/>
        <v>Y</v>
      </c>
      <c r="BM237" s="161" t="str">
        <f t="shared" si="173"/>
        <v>Y</v>
      </c>
      <c r="BN237" s="176" t="str">
        <f t="shared" si="174"/>
        <v>N</v>
      </c>
      <c r="BO237" s="222" t="s">
        <v>2054</v>
      </c>
      <c r="BP237" s="174" t="str">
        <f t="shared" si="175"/>
        <v>上交所主板</v>
      </c>
      <c r="BQ237" s="219" t="s">
        <v>317</v>
      </c>
      <c r="BR237" s="173">
        <f t="shared" si="176"/>
        <v>38717</v>
      </c>
      <c r="BS237" s="171" t="str">
        <f t="shared" si="177"/>
        <v>N</v>
      </c>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row>
    <row r="238" spans="1:163" ht="15" customHeight="1" x14ac:dyDescent="0.25">
      <c r="A238" s="31">
        <v>63</v>
      </c>
      <c r="B238" s="223" t="s">
        <v>982</v>
      </c>
      <c r="C238" s="57" t="s">
        <v>2055</v>
      </c>
      <c r="D238" s="57" t="s">
        <v>313</v>
      </c>
      <c r="E238" s="57" t="s">
        <v>366</v>
      </c>
      <c r="F238" s="57" t="s">
        <v>984</v>
      </c>
      <c r="G238" s="57" t="s">
        <v>380</v>
      </c>
      <c r="H238" s="32" t="s">
        <v>327</v>
      </c>
      <c r="I238" s="78">
        <v>41971</v>
      </c>
      <c r="J238" s="78">
        <v>42160</v>
      </c>
      <c r="K238" s="85">
        <v>42311</v>
      </c>
      <c r="L238" s="226" t="s">
        <v>2056</v>
      </c>
      <c r="M238" s="69">
        <v>2013</v>
      </c>
      <c r="N238" s="69">
        <v>1</v>
      </c>
      <c r="O238" s="69" t="s">
        <v>1258</v>
      </c>
      <c r="P238" s="69" t="s">
        <v>1315</v>
      </c>
      <c r="Q238" s="32" t="s">
        <v>2057</v>
      </c>
      <c r="R238" s="85">
        <v>34204</v>
      </c>
      <c r="S238" s="197" t="s">
        <v>421</v>
      </c>
      <c r="T238" s="161" t="s">
        <v>317</v>
      </c>
      <c r="U238" s="69" t="str">
        <f t="shared" si="159"/>
        <v>Y</v>
      </c>
      <c r="V238" s="57" t="s">
        <v>318</v>
      </c>
      <c r="W238" s="197" t="s">
        <v>1433</v>
      </c>
      <c r="X238" s="197" t="s">
        <v>320</v>
      </c>
      <c r="Y238" s="213">
        <v>50</v>
      </c>
      <c r="Z238" s="149"/>
      <c r="AA238" s="149"/>
      <c r="AB238" s="214"/>
      <c r="AC238" s="149"/>
      <c r="AD238" s="128"/>
      <c r="AE238" s="149">
        <v>4504.9799999999996</v>
      </c>
      <c r="AF238" s="149">
        <v>4504.9799999999996</v>
      </c>
      <c r="AG238" s="206">
        <v>2013</v>
      </c>
      <c r="AH238" s="149">
        <v>28146.89</v>
      </c>
      <c r="AI238" s="128">
        <f>AF238/AH238</f>
        <v>0.16005249603064495</v>
      </c>
      <c r="AJ238" s="149">
        <v>178.39</v>
      </c>
      <c r="AK238" s="149">
        <v>178.39</v>
      </c>
      <c r="AL238" s="214">
        <v>2013</v>
      </c>
      <c r="AM238" s="149">
        <v>288.19063004846498</v>
      </c>
      <c r="AN238" s="128">
        <f>AK238/AM238</f>
        <v>0.61900000000000055</v>
      </c>
      <c r="AO238" s="149"/>
      <c r="AP238" s="149"/>
      <c r="AQ238" s="57"/>
      <c r="AR238" s="149"/>
      <c r="AS238" s="128"/>
      <c r="AT238" s="149"/>
      <c r="AU238" s="149"/>
      <c r="AV238" s="214"/>
      <c r="AW238" s="149"/>
      <c r="AX238" s="128"/>
      <c r="AY238" s="197" t="s">
        <v>2058</v>
      </c>
      <c r="AZ238" s="161" t="str">
        <f t="shared" si="160"/>
        <v>N</v>
      </c>
      <c r="BA238" s="161" t="str">
        <f t="shared" si="161"/>
        <v>N</v>
      </c>
      <c r="BB238" s="161" t="str">
        <f t="shared" si="162"/>
        <v>N</v>
      </c>
      <c r="BC238" s="161" t="str">
        <f t="shared" si="163"/>
        <v>N</v>
      </c>
      <c r="BD238" s="161" t="str">
        <f t="shared" si="164"/>
        <v>N</v>
      </c>
      <c r="BE238" s="161" t="str">
        <f t="shared" si="165"/>
        <v>Y</v>
      </c>
      <c r="BF238" s="161" t="str">
        <f t="shared" si="166"/>
        <v>N</v>
      </c>
      <c r="BG238" s="161" t="str">
        <f t="shared" si="167"/>
        <v>N</v>
      </c>
      <c r="BH238" s="161" t="str">
        <f t="shared" si="168"/>
        <v>N</v>
      </c>
      <c r="BI238" s="161" t="str">
        <f t="shared" si="169"/>
        <v>N</v>
      </c>
      <c r="BJ238" s="161" t="str">
        <f t="shared" si="170"/>
        <v>N</v>
      </c>
      <c r="BK238" s="161" t="str">
        <f t="shared" si="171"/>
        <v>N</v>
      </c>
      <c r="BL238" s="161" t="str">
        <f t="shared" si="172"/>
        <v>N</v>
      </c>
      <c r="BM238" s="161" t="str">
        <f t="shared" si="173"/>
        <v>Y</v>
      </c>
      <c r="BN238" s="176" t="str">
        <f t="shared" si="174"/>
        <v>N</v>
      </c>
      <c r="BO238" s="222" t="s">
        <v>990</v>
      </c>
      <c r="BP238" s="174" t="str">
        <f t="shared" si="175"/>
        <v>上交所主板</v>
      </c>
      <c r="BQ238" s="219" t="s">
        <v>317</v>
      </c>
      <c r="BR238" s="173">
        <f t="shared" si="176"/>
        <v>35064</v>
      </c>
      <c r="BS238" s="171" t="str">
        <f t="shared" si="177"/>
        <v>N</v>
      </c>
    </row>
    <row r="239" spans="1:163" ht="15" customHeight="1" x14ac:dyDescent="0.25">
      <c r="A239" s="31">
        <v>62</v>
      </c>
      <c r="B239" s="223" t="s">
        <v>2059</v>
      </c>
      <c r="C239" s="57" t="s">
        <v>2060</v>
      </c>
      <c r="D239" s="57" t="s">
        <v>426</v>
      </c>
      <c r="E239" s="57" t="s">
        <v>427</v>
      </c>
      <c r="F239" s="57" t="s">
        <v>2061</v>
      </c>
      <c r="G239" s="57" t="s">
        <v>315</v>
      </c>
      <c r="H239" s="32" t="s">
        <v>368</v>
      </c>
      <c r="I239" s="78">
        <v>42096</v>
      </c>
      <c r="J239" s="78">
        <v>42154</v>
      </c>
      <c r="K239" s="85">
        <v>42157</v>
      </c>
      <c r="L239" s="226" t="s">
        <v>2062</v>
      </c>
      <c r="M239" s="69" t="s">
        <v>1991</v>
      </c>
      <c r="N239" s="69">
        <v>1.75</v>
      </c>
      <c r="O239" s="69" t="s">
        <v>1258</v>
      </c>
      <c r="P239" s="69" t="s">
        <v>2063</v>
      </c>
      <c r="Q239" s="32" t="s">
        <v>1821</v>
      </c>
      <c r="R239" s="85">
        <v>40219</v>
      </c>
      <c r="S239" s="197" t="s">
        <v>508</v>
      </c>
      <c r="T239" s="161" t="s">
        <v>317</v>
      </c>
      <c r="U239" s="69" t="str">
        <f t="shared" si="159"/>
        <v>N</v>
      </c>
      <c r="V239" s="57" t="s">
        <v>361</v>
      </c>
      <c r="W239" s="197" t="s">
        <v>361</v>
      </c>
      <c r="X239" s="197" t="s">
        <v>2064</v>
      </c>
      <c r="Y239" s="213">
        <v>0</v>
      </c>
      <c r="Z239" s="149"/>
      <c r="AA239" s="149"/>
      <c r="AB239" s="214"/>
      <c r="AC239" s="149"/>
      <c r="AD239" s="128"/>
      <c r="AE239" s="149"/>
      <c r="AF239" s="149"/>
      <c r="AG239" s="206"/>
      <c r="AH239" s="149"/>
      <c r="AI239" s="128"/>
      <c r="AJ239" s="149"/>
      <c r="AK239" s="149"/>
      <c r="AL239" s="214"/>
      <c r="AM239" s="149"/>
      <c r="AN239" s="128"/>
      <c r="AO239" s="149"/>
      <c r="AP239" s="149"/>
      <c r="AQ239" s="57"/>
      <c r="AR239" s="149"/>
      <c r="AS239" s="128"/>
      <c r="AT239" s="149">
        <v>48331.32</v>
      </c>
      <c r="AU239" s="149"/>
      <c r="AV239" s="214"/>
      <c r="AW239" s="149"/>
      <c r="AX239" s="128"/>
      <c r="AY239" s="197" t="s">
        <v>2065</v>
      </c>
      <c r="AZ239" s="161" t="str">
        <f t="shared" si="160"/>
        <v>N</v>
      </c>
      <c r="BA239" s="161" t="str">
        <f t="shared" si="161"/>
        <v>N</v>
      </c>
      <c r="BB239" s="161" t="str">
        <f t="shared" si="162"/>
        <v>N</v>
      </c>
      <c r="BC239" s="161" t="str">
        <f t="shared" si="163"/>
        <v>N</v>
      </c>
      <c r="BD239" s="161" t="str">
        <f t="shared" si="164"/>
        <v>N</v>
      </c>
      <c r="BE239" s="161" t="str">
        <f t="shared" si="165"/>
        <v>N</v>
      </c>
      <c r="BF239" s="161" t="str">
        <f t="shared" si="166"/>
        <v>N</v>
      </c>
      <c r="BG239" s="161" t="str">
        <f t="shared" si="167"/>
        <v>N</v>
      </c>
      <c r="BH239" s="161" t="str">
        <f t="shared" si="168"/>
        <v>N</v>
      </c>
      <c r="BI239" s="161" t="str">
        <f t="shared" si="169"/>
        <v>N</v>
      </c>
      <c r="BJ239" s="161" t="str">
        <f t="shared" si="170"/>
        <v>N</v>
      </c>
      <c r="BK239" s="161" t="str">
        <f t="shared" si="171"/>
        <v>N</v>
      </c>
      <c r="BL239" s="161" t="str">
        <f t="shared" si="172"/>
        <v>N</v>
      </c>
      <c r="BM239" s="161" t="str">
        <f t="shared" si="173"/>
        <v>N</v>
      </c>
      <c r="BN239" s="176" t="str">
        <f t="shared" si="174"/>
        <v>N</v>
      </c>
      <c r="BO239" s="222" t="s">
        <v>971</v>
      </c>
      <c r="BP239" s="174" t="str">
        <f t="shared" si="175"/>
        <v>深交所主板</v>
      </c>
      <c r="BQ239" s="219" t="s">
        <v>317</v>
      </c>
      <c r="BR239" s="173">
        <f t="shared" si="176"/>
        <v>41274</v>
      </c>
      <c r="BS239" s="171" t="str">
        <f t="shared" si="177"/>
        <v>N</v>
      </c>
    </row>
    <row r="240" spans="1:163" ht="15" customHeight="1" x14ac:dyDescent="0.35">
      <c r="A240" s="31">
        <v>61</v>
      </c>
      <c r="B240" s="32" t="s">
        <v>2066</v>
      </c>
      <c r="C240" s="23" t="s">
        <v>2067</v>
      </c>
      <c r="D240" s="44" t="s">
        <v>574</v>
      </c>
      <c r="E240" s="44" t="s">
        <v>575</v>
      </c>
      <c r="F240" s="58" t="s">
        <v>2068</v>
      </c>
      <c r="G240" s="42" t="s">
        <v>315</v>
      </c>
      <c r="H240" s="32" t="s">
        <v>1571</v>
      </c>
      <c r="I240" s="78">
        <v>41296</v>
      </c>
      <c r="J240" s="78">
        <v>42107</v>
      </c>
      <c r="K240" s="78">
        <v>42160</v>
      </c>
      <c r="L240" s="79" t="s">
        <v>2069</v>
      </c>
      <c r="M240" s="198">
        <v>2012</v>
      </c>
      <c r="N240" s="23">
        <v>0.75</v>
      </c>
      <c r="O240" s="69" t="str">
        <f>IF(N240&lt;1,"1年以内",IF(N240&lt;2,"1-2年",IF(N240&lt;3,"2-3年",IF(N240&lt;5,"3-5年","5年以上"))))</f>
        <v>1年以内</v>
      </c>
      <c r="P240" s="69" t="s">
        <v>2070</v>
      </c>
      <c r="Q240" s="191" t="s">
        <v>454</v>
      </c>
      <c r="R240" s="80">
        <v>40500</v>
      </c>
      <c r="S240" s="44" t="s">
        <v>359</v>
      </c>
      <c r="T240" s="207" t="s">
        <v>345</v>
      </c>
      <c r="U240" s="69" t="str">
        <f t="shared" si="159"/>
        <v>N</v>
      </c>
      <c r="V240" s="44" t="s">
        <v>318</v>
      </c>
      <c r="W240" s="208" t="s">
        <v>319</v>
      </c>
      <c r="X240" s="44" t="s">
        <v>334</v>
      </c>
      <c r="Y240" s="229">
        <v>60</v>
      </c>
      <c r="Z240" s="216"/>
      <c r="AA240" s="148"/>
      <c r="AB240" s="44"/>
      <c r="AC240" s="148"/>
      <c r="AD240" s="128"/>
      <c r="AE240" s="148">
        <f>(116452991.43+47008547+238759628.28)/10000</f>
        <v>40222.116671000003</v>
      </c>
      <c r="AF240" s="148">
        <f>(116452991.43+47008547+238759628.28)/10000</f>
        <v>40222.116671000003</v>
      </c>
      <c r="AG240" s="218">
        <v>2012</v>
      </c>
      <c r="AH240" s="147">
        <f>1637967028.55/10000</f>
        <v>163796.70285499998</v>
      </c>
      <c r="AI240" s="128">
        <f>AF240/AH240</f>
        <v>0.24556121075652165</v>
      </c>
      <c r="AJ240" s="148">
        <f>(20598182.42+8546931.46+43054620.68)/10000</f>
        <v>7219.9734560000006</v>
      </c>
      <c r="AK240" s="148">
        <f>(20598182.42+8546931.46+43054620.68)/10000</f>
        <v>7219.9734560000006</v>
      </c>
      <c r="AL240" s="218">
        <v>2012</v>
      </c>
      <c r="AM240" s="148">
        <f>-1714042869.19/10000</f>
        <v>-171404.28691900001</v>
      </c>
      <c r="AN240" s="128">
        <f>AK240/AM240</f>
        <v>-4.2122478881825874E-2</v>
      </c>
      <c r="AO240" s="148"/>
      <c r="AP240" s="148"/>
      <c r="AQ240" s="44"/>
      <c r="AR240" s="148"/>
      <c r="AS240" s="128"/>
      <c r="AT240" s="148"/>
      <c r="AU240" s="148"/>
      <c r="AV240" s="218"/>
      <c r="AW240" s="148"/>
      <c r="AX240" s="159"/>
      <c r="AY240" s="198" t="s">
        <v>2071</v>
      </c>
      <c r="AZ240" s="161" t="str">
        <f t="shared" si="160"/>
        <v>N</v>
      </c>
      <c r="BA240" s="161" t="str">
        <f t="shared" si="161"/>
        <v>N</v>
      </c>
      <c r="BB240" s="161" t="str">
        <f t="shared" si="162"/>
        <v>N</v>
      </c>
      <c r="BC240" s="161" t="str">
        <f t="shared" si="163"/>
        <v>N</v>
      </c>
      <c r="BD240" s="161" t="str">
        <f t="shared" si="164"/>
        <v>N</v>
      </c>
      <c r="BE240" s="161" t="str">
        <f t="shared" si="165"/>
        <v>N</v>
      </c>
      <c r="BF240" s="161" t="str">
        <f t="shared" si="166"/>
        <v>N</v>
      </c>
      <c r="BG240" s="161" t="str">
        <f t="shared" si="167"/>
        <v>N</v>
      </c>
      <c r="BH240" s="161" t="str">
        <f t="shared" si="168"/>
        <v>N</v>
      </c>
      <c r="BI240" s="161" t="str">
        <f t="shared" si="169"/>
        <v>N</v>
      </c>
      <c r="BJ240" s="161" t="str">
        <f t="shared" si="170"/>
        <v>N</v>
      </c>
      <c r="BK240" s="161" t="str">
        <f t="shared" si="171"/>
        <v>N</v>
      </c>
      <c r="BL240" s="161" t="str">
        <f t="shared" si="172"/>
        <v>N</v>
      </c>
      <c r="BM240" s="161" t="str">
        <f t="shared" si="173"/>
        <v>N</v>
      </c>
      <c r="BN240" s="176" t="str">
        <f t="shared" si="174"/>
        <v>N</v>
      </c>
      <c r="BO240" s="170" t="s">
        <v>652</v>
      </c>
      <c r="BP240" s="174" t="str">
        <f t="shared" si="175"/>
        <v>深交所主板</v>
      </c>
      <c r="BQ240" s="172" t="s">
        <v>317</v>
      </c>
      <c r="BR240" s="173">
        <f t="shared" si="176"/>
        <v>41274</v>
      </c>
      <c r="BS240" s="171" t="str">
        <f t="shared" si="177"/>
        <v>Y</v>
      </c>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row>
    <row r="241" spans="1:163" ht="15" customHeight="1" x14ac:dyDescent="0.35">
      <c r="A241" s="31">
        <v>60</v>
      </c>
      <c r="B241" s="32" t="s">
        <v>1015</v>
      </c>
      <c r="C241" s="23" t="s">
        <v>2072</v>
      </c>
      <c r="D241" s="44" t="s">
        <v>826</v>
      </c>
      <c r="E241" s="44" t="s">
        <v>2073</v>
      </c>
      <c r="F241" s="58" t="s">
        <v>2074</v>
      </c>
      <c r="G241" s="42" t="s">
        <v>315</v>
      </c>
      <c r="H241" s="32" t="s">
        <v>368</v>
      </c>
      <c r="I241" s="78">
        <v>41808</v>
      </c>
      <c r="J241" s="78">
        <v>42102</v>
      </c>
      <c r="K241" s="78">
        <v>42180</v>
      </c>
      <c r="L241" s="79" t="s">
        <v>2075</v>
      </c>
      <c r="M241" s="198">
        <v>2012</v>
      </c>
      <c r="N241" s="23">
        <v>1</v>
      </c>
      <c r="O241" s="69" t="str">
        <f>IF(N241&lt;1,"1年以内",IF(N241&lt;2,"1-2年",IF(N241&lt;3,"2-3年",IF(N241&lt;5,"3-5年","5年以上"))))</f>
        <v>1-2年</v>
      </c>
      <c r="P241" s="69" t="s">
        <v>2076</v>
      </c>
      <c r="Q241" s="191" t="s">
        <v>396</v>
      </c>
      <c r="R241" s="80">
        <v>36426</v>
      </c>
      <c r="S241" s="44" t="s">
        <v>410</v>
      </c>
      <c r="T241" s="207" t="s">
        <v>317</v>
      </c>
      <c r="U241" s="69" t="str">
        <f t="shared" si="159"/>
        <v>Y</v>
      </c>
      <c r="V241" s="44" t="s">
        <v>318</v>
      </c>
      <c r="W241" s="208" t="s">
        <v>2077</v>
      </c>
      <c r="X241" s="44" t="s">
        <v>320</v>
      </c>
      <c r="Y241" s="229">
        <v>30</v>
      </c>
      <c r="Z241" s="216">
        <f>(966556.76+227642.62)/10000</f>
        <v>119.41993799999999</v>
      </c>
      <c r="AA241" s="216">
        <f>(966556.76+227642.62)/10000</f>
        <v>119.41993799999999</v>
      </c>
      <c r="AB241" s="44">
        <v>2012</v>
      </c>
      <c r="AC241" s="148">
        <f>197591361.99/10000</f>
        <v>19759.136199</v>
      </c>
      <c r="AD241" s="128">
        <f>AA241/AC241</f>
        <v>6.0437833312796214E-3</v>
      </c>
      <c r="AE241" s="148"/>
      <c r="AF241" s="148"/>
      <c r="AG241" s="218"/>
      <c r="AH241" s="147"/>
      <c r="AI241" s="128"/>
      <c r="AJ241" s="148"/>
      <c r="AK241" s="148"/>
      <c r="AL241" s="218"/>
      <c r="AM241" s="148"/>
      <c r="AN241" s="128"/>
      <c r="AO241" s="148">
        <f>1194199.38/10000</f>
        <v>119.41993799999999</v>
      </c>
      <c r="AP241" s="148">
        <f>1194199.38/10000</f>
        <v>119.41993799999999</v>
      </c>
      <c r="AQ241" s="44">
        <v>2012</v>
      </c>
      <c r="AR241" s="148">
        <f>1652229.15/10000</f>
        <v>165.222915</v>
      </c>
      <c r="AS241" s="128">
        <f>AP241/AR241</f>
        <v>0.72278072324289877</v>
      </c>
      <c r="AT241" s="148"/>
      <c r="AU241" s="148"/>
      <c r="AV241" s="218"/>
      <c r="AW241" s="148"/>
      <c r="AX241" s="159"/>
      <c r="AY241" s="198" t="s">
        <v>2078</v>
      </c>
      <c r="AZ241" s="161" t="str">
        <f t="shared" si="160"/>
        <v>N</v>
      </c>
      <c r="BA241" s="161" t="str">
        <f t="shared" si="161"/>
        <v>N</v>
      </c>
      <c r="BB241" s="161" t="str">
        <f t="shared" si="162"/>
        <v>N</v>
      </c>
      <c r="BC241" s="161" t="str">
        <f t="shared" si="163"/>
        <v>N</v>
      </c>
      <c r="BD241" s="161" t="str">
        <f t="shared" si="164"/>
        <v>N</v>
      </c>
      <c r="BE241" s="161" t="str">
        <f t="shared" si="165"/>
        <v>N</v>
      </c>
      <c r="BF241" s="161" t="str">
        <f t="shared" si="166"/>
        <v>N</v>
      </c>
      <c r="BG241" s="161" t="str">
        <f t="shared" si="167"/>
        <v>N</v>
      </c>
      <c r="BH241" s="161" t="str">
        <f t="shared" si="168"/>
        <v>Y</v>
      </c>
      <c r="BI241" s="161" t="str">
        <f t="shared" si="169"/>
        <v>N</v>
      </c>
      <c r="BJ241" s="161" t="str">
        <f t="shared" si="170"/>
        <v>N</v>
      </c>
      <c r="BK241" s="161" t="str">
        <f t="shared" si="171"/>
        <v>N</v>
      </c>
      <c r="BL241" s="161" t="str">
        <f t="shared" si="172"/>
        <v>N</v>
      </c>
      <c r="BM241" s="161" t="str">
        <f t="shared" si="173"/>
        <v>Y</v>
      </c>
      <c r="BN241" s="176" t="str">
        <f t="shared" si="174"/>
        <v>N</v>
      </c>
      <c r="BO241" s="170" t="s">
        <v>2079</v>
      </c>
      <c r="BP241" s="174" t="str">
        <f t="shared" si="175"/>
        <v>上交所主板</v>
      </c>
      <c r="BQ241" s="172" t="s">
        <v>317</v>
      </c>
      <c r="BR241" s="173">
        <f t="shared" si="176"/>
        <v>37256</v>
      </c>
      <c r="BS241" s="171" t="str">
        <f t="shared" si="177"/>
        <v>N</v>
      </c>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c r="DJ241" s="7"/>
      <c r="DK241" s="7"/>
      <c r="DL241" s="7"/>
      <c r="DM241" s="7"/>
      <c r="DN241" s="7"/>
      <c r="DO241" s="7"/>
      <c r="DP241" s="7"/>
      <c r="DQ241" s="7"/>
      <c r="DR241" s="7"/>
      <c r="DS241" s="7"/>
      <c r="DT241" s="7"/>
      <c r="DU241" s="7"/>
      <c r="DV241" s="7"/>
      <c r="DW241" s="7"/>
      <c r="DX241" s="7"/>
      <c r="DY241" s="7"/>
      <c r="DZ241" s="7"/>
      <c r="EA241" s="7"/>
      <c r="EB241" s="7"/>
      <c r="EC241" s="7"/>
      <c r="ED241" s="7"/>
      <c r="EE241" s="7"/>
      <c r="EF241" s="7"/>
      <c r="EG241" s="7"/>
      <c r="EH241" s="7"/>
      <c r="EI241" s="7"/>
      <c r="EJ241" s="7"/>
      <c r="EK241" s="7"/>
      <c r="EL241" s="7"/>
      <c r="EM241" s="7"/>
      <c r="EN241" s="7"/>
      <c r="EO241" s="7"/>
      <c r="EP241" s="7"/>
      <c r="EQ241" s="7"/>
      <c r="ER241" s="7"/>
      <c r="ES241" s="7"/>
      <c r="ET241" s="7"/>
      <c r="EU241" s="7"/>
      <c r="EV241" s="7"/>
      <c r="EW241" s="7"/>
      <c r="EX241" s="7"/>
      <c r="EY241" s="7"/>
      <c r="EZ241" s="7"/>
      <c r="FA241" s="7"/>
      <c r="FB241" s="7"/>
      <c r="FC241" s="7"/>
      <c r="FD241" s="7"/>
      <c r="FE241" s="7"/>
      <c r="FF241" s="7"/>
      <c r="FG241" s="7"/>
    </row>
    <row r="242" spans="1:163" ht="15" customHeight="1" x14ac:dyDescent="0.25">
      <c r="A242" s="31">
        <v>59</v>
      </c>
      <c r="B242" s="223" t="s">
        <v>2080</v>
      </c>
      <c r="C242" s="57" t="s">
        <v>2081</v>
      </c>
      <c r="D242" s="57" t="s">
        <v>313</v>
      </c>
      <c r="E242" s="57" t="s">
        <v>736</v>
      </c>
      <c r="F242" s="57" t="s">
        <v>2082</v>
      </c>
      <c r="G242" s="57" t="s">
        <v>315</v>
      </c>
      <c r="H242" s="32" t="s">
        <v>327</v>
      </c>
      <c r="I242" s="78">
        <v>41891</v>
      </c>
      <c r="J242" s="78">
        <v>42083</v>
      </c>
      <c r="K242" s="85">
        <v>42083</v>
      </c>
      <c r="L242" s="226" t="s">
        <v>2083</v>
      </c>
      <c r="M242" s="69">
        <v>2012</v>
      </c>
      <c r="N242" s="69">
        <v>1</v>
      </c>
      <c r="O242" s="69" t="s">
        <v>1258</v>
      </c>
      <c r="P242" s="69" t="s">
        <v>1315</v>
      </c>
      <c r="Q242" s="32" t="s">
        <v>507</v>
      </c>
      <c r="R242" s="85">
        <v>40806</v>
      </c>
      <c r="S242" s="197" t="s">
        <v>863</v>
      </c>
      <c r="T242" s="161" t="s">
        <v>345</v>
      </c>
      <c r="U242" s="69" t="str">
        <f t="shared" si="159"/>
        <v>N</v>
      </c>
      <c r="V242" s="57" t="s">
        <v>361</v>
      </c>
      <c r="W242" s="197" t="s">
        <v>361</v>
      </c>
      <c r="X242" s="197" t="s">
        <v>320</v>
      </c>
      <c r="Y242" s="213">
        <v>30</v>
      </c>
      <c r="Z242" s="149"/>
      <c r="AA242" s="149"/>
      <c r="AB242" s="214"/>
      <c r="AC242" s="149"/>
      <c r="AD242" s="128"/>
      <c r="AE242" s="149"/>
      <c r="AF242" s="149"/>
      <c r="AG242" s="206"/>
      <c r="AH242" s="149"/>
      <c r="AI242" s="128"/>
      <c r="AJ242" s="149"/>
      <c r="AK242" s="149"/>
      <c r="AL242" s="214"/>
      <c r="AM242" s="149"/>
      <c r="AN242" s="128"/>
      <c r="AO242" s="230"/>
      <c r="AP242" s="149"/>
      <c r="AQ242" s="57"/>
      <c r="AR242" s="149"/>
      <c r="AS242" s="128"/>
      <c r="AT242" s="149">
        <v>3000</v>
      </c>
      <c r="AU242" s="149">
        <v>3000</v>
      </c>
      <c r="AV242" s="214">
        <v>2012</v>
      </c>
      <c r="AW242" s="149">
        <v>89878.03</v>
      </c>
      <c r="AX242" s="128">
        <f>AU242/AW242</f>
        <v>3.3378568711396987E-2</v>
      </c>
      <c r="AY242" s="197" t="s">
        <v>2084</v>
      </c>
      <c r="AZ242" s="161" t="str">
        <f t="shared" si="160"/>
        <v>N</v>
      </c>
      <c r="BA242" s="161" t="str">
        <f t="shared" si="161"/>
        <v>N</v>
      </c>
      <c r="BB242" s="161" t="str">
        <f t="shared" si="162"/>
        <v>N</v>
      </c>
      <c r="BC242" s="161" t="str">
        <f t="shared" si="163"/>
        <v>N</v>
      </c>
      <c r="BD242" s="161" t="str">
        <f t="shared" si="164"/>
        <v>N</v>
      </c>
      <c r="BE242" s="161" t="str">
        <f t="shared" si="165"/>
        <v>N</v>
      </c>
      <c r="BF242" s="161" t="str">
        <f t="shared" si="166"/>
        <v>N</v>
      </c>
      <c r="BG242" s="161" t="str">
        <f t="shared" si="167"/>
        <v>N</v>
      </c>
      <c r="BH242" s="161" t="str">
        <f t="shared" si="168"/>
        <v>N</v>
      </c>
      <c r="BI242" s="161" t="str">
        <f t="shared" si="169"/>
        <v>N</v>
      </c>
      <c r="BJ242" s="161" t="str">
        <f t="shared" si="170"/>
        <v>N</v>
      </c>
      <c r="BK242" s="161" t="str">
        <f t="shared" si="171"/>
        <v>N</v>
      </c>
      <c r="BL242" s="161" t="str">
        <f t="shared" si="172"/>
        <v>N</v>
      </c>
      <c r="BM242" s="161" t="str">
        <f t="shared" si="173"/>
        <v>N</v>
      </c>
      <c r="BN242" s="176" t="str">
        <f t="shared" si="174"/>
        <v>N</v>
      </c>
      <c r="BO242" s="222" t="s">
        <v>642</v>
      </c>
      <c r="BP242" s="174" t="str">
        <f t="shared" si="175"/>
        <v>深交所主板</v>
      </c>
      <c r="BQ242" s="219" t="s">
        <v>317</v>
      </c>
      <c r="BR242" s="173">
        <f t="shared" si="176"/>
        <v>41639</v>
      </c>
      <c r="BS242" s="171" t="str">
        <f t="shared" si="177"/>
        <v>Y</v>
      </c>
    </row>
    <row r="243" spans="1:163" ht="15" customHeight="1" x14ac:dyDescent="0.25">
      <c r="A243" s="31">
        <v>58</v>
      </c>
      <c r="B243" s="223" t="s">
        <v>2085</v>
      </c>
      <c r="C243" s="57" t="s">
        <v>2086</v>
      </c>
      <c r="D243" s="57" t="s">
        <v>377</v>
      </c>
      <c r="E243" s="57" t="s">
        <v>2087</v>
      </c>
      <c r="F243" s="57" t="s">
        <v>2088</v>
      </c>
      <c r="G243" s="57" t="s">
        <v>315</v>
      </c>
      <c r="H243" s="32" t="s">
        <v>368</v>
      </c>
      <c r="I243" s="78">
        <v>41956</v>
      </c>
      <c r="J243" s="78">
        <v>42081</v>
      </c>
      <c r="K243" s="78">
        <v>42081</v>
      </c>
      <c r="L243" s="226" t="s">
        <v>2089</v>
      </c>
      <c r="M243" s="69" t="s">
        <v>1917</v>
      </c>
      <c r="N243" s="69">
        <v>2</v>
      </c>
      <c r="O243" s="69" t="s">
        <v>1305</v>
      </c>
      <c r="P243" s="69" t="s">
        <v>1315</v>
      </c>
      <c r="Q243" s="32" t="s">
        <v>2007</v>
      </c>
      <c r="R243" s="85">
        <v>39199</v>
      </c>
      <c r="S243" s="197" t="s">
        <v>332</v>
      </c>
      <c r="T243" s="161" t="s">
        <v>317</v>
      </c>
      <c r="U243" s="69" t="str">
        <f t="shared" si="159"/>
        <v>Y</v>
      </c>
      <c r="V243" s="57" t="s">
        <v>318</v>
      </c>
      <c r="W243" s="197" t="s">
        <v>2090</v>
      </c>
      <c r="X243" s="197" t="s">
        <v>312</v>
      </c>
      <c r="Y243" s="213">
        <v>0</v>
      </c>
      <c r="Z243" s="149">
        <f>372.49+800+25000+25427.51+955.16+3213+44600+46857.84</f>
        <v>147226</v>
      </c>
      <c r="AA243" s="149">
        <v>95626</v>
      </c>
      <c r="AB243" s="214">
        <v>2013</v>
      </c>
      <c r="AC243" s="149">
        <v>118258.17</v>
      </c>
      <c r="AD243" s="128">
        <f>AA243/AC243</f>
        <v>0.80862066443274072</v>
      </c>
      <c r="AE243" s="149"/>
      <c r="AF243" s="149"/>
      <c r="AG243" s="206"/>
      <c r="AH243" s="149"/>
      <c r="AI243" s="128"/>
      <c r="AJ243" s="149">
        <v>24.58</v>
      </c>
      <c r="AK243" s="149">
        <v>24.58</v>
      </c>
      <c r="AL243" s="214">
        <v>2013</v>
      </c>
      <c r="AM243" s="149">
        <v>3192.2077922077901</v>
      </c>
      <c r="AN243" s="128">
        <f>AK243/AM243</f>
        <v>7.7000000000000046E-3</v>
      </c>
      <c r="AO243" s="149"/>
      <c r="AP243" s="149"/>
      <c r="AQ243" s="57"/>
      <c r="AR243" s="149"/>
      <c r="AS243" s="128"/>
      <c r="AT243" s="149"/>
      <c r="AU243" s="149"/>
      <c r="AV243" s="214"/>
      <c r="AW243" s="149"/>
      <c r="AX243" s="128"/>
      <c r="AY243" s="197" t="s">
        <v>2091</v>
      </c>
      <c r="AZ243" s="161" t="str">
        <f t="shared" si="160"/>
        <v>Y</v>
      </c>
      <c r="BA243" s="161" t="str">
        <f t="shared" si="161"/>
        <v>Y</v>
      </c>
      <c r="BB243" s="161" t="str">
        <f t="shared" si="162"/>
        <v>N</v>
      </c>
      <c r="BC243" s="161" t="str">
        <f t="shared" si="163"/>
        <v>N</v>
      </c>
      <c r="BD243" s="161" t="str">
        <f t="shared" si="164"/>
        <v>N</v>
      </c>
      <c r="BE243" s="161" t="str">
        <f t="shared" si="165"/>
        <v>N</v>
      </c>
      <c r="BF243" s="161" t="str">
        <f t="shared" si="166"/>
        <v>N</v>
      </c>
      <c r="BG243" s="161" t="str">
        <f t="shared" si="167"/>
        <v>N</v>
      </c>
      <c r="BH243" s="161" t="str">
        <f t="shared" si="168"/>
        <v>N</v>
      </c>
      <c r="BI243" s="161" t="str">
        <f t="shared" si="169"/>
        <v>N</v>
      </c>
      <c r="BJ243" s="161" t="str">
        <f t="shared" si="170"/>
        <v>N</v>
      </c>
      <c r="BK243" s="161" t="str">
        <f t="shared" si="171"/>
        <v>N</v>
      </c>
      <c r="BL243" s="161" t="str">
        <f t="shared" si="172"/>
        <v>Y</v>
      </c>
      <c r="BM243" s="161" t="str">
        <f t="shared" si="173"/>
        <v>Y</v>
      </c>
      <c r="BN243" s="176" t="str">
        <f t="shared" si="174"/>
        <v>N</v>
      </c>
      <c r="BO243" s="222" t="s">
        <v>348</v>
      </c>
      <c r="BP243" s="174" t="str">
        <f t="shared" si="175"/>
        <v>深交所主板</v>
      </c>
      <c r="BQ243" s="219" t="s">
        <v>317</v>
      </c>
      <c r="BR243" s="173">
        <f t="shared" si="176"/>
        <v>40178</v>
      </c>
      <c r="BS243" s="171" t="str">
        <f t="shared" si="177"/>
        <v>N</v>
      </c>
    </row>
    <row r="244" spans="1:163" s="13" customFormat="1" ht="15" customHeight="1" x14ac:dyDescent="0.25">
      <c r="A244" s="31">
        <v>57</v>
      </c>
      <c r="B244" s="223" t="s">
        <v>2092</v>
      </c>
      <c r="C244" s="57" t="s">
        <v>2093</v>
      </c>
      <c r="D244" s="57" t="s">
        <v>426</v>
      </c>
      <c r="E244" s="57" t="s">
        <v>2094</v>
      </c>
      <c r="F244" s="57" t="s">
        <v>2095</v>
      </c>
      <c r="G244" s="57" t="s">
        <v>315</v>
      </c>
      <c r="H244" s="32" t="s">
        <v>368</v>
      </c>
      <c r="I244" s="78">
        <v>41974</v>
      </c>
      <c r="J244" s="78">
        <v>42080</v>
      </c>
      <c r="K244" s="85">
        <v>42080</v>
      </c>
      <c r="L244" s="226" t="s">
        <v>2096</v>
      </c>
      <c r="M244" s="69" t="s">
        <v>1991</v>
      </c>
      <c r="N244" s="69">
        <v>2</v>
      </c>
      <c r="O244" s="69" t="s">
        <v>1305</v>
      </c>
      <c r="P244" s="69" t="s">
        <v>1315</v>
      </c>
      <c r="Q244" s="32" t="s">
        <v>1047</v>
      </c>
      <c r="R244" s="85">
        <v>40872</v>
      </c>
      <c r="S244" s="197" t="s">
        <v>822</v>
      </c>
      <c r="T244" s="161" t="s">
        <v>317</v>
      </c>
      <c r="U244" s="69" t="str">
        <f t="shared" si="159"/>
        <v>Y</v>
      </c>
      <c r="V244" s="57" t="s">
        <v>361</v>
      </c>
      <c r="W244" s="197" t="s">
        <v>361</v>
      </c>
      <c r="X244" s="197" t="s">
        <v>320</v>
      </c>
      <c r="Y244" s="213">
        <v>50</v>
      </c>
      <c r="Z244" s="149"/>
      <c r="AA244" s="149"/>
      <c r="AB244" s="214"/>
      <c r="AC244" s="149"/>
      <c r="AD244" s="128"/>
      <c r="AE244" s="149"/>
      <c r="AF244" s="149"/>
      <c r="AG244" s="206"/>
      <c r="AH244" s="149"/>
      <c r="AI244" s="128"/>
      <c r="AJ244" s="230"/>
      <c r="AK244" s="149"/>
      <c r="AL244" s="214"/>
      <c r="AM244" s="149"/>
      <c r="AN244" s="128"/>
      <c r="AO244" s="149"/>
      <c r="AP244" s="149"/>
      <c r="AQ244" s="57"/>
      <c r="AR244" s="149"/>
      <c r="AS244" s="128"/>
      <c r="AT244" s="149">
        <v>182750</v>
      </c>
      <c r="AU244" s="149"/>
      <c r="AV244" s="214"/>
      <c r="AW244" s="149"/>
      <c r="AX244" s="128"/>
      <c r="AY244" s="197" t="s">
        <v>2097</v>
      </c>
      <c r="AZ244" s="161" t="str">
        <f t="shared" si="160"/>
        <v>N</v>
      </c>
      <c r="BA244" s="161" t="str">
        <f t="shared" si="161"/>
        <v>N</v>
      </c>
      <c r="BB244" s="161" t="str">
        <f t="shared" si="162"/>
        <v>N</v>
      </c>
      <c r="BC244" s="161" t="str">
        <f t="shared" si="163"/>
        <v>N</v>
      </c>
      <c r="BD244" s="161" t="str">
        <f t="shared" si="164"/>
        <v>N</v>
      </c>
      <c r="BE244" s="161" t="str">
        <f t="shared" si="165"/>
        <v>N</v>
      </c>
      <c r="BF244" s="161" t="str">
        <f t="shared" si="166"/>
        <v>N</v>
      </c>
      <c r="BG244" s="161" t="str">
        <f t="shared" si="167"/>
        <v>N</v>
      </c>
      <c r="BH244" s="161" t="str">
        <f t="shared" si="168"/>
        <v>N</v>
      </c>
      <c r="BI244" s="161" t="str">
        <f t="shared" si="169"/>
        <v>N</v>
      </c>
      <c r="BJ244" s="161" t="str">
        <f t="shared" si="170"/>
        <v>Y</v>
      </c>
      <c r="BK244" s="161" t="str">
        <f t="shared" si="171"/>
        <v>N</v>
      </c>
      <c r="BL244" s="161" t="str">
        <f t="shared" si="172"/>
        <v>Y</v>
      </c>
      <c r="BM244" s="161" t="str">
        <f t="shared" si="173"/>
        <v>N</v>
      </c>
      <c r="BN244" s="176" t="str">
        <f t="shared" si="174"/>
        <v>N</v>
      </c>
      <c r="BO244" s="222" t="s">
        <v>663</v>
      </c>
      <c r="BP244" s="174" t="str">
        <f t="shared" si="175"/>
        <v>深交所主板</v>
      </c>
      <c r="BQ244" s="219" t="s">
        <v>317</v>
      </c>
      <c r="BR244" s="173">
        <f t="shared" si="176"/>
        <v>41639</v>
      </c>
      <c r="BS244" s="171" t="str">
        <f t="shared" si="177"/>
        <v>Y</v>
      </c>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row>
    <row r="245" spans="1:163" ht="15" customHeight="1" x14ac:dyDescent="0.35">
      <c r="A245" s="31">
        <v>56</v>
      </c>
      <c r="B245" s="32" t="s">
        <v>2098</v>
      </c>
      <c r="C245" s="23" t="s">
        <v>2099</v>
      </c>
      <c r="D245" s="44" t="s">
        <v>725</v>
      </c>
      <c r="E245" s="44" t="s">
        <v>726</v>
      </c>
      <c r="F245" s="58" t="s">
        <v>2100</v>
      </c>
      <c r="G245" s="42" t="s">
        <v>315</v>
      </c>
      <c r="H245" s="32" t="s">
        <v>2101</v>
      </c>
      <c r="I245" s="78">
        <v>41705</v>
      </c>
      <c r="J245" s="78">
        <v>42051</v>
      </c>
      <c r="K245" s="78">
        <v>42051</v>
      </c>
      <c r="L245" s="79" t="s">
        <v>2102</v>
      </c>
      <c r="M245" s="225" t="s">
        <v>2103</v>
      </c>
      <c r="N245" s="23">
        <v>4.5</v>
      </c>
      <c r="O245" s="69" t="str">
        <f>IF(N245&lt;1,"1年以内",IF(N245&lt;2,"1-2年",IF(N245&lt;3,"2-3年",IF(N245&lt;5,"3-5年","5年以上"))))</f>
        <v>3-5年</v>
      </c>
      <c r="P245" s="69" t="s">
        <v>2104</v>
      </c>
      <c r="Q245" s="191" t="s">
        <v>2105</v>
      </c>
      <c r="R245" s="80">
        <v>40156</v>
      </c>
      <c r="S245" s="44" t="s">
        <v>759</v>
      </c>
      <c r="T245" s="207" t="s">
        <v>317</v>
      </c>
      <c r="U245" s="69" t="str">
        <f t="shared" si="159"/>
        <v>N</v>
      </c>
      <c r="V245" s="44" t="s">
        <v>2106</v>
      </c>
      <c r="W245" s="208" t="s">
        <v>788</v>
      </c>
      <c r="X245" s="44" t="s">
        <v>320</v>
      </c>
      <c r="Y245" s="229">
        <v>60</v>
      </c>
      <c r="Z245" s="216">
        <f>111577270/10000</f>
        <v>11157.727000000001</v>
      </c>
      <c r="AA245" s="216">
        <f>111577270/10000</f>
        <v>11157.727000000001</v>
      </c>
      <c r="AB245" s="44">
        <v>2013</v>
      </c>
      <c r="AC245" s="148">
        <f>821490478.08/10000</f>
        <v>82149.047808000003</v>
      </c>
      <c r="AD245" s="128">
        <f>AA245/AC245</f>
        <v>0.13582296201506813</v>
      </c>
      <c r="AE245" s="148"/>
      <c r="AF245" s="148"/>
      <c r="AG245" s="218"/>
      <c r="AH245" s="147"/>
      <c r="AI245" s="128"/>
      <c r="AJ245" s="148">
        <f>1391+447+551+926</f>
        <v>3315</v>
      </c>
      <c r="AK245" s="148">
        <v>1391</v>
      </c>
      <c r="AL245" s="218">
        <v>2009</v>
      </c>
      <c r="AM245" s="148">
        <f>33187634.54/10000</f>
        <v>3318.7634539999999</v>
      </c>
      <c r="AN245" s="128">
        <f t="shared" ref="AN245:AN252" si="178">AK245/AM245</f>
        <v>0.41913201084683271</v>
      </c>
      <c r="AO245" s="148"/>
      <c r="AP245" s="148"/>
      <c r="AQ245" s="44"/>
      <c r="AR245" s="148"/>
      <c r="AS245" s="128"/>
      <c r="AT245" s="148"/>
      <c r="AU245" s="148"/>
      <c r="AV245" s="218"/>
      <c r="AW245" s="148"/>
      <c r="AX245" s="159"/>
      <c r="AY245" s="198" t="s">
        <v>2107</v>
      </c>
      <c r="AZ245" s="161" t="str">
        <f t="shared" si="160"/>
        <v>N</v>
      </c>
      <c r="BA245" s="161" t="str">
        <f t="shared" si="161"/>
        <v>N</v>
      </c>
      <c r="BB245" s="161" t="str">
        <f t="shared" si="162"/>
        <v>N</v>
      </c>
      <c r="BC245" s="161" t="str">
        <f t="shared" si="163"/>
        <v>N</v>
      </c>
      <c r="BD245" s="161" t="str">
        <f t="shared" si="164"/>
        <v>N</v>
      </c>
      <c r="BE245" s="161" t="str">
        <f t="shared" si="165"/>
        <v>N</v>
      </c>
      <c r="BF245" s="161" t="str">
        <f t="shared" si="166"/>
        <v>N</v>
      </c>
      <c r="BG245" s="161" t="str">
        <f t="shared" si="167"/>
        <v>N</v>
      </c>
      <c r="BH245" s="161" t="str">
        <f t="shared" si="168"/>
        <v>N</v>
      </c>
      <c r="BI245" s="161" t="str">
        <f t="shared" si="169"/>
        <v>N</v>
      </c>
      <c r="BJ245" s="161" t="str">
        <f t="shared" si="170"/>
        <v>N</v>
      </c>
      <c r="BK245" s="161" t="str">
        <f t="shared" si="171"/>
        <v>N</v>
      </c>
      <c r="BL245" s="161" t="str">
        <f t="shared" si="172"/>
        <v>N</v>
      </c>
      <c r="BM245" s="161" t="str">
        <f t="shared" si="173"/>
        <v>N</v>
      </c>
      <c r="BN245" s="176" t="str">
        <f t="shared" si="174"/>
        <v>N</v>
      </c>
      <c r="BO245" s="170" t="s">
        <v>386</v>
      </c>
      <c r="BP245" s="174" t="str">
        <f t="shared" si="175"/>
        <v>深交所主板</v>
      </c>
      <c r="BQ245" s="172" t="s">
        <v>317</v>
      </c>
      <c r="BR245" s="173">
        <f t="shared" si="176"/>
        <v>40908</v>
      </c>
      <c r="BS245" s="171" t="str">
        <f t="shared" si="177"/>
        <v>Y</v>
      </c>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s="7"/>
      <c r="DF245" s="7"/>
      <c r="DG245" s="7"/>
      <c r="DH245" s="7"/>
      <c r="DI245" s="7"/>
      <c r="DJ245" s="7"/>
      <c r="DK245" s="7"/>
      <c r="DL245" s="7"/>
      <c r="DM245" s="7"/>
      <c r="DN245" s="7"/>
      <c r="DO245" s="7"/>
      <c r="DP245" s="7"/>
      <c r="DQ245" s="7"/>
      <c r="DR245" s="7"/>
      <c r="DS245" s="7"/>
      <c r="DT245" s="7"/>
      <c r="DU245" s="7"/>
      <c r="DV245" s="7"/>
      <c r="DW245" s="7"/>
      <c r="DX245" s="7"/>
      <c r="DY245" s="7"/>
      <c r="DZ245" s="7"/>
      <c r="EA245" s="7"/>
      <c r="EB245" s="7"/>
      <c r="EC245" s="7"/>
      <c r="ED245" s="7"/>
      <c r="EE245" s="7"/>
      <c r="EF245" s="7"/>
      <c r="EG245" s="7"/>
      <c r="EH245" s="7"/>
      <c r="EI245" s="7"/>
      <c r="EJ245" s="7"/>
      <c r="EK245" s="7"/>
      <c r="EL245" s="7"/>
      <c r="EM245" s="7"/>
      <c r="EN245" s="7"/>
      <c r="EO245" s="7"/>
      <c r="EP245" s="7"/>
      <c r="EQ245" s="7"/>
      <c r="ER245" s="7"/>
      <c r="ES245" s="7"/>
      <c r="ET245" s="7"/>
      <c r="EU245" s="7"/>
      <c r="EV245" s="7"/>
      <c r="EW245" s="7"/>
      <c r="EX245" s="7"/>
      <c r="EY245" s="7"/>
      <c r="EZ245" s="7"/>
      <c r="FA245" s="7"/>
      <c r="FB245" s="7"/>
      <c r="FC245" s="7"/>
      <c r="FD245" s="7"/>
      <c r="FE245" s="7"/>
      <c r="FF245" s="7"/>
      <c r="FG245" s="7"/>
    </row>
    <row r="246" spans="1:163" ht="15" customHeight="1" x14ac:dyDescent="0.35">
      <c r="A246" s="31">
        <v>55</v>
      </c>
      <c r="B246" s="32" t="s">
        <v>2108</v>
      </c>
      <c r="C246" s="23" t="s">
        <v>2109</v>
      </c>
      <c r="D246" s="44" t="s">
        <v>574</v>
      </c>
      <c r="E246" s="44" t="s">
        <v>575</v>
      </c>
      <c r="F246" s="190" t="s">
        <v>2110</v>
      </c>
      <c r="G246" s="42" t="s">
        <v>354</v>
      </c>
      <c r="H246" s="32" t="s">
        <v>368</v>
      </c>
      <c r="I246" s="78">
        <v>41558</v>
      </c>
      <c r="J246" s="78">
        <v>42045</v>
      </c>
      <c r="K246" s="78">
        <v>42167</v>
      </c>
      <c r="L246" s="79" t="s">
        <v>2111</v>
      </c>
      <c r="M246" s="225" t="s">
        <v>2112</v>
      </c>
      <c r="N246" s="23">
        <v>5</v>
      </c>
      <c r="O246" s="69" t="str">
        <f>IF(N246&lt;1,"1年以内",IF(N246&lt;2,"1-2年",IF(N246&lt;3,"2-3年",IF(N246&lt;5,"3-5年","5年以上"))))</f>
        <v>5年以上</v>
      </c>
      <c r="P246" s="69" t="s">
        <v>2113</v>
      </c>
      <c r="Q246" s="191" t="s">
        <v>507</v>
      </c>
      <c r="R246" s="80">
        <v>34369</v>
      </c>
      <c r="S246" s="44" t="s">
        <v>555</v>
      </c>
      <c r="T246" s="207" t="s">
        <v>317</v>
      </c>
      <c r="U246" s="69" t="str">
        <f t="shared" si="159"/>
        <v>Y</v>
      </c>
      <c r="V246" s="44" t="s">
        <v>2114</v>
      </c>
      <c r="W246" s="208" t="s">
        <v>1362</v>
      </c>
      <c r="X246" s="44" t="s">
        <v>320</v>
      </c>
      <c r="Y246" s="229">
        <v>40</v>
      </c>
      <c r="Z246" s="216">
        <f>(32757527.73+148419905.81+55313207.2+30307583.67)/10000</f>
        <v>26679.822441000004</v>
      </c>
      <c r="AA246" s="148">
        <f>148419905.81/10000</f>
        <v>14841.990581</v>
      </c>
      <c r="AB246" s="44">
        <v>2009</v>
      </c>
      <c r="AC246" s="148">
        <f>1637034293.87/10000</f>
        <v>163703.42938699998</v>
      </c>
      <c r="AD246" s="128">
        <f>AA246/AC246</f>
        <v>9.0663895292706881E-2</v>
      </c>
      <c r="AE246" s="148"/>
      <c r="AF246" s="148"/>
      <c r="AG246" s="218"/>
      <c r="AH246" s="147"/>
      <c r="AI246" s="128"/>
      <c r="AJ246" s="148">
        <f>(32757527.73+148419905.81+55313207.2+30307583.67)/10000</f>
        <v>26679.822441000004</v>
      </c>
      <c r="AK246" s="148">
        <f>148419905.81/10000</f>
        <v>14841.990581</v>
      </c>
      <c r="AL246" s="218">
        <v>2009</v>
      </c>
      <c r="AM246" s="148">
        <f>101305409.51/10000</f>
        <v>10130.540951000001</v>
      </c>
      <c r="AN246" s="128">
        <f t="shared" si="178"/>
        <v>1.4650738448014393</v>
      </c>
      <c r="AO246" s="148"/>
      <c r="AP246" s="148"/>
      <c r="AQ246" s="44"/>
      <c r="AR246" s="148"/>
      <c r="AS246" s="128"/>
      <c r="AT246" s="148"/>
      <c r="AU246" s="148"/>
      <c r="AV246" s="218"/>
      <c r="AW246" s="148"/>
      <c r="AX246" s="159"/>
      <c r="AY246" s="198" t="s">
        <v>2115</v>
      </c>
      <c r="AZ246" s="161" t="str">
        <f t="shared" si="160"/>
        <v>N</v>
      </c>
      <c r="BA246" s="161" t="str">
        <f t="shared" si="161"/>
        <v>N</v>
      </c>
      <c r="BB246" s="161" t="str">
        <f t="shared" si="162"/>
        <v>N</v>
      </c>
      <c r="BC246" s="161" t="str">
        <f t="shared" si="163"/>
        <v>N</v>
      </c>
      <c r="BD246" s="161" t="str">
        <f t="shared" si="164"/>
        <v>N</v>
      </c>
      <c r="BE246" s="161" t="str">
        <f t="shared" si="165"/>
        <v>Y</v>
      </c>
      <c r="BF246" s="161" t="str">
        <f t="shared" si="166"/>
        <v>Y</v>
      </c>
      <c r="BG246" s="161" t="str">
        <f t="shared" si="167"/>
        <v>N</v>
      </c>
      <c r="BH246" s="161" t="str">
        <f t="shared" si="168"/>
        <v>N</v>
      </c>
      <c r="BI246" s="161" t="str">
        <f t="shared" si="169"/>
        <v>N</v>
      </c>
      <c r="BJ246" s="161" t="str">
        <f t="shared" si="170"/>
        <v>N</v>
      </c>
      <c r="BK246" s="161" t="str">
        <f t="shared" si="171"/>
        <v>N</v>
      </c>
      <c r="BL246" s="161" t="str">
        <f t="shared" si="172"/>
        <v>N</v>
      </c>
      <c r="BM246" s="161" t="str">
        <f t="shared" si="173"/>
        <v>Y</v>
      </c>
      <c r="BN246" s="176" t="str">
        <f t="shared" si="174"/>
        <v>Y</v>
      </c>
      <c r="BO246" s="170" t="s">
        <v>1189</v>
      </c>
      <c r="BP246" s="174" t="str">
        <f t="shared" si="175"/>
        <v>上交所主板</v>
      </c>
      <c r="BQ246" s="172" t="s">
        <v>317</v>
      </c>
      <c r="BR246" s="173">
        <f t="shared" si="176"/>
        <v>35430</v>
      </c>
      <c r="BS246" s="171" t="str">
        <f t="shared" si="177"/>
        <v>N</v>
      </c>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c r="DJ246" s="7"/>
      <c r="DK246" s="7"/>
      <c r="DL246" s="7"/>
      <c r="DM246" s="7"/>
      <c r="DN246" s="7"/>
      <c r="DO246" s="7"/>
      <c r="DP246" s="7"/>
      <c r="DQ246" s="7"/>
      <c r="DR246" s="7"/>
      <c r="DS246" s="7"/>
      <c r="DT246" s="7"/>
      <c r="DU246" s="7"/>
      <c r="DV246" s="7"/>
      <c r="DW246" s="7"/>
      <c r="DX246" s="7"/>
      <c r="DY246" s="7"/>
      <c r="DZ246" s="7"/>
      <c r="EA246" s="7"/>
      <c r="EB246" s="7"/>
      <c r="EC246" s="7"/>
      <c r="ED246" s="7"/>
      <c r="EE246" s="7"/>
      <c r="EF246" s="7"/>
      <c r="EG246" s="7"/>
      <c r="EH246" s="7"/>
      <c r="EI246" s="7"/>
      <c r="EJ246" s="7"/>
      <c r="EK246" s="7"/>
      <c r="EL246" s="7"/>
      <c r="EM246" s="7"/>
      <c r="EN246" s="7"/>
      <c r="EO246" s="7"/>
      <c r="EP246" s="7"/>
      <c r="EQ246" s="7"/>
      <c r="ER246" s="7"/>
      <c r="ES246" s="7"/>
      <c r="ET246" s="7"/>
      <c r="EU246" s="7"/>
      <c r="EV246" s="7"/>
      <c r="EW246" s="7"/>
      <c r="EX246" s="7"/>
      <c r="EY246" s="7"/>
      <c r="EZ246" s="7"/>
      <c r="FA246" s="7"/>
      <c r="FB246" s="7"/>
      <c r="FC246" s="7"/>
      <c r="FD246" s="7"/>
      <c r="FE246" s="7"/>
      <c r="FF246" s="7"/>
      <c r="FG246" s="7"/>
    </row>
    <row r="247" spans="1:163" ht="15" customHeight="1" x14ac:dyDescent="0.35">
      <c r="A247" s="31">
        <v>54</v>
      </c>
      <c r="B247" s="32" t="s">
        <v>2116</v>
      </c>
      <c r="C247" s="23" t="s">
        <v>2117</v>
      </c>
      <c r="D247" s="44" t="s">
        <v>377</v>
      </c>
      <c r="E247" s="44" t="s">
        <v>2118</v>
      </c>
      <c r="F247" s="190" t="s">
        <v>2119</v>
      </c>
      <c r="G247" s="42" t="s">
        <v>326</v>
      </c>
      <c r="H247" s="32" t="s">
        <v>368</v>
      </c>
      <c r="I247" s="78">
        <v>41625</v>
      </c>
      <c r="J247" s="78">
        <v>42013</v>
      </c>
      <c r="K247" s="78">
        <v>42069</v>
      </c>
      <c r="L247" s="79" t="s">
        <v>2120</v>
      </c>
      <c r="M247" s="198" t="s">
        <v>2121</v>
      </c>
      <c r="N247" s="23">
        <v>2</v>
      </c>
      <c r="O247" s="69" t="str">
        <f>IF(N247&lt;1,"1年以内",IF(N247&lt;2,"1-2年",IF(N247&lt;3,"2-3年",IF(N247&lt;5,"3-5年","5年以上"))))</f>
        <v>2-3年</v>
      </c>
      <c r="P247" s="69" t="s">
        <v>2122</v>
      </c>
      <c r="Q247" s="191" t="s">
        <v>2123</v>
      </c>
      <c r="R247" s="80">
        <v>37915</v>
      </c>
      <c r="S247" s="44" t="s">
        <v>555</v>
      </c>
      <c r="T247" s="240" t="s">
        <v>317</v>
      </c>
      <c r="U247" s="69" t="str">
        <f t="shared" si="159"/>
        <v>N</v>
      </c>
      <c r="V247" s="44" t="s">
        <v>318</v>
      </c>
      <c r="W247" s="208" t="s">
        <v>346</v>
      </c>
      <c r="X247" s="44" t="s">
        <v>320</v>
      </c>
      <c r="Y247" s="229">
        <v>60</v>
      </c>
      <c r="Z247" s="216"/>
      <c r="AA247" s="148"/>
      <c r="AB247" s="44"/>
      <c r="AC247" s="148"/>
      <c r="AD247" s="128"/>
      <c r="AE247" s="148">
        <f>127868196.02/10000</f>
        <v>12786.819602</v>
      </c>
      <c r="AF247" s="148">
        <f>127868196.02/10000</f>
        <v>12786.819602</v>
      </c>
      <c r="AG247" s="218">
        <v>2012</v>
      </c>
      <c r="AH247" s="147">
        <f>8906220499.45/10000</f>
        <v>890622.04994500009</v>
      </c>
      <c r="AI247" s="128">
        <f>AF247/AH247</f>
        <v>1.4357178337084336E-2</v>
      </c>
      <c r="AJ247" s="148">
        <f>(7593130.28+22124654.34+20023219.62)/10000</f>
        <v>4974.1004240000002</v>
      </c>
      <c r="AK247" s="148">
        <f>(22124654.34+20023219.62)/10000</f>
        <v>4214.7873959999997</v>
      </c>
      <c r="AL247" s="218">
        <v>2012</v>
      </c>
      <c r="AM247" s="148">
        <f>325876358.16/10000</f>
        <v>32587.635816000002</v>
      </c>
      <c r="AN247" s="128">
        <f t="shared" si="178"/>
        <v>0.12933701050907803</v>
      </c>
      <c r="AO247" s="148"/>
      <c r="AP247" s="148"/>
      <c r="AQ247" s="44"/>
      <c r="AR247" s="148"/>
      <c r="AS247" s="128"/>
      <c r="AT247" s="148"/>
      <c r="AU247" s="148"/>
      <c r="AV247" s="218"/>
      <c r="AW247" s="148"/>
      <c r="AX247" s="159"/>
      <c r="AY247" s="198" t="s">
        <v>2124</v>
      </c>
      <c r="AZ247" s="161" t="str">
        <f t="shared" si="160"/>
        <v>N</v>
      </c>
      <c r="BA247" s="161" t="str">
        <f t="shared" si="161"/>
        <v>N</v>
      </c>
      <c r="BB247" s="161" t="str">
        <f t="shared" si="162"/>
        <v>N</v>
      </c>
      <c r="BC247" s="161" t="str">
        <f t="shared" si="163"/>
        <v>N</v>
      </c>
      <c r="BD247" s="161" t="str">
        <f t="shared" si="164"/>
        <v>N</v>
      </c>
      <c r="BE247" s="161" t="str">
        <f t="shared" si="165"/>
        <v>N</v>
      </c>
      <c r="BF247" s="161" t="str">
        <f t="shared" si="166"/>
        <v>N</v>
      </c>
      <c r="BG247" s="161" t="str">
        <f t="shared" si="167"/>
        <v>N</v>
      </c>
      <c r="BH247" s="161" t="str">
        <f t="shared" si="168"/>
        <v>N</v>
      </c>
      <c r="BI247" s="161" t="str">
        <f t="shared" si="169"/>
        <v>N</v>
      </c>
      <c r="BJ247" s="161" t="str">
        <f t="shared" si="170"/>
        <v>N</v>
      </c>
      <c r="BK247" s="161" t="str">
        <f t="shared" si="171"/>
        <v>N</v>
      </c>
      <c r="BL247" s="161" t="str">
        <f t="shared" si="172"/>
        <v>N</v>
      </c>
      <c r="BM247" s="161" t="str">
        <f t="shared" si="173"/>
        <v>N</v>
      </c>
      <c r="BN247" s="176" t="str">
        <f t="shared" si="174"/>
        <v>N</v>
      </c>
      <c r="BO247" s="170" t="s">
        <v>1558</v>
      </c>
      <c r="BP247" s="174" t="str">
        <f t="shared" si="175"/>
        <v>上交所主板</v>
      </c>
      <c r="BQ247" s="172" t="s">
        <v>317</v>
      </c>
      <c r="BR247" s="173">
        <f t="shared" si="176"/>
        <v>38717</v>
      </c>
      <c r="BS247" s="171" t="str">
        <f t="shared" si="177"/>
        <v>N</v>
      </c>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c r="DA247" s="7"/>
      <c r="DB247" s="7"/>
      <c r="DC247" s="7"/>
      <c r="DD247" s="7"/>
      <c r="DE247" s="7"/>
      <c r="DF247" s="7"/>
      <c r="DG247" s="7"/>
      <c r="DH247" s="7"/>
      <c r="DI247" s="7"/>
      <c r="DJ247" s="7"/>
      <c r="DK247" s="7"/>
      <c r="DL247" s="7"/>
      <c r="DM247" s="7"/>
      <c r="DN247" s="7"/>
      <c r="DO247" s="7"/>
      <c r="DP247" s="7"/>
      <c r="DQ247" s="7"/>
      <c r="DR247" s="7"/>
      <c r="DS247" s="7"/>
      <c r="DT247" s="7"/>
      <c r="DU247" s="7"/>
      <c r="DV247" s="7"/>
      <c r="DW247" s="7"/>
      <c r="DX247" s="7"/>
      <c r="DY247" s="7"/>
      <c r="DZ247" s="7"/>
      <c r="EA247" s="7"/>
      <c r="EB247" s="7"/>
      <c r="EC247" s="7"/>
      <c r="ED247" s="7"/>
      <c r="EE247" s="7"/>
      <c r="EF247" s="7"/>
      <c r="EG247" s="7"/>
      <c r="EH247" s="7"/>
      <c r="EI247" s="7"/>
      <c r="EJ247" s="7"/>
      <c r="EK247" s="7"/>
      <c r="EL247" s="7"/>
      <c r="EM247" s="7"/>
      <c r="EN247" s="7"/>
      <c r="EO247" s="7"/>
      <c r="EP247" s="7"/>
      <c r="EQ247" s="7"/>
      <c r="ER247" s="7"/>
      <c r="ES247" s="7"/>
      <c r="ET247" s="7"/>
      <c r="EU247" s="7"/>
      <c r="EV247" s="7"/>
      <c r="EW247" s="7"/>
      <c r="EX247" s="7"/>
      <c r="EY247" s="7"/>
      <c r="EZ247" s="7"/>
      <c r="FA247" s="7"/>
      <c r="FB247" s="7"/>
      <c r="FC247" s="7"/>
      <c r="FD247" s="7"/>
      <c r="FE247" s="7"/>
      <c r="FF247" s="7"/>
      <c r="FG247" s="7"/>
    </row>
    <row r="248" spans="1:163" ht="15" customHeight="1" x14ac:dyDescent="0.35">
      <c r="A248" s="31">
        <v>53</v>
      </c>
      <c r="B248" s="32" t="s">
        <v>2125</v>
      </c>
      <c r="C248" s="23" t="s">
        <v>2126</v>
      </c>
      <c r="D248" s="44" t="s">
        <v>612</v>
      </c>
      <c r="E248" s="44" t="s">
        <v>613</v>
      </c>
      <c r="F248" s="190" t="s">
        <v>2127</v>
      </c>
      <c r="G248" s="42" t="s">
        <v>380</v>
      </c>
      <c r="H248" s="32" t="s">
        <v>368</v>
      </c>
      <c r="I248" s="78">
        <v>41423</v>
      </c>
      <c r="J248" s="78">
        <v>42012</v>
      </c>
      <c r="K248" s="78">
        <v>42318</v>
      </c>
      <c r="L248" s="79" t="s">
        <v>2128</v>
      </c>
      <c r="M248" s="198">
        <v>2011</v>
      </c>
      <c r="N248" s="23">
        <v>1</v>
      </c>
      <c r="O248" s="69" t="str">
        <f>IF(N248&lt;1,"1年以内",IF(N248&lt;2,"1-2年",IF(N248&lt;3,"2-3年",IF(N248&lt;5,"3-5年","5年以上"))))</f>
        <v>1-2年</v>
      </c>
      <c r="P248" s="69" t="s">
        <v>2045</v>
      </c>
      <c r="Q248" s="191" t="s">
        <v>2037</v>
      </c>
      <c r="R248" s="80">
        <v>40556</v>
      </c>
      <c r="S248" s="44" t="s">
        <v>359</v>
      </c>
      <c r="T248" s="207" t="s">
        <v>345</v>
      </c>
      <c r="U248" s="69" t="str">
        <f t="shared" si="159"/>
        <v>Y</v>
      </c>
      <c r="V248" s="44" t="s">
        <v>318</v>
      </c>
      <c r="W248" s="208" t="s">
        <v>693</v>
      </c>
      <c r="X248" s="44" t="s">
        <v>334</v>
      </c>
      <c r="Y248" s="229">
        <v>60</v>
      </c>
      <c r="Z248" s="216">
        <f>(66653638.29+52249285.48)/10000</f>
        <v>11890.292377</v>
      </c>
      <c r="AA248" s="216">
        <f>(66653638.29+52249285.48)/10000</f>
        <v>11890.292377</v>
      </c>
      <c r="AB248" s="44">
        <v>2011</v>
      </c>
      <c r="AC248" s="148">
        <f>13684513722.56/10000</f>
        <v>1368451.3722560001</v>
      </c>
      <c r="AD248" s="128">
        <f>AA248/AC248</f>
        <v>8.6888672977819548E-3</v>
      </c>
      <c r="AE248" s="148">
        <f>(1507712813.36+929026312.3)/10000</f>
        <v>243673.91256599998</v>
      </c>
      <c r="AF248" s="148">
        <f>(1507712813.36+929026312.3)/10000</f>
        <v>243673.91256599998</v>
      </c>
      <c r="AG248" s="218">
        <v>2011</v>
      </c>
      <c r="AH248" s="147">
        <f>9506490078.47/10000</f>
        <v>950649.00784699991</v>
      </c>
      <c r="AI248" s="128">
        <f>AF248/AH248</f>
        <v>0.25632374362633065</v>
      </c>
      <c r="AJ248" s="148">
        <f>(67133495.39+210718176.94)/10000</f>
        <v>27785.167233</v>
      </c>
      <c r="AK248" s="148">
        <f>(67133495.39+210718176.94)/10000</f>
        <v>27785.167233</v>
      </c>
      <c r="AL248" s="218">
        <v>2011</v>
      </c>
      <c r="AM248" s="148">
        <f>530979004.53/10000</f>
        <v>53097.900452999995</v>
      </c>
      <c r="AN248" s="128">
        <f t="shared" si="178"/>
        <v>0.5232818434618568</v>
      </c>
      <c r="AO248" s="148"/>
      <c r="AP248" s="148"/>
      <c r="AQ248" s="44"/>
      <c r="AR248" s="148"/>
      <c r="AS248" s="128"/>
      <c r="AT248" s="148"/>
      <c r="AU248" s="148"/>
      <c r="AV248" s="218"/>
      <c r="AW248" s="148"/>
      <c r="AX248" s="159"/>
      <c r="AY248" s="198" t="s">
        <v>2129</v>
      </c>
      <c r="AZ248" s="161" t="str">
        <f t="shared" si="160"/>
        <v>N</v>
      </c>
      <c r="BA248" s="161" t="str">
        <f t="shared" si="161"/>
        <v>N</v>
      </c>
      <c r="BB248" s="161" t="str">
        <f t="shared" si="162"/>
        <v>Y</v>
      </c>
      <c r="BC248" s="161" t="str">
        <f t="shared" si="163"/>
        <v>N</v>
      </c>
      <c r="BD248" s="161" t="str">
        <f t="shared" si="164"/>
        <v>N</v>
      </c>
      <c r="BE248" s="161" t="str">
        <f t="shared" si="165"/>
        <v>Y</v>
      </c>
      <c r="BF248" s="161" t="str">
        <f t="shared" si="166"/>
        <v>N</v>
      </c>
      <c r="BG248" s="161" t="str">
        <f t="shared" si="167"/>
        <v>N</v>
      </c>
      <c r="BH248" s="161" t="str">
        <f t="shared" si="168"/>
        <v>N</v>
      </c>
      <c r="BI248" s="161" t="str">
        <f t="shared" si="169"/>
        <v>N</v>
      </c>
      <c r="BJ248" s="161" t="str">
        <f t="shared" si="170"/>
        <v>N</v>
      </c>
      <c r="BK248" s="161" t="str">
        <f t="shared" si="171"/>
        <v>N</v>
      </c>
      <c r="BL248" s="161" t="str">
        <f t="shared" si="172"/>
        <v>Y</v>
      </c>
      <c r="BM248" s="161" t="str">
        <f t="shared" si="173"/>
        <v>Y</v>
      </c>
      <c r="BN248" s="176" t="str">
        <f t="shared" si="174"/>
        <v>N</v>
      </c>
      <c r="BO248" s="170" t="s">
        <v>401</v>
      </c>
      <c r="BP248" s="174" t="str">
        <f t="shared" si="175"/>
        <v>上交所主板</v>
      </c>
      <c r="BQ248" s="172" t="s">
        <v>317</v>
      </c>
      <c r="BR248" s="173">
        <f t="shared" si="176"/>
        <v>41639</v>
      </c>
      <c r="BS248" s="171" t="str">
        <f t="shared" si="177"/>
        <v>Y</v>
      </c>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c r="DJ248" s="7"/>
      <c r="DK248" s="7"/>
      <c r="DL248" s="7"/>
      <c r="DM248" s="7"/>
      <c r="DN248" s="7"/>
      <c r="DO248" s="7"/>
      <c r="DP248" s="7"/>
      <c r="DQ248" s="7"/>
      <c r="DR248" s="7"/>
      <c r="DS248" s="7"/>
      <c r="DT248" s="7"/>
      <c r="DU248" s="7"/>
      <c r="DV248" s="7"/>
      <c r="DW248" s="7"/>
      <c r="DX248" s="7"/>
      <c r="DY248" s="7"/>
      <c r="DZ248" s="7"/>
      <c r="EA248" s="7"/>
      <c r="EB248" s="7"/>
      <c r="EC248" s="7"/>
      <c r="ED248" s="7"/>
      <c r="EE248" s="7"/>
      <c r="EF248" s="7"/>
      <c r="EG248" s="7"/>
      <c r="EH248" s="7"/>
      <c r="EI248" s="7"/>
      <c r="EJ248" s="7"/>
      <c r="EK248" s="7"/>
      <c r="EL248" s="7"/>
      <c r="EM248" s="7"/>
      <c r="EN248" s="7"/>
      <c r="EO248" s="7"/>
      <c r="EP248" s="7"/>
      <c r="EQ248" s="7"/>
      <c r="ER248" s="7"/>
      <c r="ES248" s="7"/>
      <c r="ET248" s="7"/>
      <c r="EU248" s="7"/>
      <c r="EV248" s="7"/>
      <c r="EW248" s="7"/>
      <c r="EX248" s="7"/>
      <c r="EY248" s="7"/>
      <c r="EZ248" s="7"/>
      <c r="FA248" s="7"/>
      <c r="FB248" s="7"/>
      <c r="FC248" s="7"/>
      <c r="FD248" s="7"/>
      <c r="FE248" s="7"/>
      <c r="FF248" s="7"/>
      <c r="FG248" s="7"/>
    </row>
    <row r="249" spans="1:163" ht="15" customHeight="1" x14ac:dyDescent="0.35">
      <c r="A249" s="31">
        <v>52</v>
      </c>
      <c r="B249" s="32" t="s">
        <v>2130</v>
      </c>
      <c r="C249" s="23" t="s">
        <v>2131</v>
      </c>
      <c r="D249" s="44" t="s">
        <v>809</v>
      </c>
      <c r="E249" s="44" t="s">
        <v>2132</v>
      </c>
      <c r="F249" s="58" t="s">
        <v>2133</v>
      </c>
      <c r="G249" s="42" t="s">
        <v>354</v>
      </c>
      <c r="H249" s="32" t="s">
        <v>327</v>
      </c>
      <c r="I249" s="78">
        <v>41353</v>
      </c>
      <c r="J249" s="78">
        <v>42010</v>
      </c>
      <c r="K249" s="78">
        <v>42111</v>
      </c>
      <c r="L249" s="79" t="s">
        <v>2134</v>
      </c>
      <c r="M249" s="198">
        <v>2012</v>
      </c>
      <c r="N249" s="23">
        <v>1</v>
      </c>
      <c r="O249" s="69" t="str">
        <f>IF(N249&lt;1,"1年以内",IF(N249&lt;2,"1-2年",IF(N249&lt;3,"2-3年",IF(N249&lt;5,"3-5年","5年以上"))))</f>
        <v>1-2年</v>
      </c>
      <c r="P249" s="69" t="s">
        <v>2076</v>
      </c>
      <c r="Q249" s="191" t="s">
        <v>2135</v>
      </c>
      <c r="R249" s="80">
        <v>35576</v>
      </c>
      <c r="S249" s="44" t="s">
        <v>1079</v>
      </c>
      <c r="T249" s="207" t="s">
        <v>345</v>
      </c>
      <c r="U249" s="69" t="str">
        <f t="shared" si="159"/>
        <v>Y</v>
      </c>
      <c r="V249" s="44" t="s">
        <v>398</v>
      </c>
      <c r="W249" s="208" t="s">
        <v>319</v>
      </c>
      <c r="X249" s="44" t="s">
        <v>334</v>
      </c>
      <c r="Y249" s="229">
        <v>60</v>
      </c>
      <c r="Z249" s="216"/>
      <c r="AA249" s="148"/>
      <c r="AB249" s="44"/>
      <c r="AC249" s="148"/>
      <c r="AD249" s="128"/>
      <c r="AE249" s="148">
        <f>6105763.1/10000</f>
        <v>610.57630999999992</v>
      </c>
      <c r="AF249" s="148">
        <f>6105763.1/10000</f>
        <v>610.57630999999992</v>
      </c>
      <c r="AG249" s="218">
        <v>2012</v>
      </c>
      <c r="AH249" s="147">
        <f>12791747.53/10000</f>
        <v>1279.174753</v>
      </c>
      <c r="AI249" s="128">
        <f>AF249/AH249</f>
        <v>0.47732048226252</v>
      </c>
      <c r="AJ249" s="148">
        <v>4122.1899999999996</v>
      </c>
      <c r="AK249" s="148">
        <v>4122.1899999999996</v>
      </c>
      <c r="AL249" s="218">
        <v>2012</v>
      </c>
      <c r="AM249" s="148">
        <f>36186543.84/10000</f>
        <v>3618.6543840000004</v>
      </c>
      <c r="AN249" s="128">
        <f t="shared" si="178"/>
        <v>1.1391499608877815</v>
      </c>
      <c r="AO249" s="148"/>
      <c r="AP249" s="148"/>
      <c r="AQ249" s="44"/>
      <c r="AR249" s="148"/>
      <c r="AS249" s="128"/>
      <c r="AT249" s="148"/>
      <c r="AU249" s="148"/>
      <c r="AV249" s="218"/>
      <c r="AW249" s="148"/>
      <c r="AX249" s="159"/>
      <c r="AY249" s="198" t="s">
        <v>2136</v>
      </c>
      <c r="AZ249" s="161" t="str">
        <f t="shared" si="160"/>
        <v>N</v>
      </c>
      <c r="BA249" s="161" t="str">
        <f t="shared" si="161"/>
        <v>N</v>
      </c>
      <c r="BB249" s="161" t="str">
        <f t="shared" si="162"/>
        <v>N</v>
      </c>
      <c r="BC249" s="161" t="str">
        <f t="shared" si="163"/>
        <v>N</v>
      </c>
      <c r="BD249" s="161" t="str">
        <f t="shared" si="164"/>
        <v>N</v>
      </c>
      <c r="BE249" s="161" t="str">
        <f t="shared" si="165"/>
        <v>Y</v>
      </c>
      <c r="BF249" s="161" t="str">
        <f t="shared" si="166"/>
        <v>Y</v>
      </c>
      <c r="BG249" s="161" t="str">
        <f t="shared" si="167"/>
        <v>N</v>
      </c>
      <c r="BH249" s="161" t="str">
        <f t="shared" si="168"/>
        <v>N</v>
      </c>
      <c r="BI249" s="161" t="str">
        <f t="shared" si="169"/>
        <v>N</v>
      </c>
      <c r="BJ249" s="161" t="str">
        <f t="shared" si="170"/>
        <v>N</v>
      </c>
      <c r="BK249" s="161" t="str">
        <f t="shared" si="171"/>
        <v>N</v>
      </c>
      <c r="BL249" s="161" t="str">
        <f t="shared" si="172"/>
        <v>N</v>
      </c>
      <c r="BM249" s="161" t="str">
        <f t="shared" si="173"/>
        <v>Y</v>
      </c>
      <c r="BN249" s="176" t="str">
        <f t="shared" si="174"/>
        <v>Y</v>
      </c>
      <c r="BO249" s="170" t="s">
        <v>2137</v>
      </c>
      <c r="BP249" s="174" t="str">
        <f t="shared" si="175"/>
        <v>上交所主板</v>
      </c>
      <c r="BQ249" s="172" t="s">
        <v>317</v>
      </c>
      <c r="BR249" s="173">
        <f t="shared" si="176"/>
        <v>36525</v>
      </c>
      <c r="BS249" s="171" t="str">
        <f t="shared" si="177"/>
        <v>N</v>
      </c>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row>
    <row r="250" spans="1:163" ht="15" customHeight="1" x14ac:dyDescent="0.25">
      <c r="A250" s="31">
        <v>51</v>
      </c>
      <c r="B250" s="223" t="s">
        <v>2138</v>
      </c>
      <c r="C250" s="57" t="s">
        <v>2139</v>
      </c>
      <c r="D250" s="57" t="s">
        <v>809</v>
      </c>
      <c r="E250" s="57" t="s">
        <v>2140</v>
      </c>
      <c r="F250" s="57" t="s">
        <v>2141</v>
      </c>
      <c r="G250" s="57" t="s">
        <v>1347</v>
      </c>
      <c r="H250" s="32" t="s">
        <v>327</v>
      </c>
      <c r="I250" s="78">
        <v>41759</v>
      </c>
      <c r="J250" s="85">
        <v>41999</v>
      </c>
      <c r="K250" s="85">
        <v>41999</v>
      </c>
      <c r="L250" s="239" t="s">
        <v>2142</v>
      </c>
      <c r="M250" s="69">
        <v>2013</v>
      </c>
      <c r="N250" s="69">
        <v>0.75</v>
      </c>
      <c r="O250" s="69" t="s">
        <v>1495</v>
      </c>
      <c r="P250" s="69" t="s">
        <v>2143</v>
      </c>
      <c r="Q250" s="32" t="s">
        <v>1047</v>
      </c>
      <c r="R250" s="85">
        <v>38146</v>
      </c>
      <c r="S250" s="197" t="s">
        <v>1079</v>
      </c>
      <c r="T250" s="161" t="s">
        <v>345</v>
      </c>
      <c r="U250" s="69" t="str">
        <f t="shared" si="159"/>
        <v>Y</v>
      </c>
      <c r="V250" s="57" t="s">
        <v>607</v>
      </c>
      <c r="W250" s="197" t="s">
        <v>2144</v>
      </c>
      <c r="X250" s="197" t="s">
        <v>320</v>
      </c>
      <c r="Y250" s="213">
        <v>50</v>
      </c>
      <c r="Z250" s="149">
        <f>(1423433265.35+8116984.2+1473430709.57+2484272800.25+12766815.36+2582552182.87+2970760980.66+13430084.73+3105001060.89)/10000</f>
        <v>1407376.4883879998</v>
      </c>
      <c r="AA250" s="149">
        <f>(2970760980.66+13430084.73+3105001060.89)/10000</f>
        <v>608919.21262799995</v>
      </c>
      <c r="AB250" s="214">
        <v>2013</v>
      </c>
      <c r="AC250" s="149">
        <v>321551.67</v>
      </c>
      <c r="AD250" s="128">
        <f>AA250/AC250</f>
        <v>1.8936900953678766</v>
      </c>
      <c r="AE250" s="149">
        <f>(26893895.66+21811289.18+87507710.26)/10000</f>
        <v>13621.289510000002</v>
      </c>
      <c r="AF250" s="149">
        <v>8750.77</v>
      </c>
      <c r="AG250" s="206">
        <v>2013</v>
      </c>
      <c r="AH250" s="149">
        <v>571530.39</v>
      </c>
      <c r="AI250" s="128">
        <f>AF250/AH250</f>
        <v>1.531111932648061E-2</v>
      </c>
      <c r="AJ250" s="149">
        <f>(49997444.22+98279382.62+130183180.02)/10000</f>
        <v>27846.000686000003</v>
      </c>
      <c r="AK250" s="149">
        <v>13018.32</v>
      </c>
      <c r="AL250" s="214">
        <v>2013</v>
      </c>
      <c r="AM250" s="149">
        <v>-21616.62</v>
      </c>
      <c r="AN250" s="128">
        <f t="shared" si="178"/>
        <v>-0.60223661238435988</v>
      </c>
      <c r="AO250" s="149"/>
      <c r="AP250" s="149"/>
      <c r="AQ250" s="57"/>
      <c r="AR250" s="149"/>
      <c r="AS250" s="128"/>
      <c r="AT250" s="149">
        <f>(1229341200.09+2238733770.79+254119290.69)/10000</f>
        <v>372219.42615700001</v>
      </c>
      <c r="AU250" s="149">
        <f>2238733770.79/10000</f>
        <v>223873.377079</v>
      </c>
      <c r="AV250" s="214">
        <v>2013</v>
      </c>
      <c r="AW250" s="149">
        <v>321551.67</v>
      </c>
      <c r="AX250" s="128">
        <f>AU250/AW250</f>
        <v>0.69622831403425778</v>
      </c>
      <c r="AY250" s="197" t="s">
        <v>2145</v>
      </c>
      <c r="AZ250" s="161" t="str">
        <f t="shared" si="160"/>
        <v>Y</v>
      </c>
      <c r="BA250" s="161" t="str">
        <f t="shared" si="161"/>
        <v>Y</v>
      </c>
      <c r="BB250" s="161" t="str">
        <f t="shared" si="162"/>
        <v>N</v>
      </c>
      <c r="BC250" s="161" t="str">
        <f t="shared" si="163"/>
        <v>N</v>
      </c>
      <c r="BD250" s="161" t="str">
        <f t="shared" si="164"/>
        <v>N</v>
      </c>
      <c r="BE250" s="161" t="str">
        <f t="shared" si="165"/>
        <v>N</v>
      </c>
      <c r="BF250" s="161" t="str">
        <f t="shared" si="166"/>
        <v>N</v>
      </c>
      <c r="BG250" s="161" t="str">
        <f t="shared" si="167"/>
        <v>N</v>
      </c>
      <c r="BH250" s="161" t="str">
        <f t="shared" si="168"/>
        <v>N</v>
      </c>
      <c r="BI250" s="161" t="str">
        <f t="shared" si="169"/>
        <v>N</v>
      </c>
      <c r="BJ250" s="161" t="str">
        <f t="shared" si="170"/>
        <v>Y</v>
      </c>
      <c r="BK250" s="161" t="str">
        <f t="shared" si="171"/>
        <v>Y</v>
      </c>
      <c r="BL250" s="161" t="str">
        <f t="shared" si="172"/>
        <v>Y</v>
      </c>
      <c r="BM250" s="161" t="str">
        <f t="shared" si="173"/>
        <v>Y</v>
      </c>
      <c r="BN250" s="176" t="str">
        <f t="shared" si="174"/>
        <v>N</v>
      </c>
      <c r="BO250" s="222" t="s">
        <v>1919</v>
      </c>
      <c r="BP250" s="174" t="str">
        <f t="shared" si="175"/>
        <v>上交所主板</v>
      </c>
      <c r="BQ250" s="219" t="s">
        <v>317</v>
      </c>
      <c r="BR250" s="173">
        <f t="shared" si="176"/>
        <v>39082</v>
      </c>
      <c r="BS250" s="171" t="str">
        <f t="shared" si="177"/>
        <v>N</v>
      </c>
    </row>
    <row r="251" spans="1:163" ht="15" customHeight="1" x14ac:dyDescent="0.35">
      <c r="A251" s="31">
        <v>50</v>
      </c>
      <c r="B251" s="32" t="s">
        <v>2146</v>
      </c>
      <c r="C251" s="23" t="s">
        <v>2147</v>
      </c>
      <c r="D251" s="44" t="s">
        <v>448</v>
      </c>
      <c r="E251" s="44" t="s">
        <v>449</v>
      </c>
      <c r="F251" s="190" t="s">
        <v>2148</v>
      </c>
      <c r="G251" s="42" t="s">
        <v>315</v>
      </c>
      <c r="H251" s="32" t="s">
        <v>368</v>
      </c>
      <c r="I251" s="78">
        <v>41562</v>
      </c>
      <c r="J251" s="78">
        <v>41992</v>
      </c>
      <c r="K251" s="78">
        <v>42008</v>
      </c>
      <c r="L251" s="79" t="s">
        <v>2149</v>
      </c>
      <c r="M251" s="198" t="s">
        <v>2121</v>
      </c>
      <c r="N251" s="23">
        <v>2</v>
      </c>
      <c r="O251" s="69" t="str">
        <f>IF(N251&lt;1,"1年以内",IF(N251&lt;2,"1-2年",IF(N251&lt;3,"2-3年",IF(N251&lt;5,"3-5年","5年以上"))))</f>
        <v>2-3年</v>
      </c>
      <c r="P251" s="69" t="s">
        <v>2122</v>
      </c>
      <c r="Q251" s="191" t="s">
        <v>1143</v>
      </c>
      <c r="R251" s="80">
        <v>36788</v>
      </c>
      <c r="S251" s="44" t="s">
        <v>1472</v>
      </c>
      <c r="T251" s="207" t="s">
        <v>317</v>
      </c>
      <c r="U251" s="69" t="str">
        <f t="shared" si="159"/>
        <v>N</v>
      </c>
      <c r="V251" s="44" t="s">
        <v>318</v>
      </c>
      <c r="W251" s="208" t="s">
        <v>372</v>
      </c>
      <c r="X251" s="44" t="s">
        <v>320</v>
      </c>
      <c r="Y251" s="229">
        <v>40</v>
      </c>
      <c r="Z251" s="216"/>
      <c r="AA251" s="148"/>
      <c r="AB251" s="44"/>
      <c r="AC251" s="148"/>
      <c r="AD251" s="128"/>
      <c r="AE251" s="148"/>
      <c r="AF251" s="148"/>
      <c r="AG251" s="218"/>
      <c r="AH251" s="147"/>
      <c r="AI251" s="128"/>
      <c r="AJ251" s="148">
        <f>7542.58+1565.74</f>
        <v>9108.32</v>
      </c>
      <c r="AK251" s="148">
        <v>7542.58</v>
      </c>
      <c r="AL251" s="218">
        <v>2011</v>
      </c>
      <c r="AM251" s="148">
        <f>-51977521.94/10000</f>
        <v>-5197.7521939999997</v>
      </c>
      <c r="AN251" s="128">
        <f t="shared" si="178"/>
        <v>-1.4511234315300259</v>
      </c>
      <c r="AO251" s="148"/>
      <c r="AP251" s="148"/>
      <c r="AQ251" s="44"/>
      <c r="AR251" s="148"/>
      <c r="AS251" s="128"/>
      <c r="AT251" s="148"/>
      <c r="AU251" s="148"/>
      <c r="AV251" s="218"/>
      <c r="AW251" s="148"/>
      <c r="AX251" s="159"/>
      <c r="AY251" s="198" t="s">
        <v>2150</v>
      </c>
      <c r="AZ251" s="161" t="str">
        <f t="shared" si="160"/>
        <v>N</v>
      </c>
      <c r="BA251" s="161" t="str">
        <f t="shared" si="161"/>
        <v>N</v>
      </c>
      <c r="BB251" s="161" t="str">
        <f t="shared" si="162"/>
        <v>N</v>
      </c>
      <c r="BC251" s="161" t="str">
        <f t="shared" si="163"/>
        <v>N</v>
      </c>
      <c r="BD251" s="161" t="str">
        <f t="shared" si="164"/>
        <v>N</v>
      </c>
      <c r="BE251" s="161" t="str">
        <f t="shared" si="165"/>
        <v>N</v>
      </c>
      <c r="BF251" s="161" t="str">
        <f t="shared" si="166"/>
        <v>N</v>
      </c>
      <c r="BG251" s="161" t="str">
        <f t="shared" si="167"/>
        <v>N</v>
      </c>
      <c r="BH251" s="161" t="str">
        <f t="shared" si="168"/>
        <v>N</v>
      </c>
      <c r="BI251" s="161" t="str">
        <f t="shared" si="169"/>
        <v>N</v>
      </c>
      <c r="BJ251" s="161" t="str">
        <f t="shared" si="170"/>
        <v>N</v>
      </c>
      <c r="BK251" s="161" t="str">
        <f t="shared" si="171"/>
        <v>N</v>
      </c>
      <c r="BL251" s="161" t="str">
        <f t="shared" si="172"/>
        <v>N</v>
      </c>
      <c r="BM251" s="161" t="str">
        <f t="shared" si="173"/>
        <v>N</v>
      </c>
      <c r="BN251" s="176" t="str">
        <f t="shared" si="174"/>
        <v>N</v>
      </c>
      <c r="BO251" s="170" t="s">
        <v>2151</v>
      </c>
      <c r="BP251" s="174" t="str">
        <f t="shared" si="175"/>
        <v>上交所主板</v>
      </c>
      <c r="BQ251" s="172" t="s">
        <v>317</v>
      </c>
      <c r="BR251" s="173">
        <f t="shared" si="176"/>
        <v>37621</v>
      </c>
      <c r="BS251" s="171" t="str">
        <f t="shared" si="177"/>
        <v>N</v>
      </c>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7"/>
      <c r="EV251" s="7"/>
      <c r="EW251" s="7"/>
      <c r="EX251" s="7"/>
      <c r="EY251" s="7"/>
      <c r="EZ251" s="7"/>
      <c r="FA251" s="7"/>
      <c r="FB251" s="7"/>
      <c r="FC251" s="7"/>
      <c r="FD251" s="7"/>
      <c r="FE251" s="7"/>
      <c r="FF251" s="7"/>
      <c r="FG251" s="7"/>
    </row>
    <row r="252" spans="1:163" ht="15" customHeight="1" x14ac:dyDescent="0.35">
      <c r="A252" s="31">
        <v>49</v>
      </c>
      <c r="B252" s="32" t="s">
        <v>2152</v>
      </c>
      <c r="C252" s="23" t="s">
        <v>2153</v>
      </c>
      <c r="D252" s="44" t="s">
        <v>574</v>
      </c>
      <c r="E252" s="44" t="s">
        <v>575</v>
      </c>
      <c r="F252" s="190" t="s">
        <v>2154</v>
      </c>
      <c r="G252" s="42" t="s">
        <v>380</v>
      </c>
      <c r="H252" s="32" t="s">
        <v>368</v>
      </c>
      <c r="I252" s="78">
        <v>41598</v>
      </c>
      <c r="J252" s="78">
        <v>41985</v>
      </c>
      <c r="K252" s="78">
        <v>42040</v>
      </c>
      <c r="L252" s="79" t="s">
        <v>2155</v>
      </c>
      <c r="M252" s="225" t="s">
        <v>2156</v>
      </c>
      <c r="N252" s="23">
        <v>3</v>
      </c>
      <c r="O252" s="69" t="str">
        <f>IF(N252&lt;1,"1年以内",IF(N252&lt;2,"1-2年",IF(N252&lt;3,"2-3年",IF(N252&lt;5,"3-5年","5年以上"))))</f>
        <v>3-5年</v>
      </c>
      <c r="P252" s="69" t="s">
        <v>2157</v>
      </c>
      <c r="Q252" s="191" t="s">
        <v>507</v>
      </c>
      <c r="R252" s="80">
        <v>40036</v>
      </c>
      <c r="S252" s="44" t="s">
        <v>332</v>
      </c>
      <c r="T252" s="207" t="s">
        <v>317</v>
      </c>
      <c r="U252" s="69" t="str">
        <f t="shared" si="159"/>
        <v>N</v>
      </c>
      <c r="V252" s="44" t="s">
        <v>318</v>
      </c>
      <c r="W252" s="208" t="s">
        <v>346</v>
      </c>
      <c r="X252" s="44" t="s">
        <v>320</v>
      </c>
      <c r="Y252" s="229">
        <v>30</v>
      </c>
      <c r="Z252" s="216"/>
      <c r="AA252" s="148"/>
      <c r="AB252" s="44"/>
      <c r="AC252" s="148"/>
      <c r="AD252" s="128"/>
      <c r="AE252" s="148"/>
      <c r="AF252" s="148"/>
      <c r="AG252" s="218"/>
      <c r="AH252" s="147"/>
      <c r="AI252" s="128"/>
      <c r="AJ252" s="148">
        <f>(11912196.54+55641.84+11856554.72)/10000</f>
        <v>2382.4393100000002</v>
      </c>
      <c r="AK252" s="148">
        <f>11912196.54/10000</f>
        <v>1191.219654</v>
      </c>
      <c r="AL252" s="218">
        <v>2010</v>
      </c>
      <c r="AM252" s="148">
        <f>90494160.04/10000</f>
        <v>9049.4160040000006</v>
      </c>
      <c r="AN252" s="128">
        <f t="shared" si="178"/>
        <v>0.13163497550266889</v>
      </c>
      <c r="AO252" s="148"/>
      <c r="AP252" s="148"/>
      <c r="AQ252" s="44"/>
      <c r="AR252" s="148"/>
      <c r="AS252" s="128"/>
      <c r="AT252" s="148"/>
      <c r="AU252" s="148"/>
      <c r="AV252" s="218"/>
      <c r="AW252" s="148"/>
      <c r="AX252" s="159"/>
      <c r="AY252" s="198" t="s">
        <v>2158</v>
      </c>
      <c r="AZ252" s="161" t="str">
        <f t="shared" si="160"/>
        <v>N</v>
      </c>
      <c r="BA252" s="161" t="str">
        <f t="shared" si="161"/>
        <v>N</v>
      </c>
      <c r="BB252" s="161" t="str">
        <f t="shared" si="162"/>
        <v>N</v>
      </c>
      <c r="BC252" s="161" t="str">
        <f t="shared" si="163"/>
        <v>N</v>
      </c>
      <c r="BD252" s="161" t="str">
        <f t="shared" si="164"/>
        <v>N</v>
      </c>
      <c r="BE252" s="161" t="str">
        <f t="shared" si="165"/>
        <v>N</v>
      </c>
      <c r="BF252" s="161" t="str">
        <f t="shared" si="166"/>
        <v>N</v>
      </c>
      <c r="BG252" s="161" t="str">
        <f t="shared" si="167"/>
        <v>N</v>
      </c>
      <c r="BH252" s="161" t="str">
        <f t="shared" si="168"/>
        <v>N</v>
      </c>
      <c r="BI252" s="161" t="str">
        <f t="shared" si="169"/>
        <v>N</v>
      </c>
      <c r="BJ252" s="161" t="str">
        <f t="shared" si="170"/>
        <v>N</v>
      </c>
      <c r="BK252" s="161" t="str">
        <f t="shared" si="171"/>
        <v>N</v>
      </c>
      <c r="BL252" s="161" t="str">
        <f t="shared" si="172"/>
        <v>N</v>
      </c>
      <c r="BM252" s="161" t="str">
        <f t="shared" si="173"/>
        <v>N</v>
      </c>
      <c r="BN252" s="176" t="str">
        <f t="shared" si="174"/>
        <v>N</v>
      </c>
      <c r="BO252" s="170" t="s">
        <v>2159</v>
      </c>
      <c r="BP252" s="174" t="str">
        <f t="shared" si="175"/>
        <v>深交所主板</v>
      </c>
      <c r="BQ252" s="172" t="s">
        <v>317</v>
      </c>
      <c r="BR252" s="173">
        <f t="shared" si="176"/>
        <v>40908</v>
      </c>
      <c r="BS252" s="171" t="str">
        <f t="shared" si="177"/>
        <v>Y</v>
      </c>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c r="DA252" s="7"/>
      <c r="DB252" s="7"/>
      <c r="DC252" s="7"/>
      <c r="DD252" s="7"/>
      <c r="DE252" s="7"/>
      <c r="DF252" s="7"/>
      <c r="DG252" s="7"/>
      <c r="DH252" s="7"/>
      <c r="DI252" s="7"/>
      <c r="DJ252" s="7"/>
      <c r="DK252" s="7"/>
      <c r="DL252" s="7"/>
      <c r="DM252" s="7"/>
      <c r="DN252" s="7"/>
      <c r="DO252" s="7"/>
      <c r="DP252" s="7"/>
      <c r="DQ252" s="7"/>
      <c r="DR252" s="7"/>
      <c r="DS252" s="7"/>
      <c r="DT252" s="7"/>
      <c r="DU252" s="7"/>
      <c r="DV252" s="7"/>
      <c r="DW252" s="7"/>
      <c r="DX252" s="7"/>
      <c r="DY252" s="7"/>
      <c r="DZ252" s="7"/>
      <c r="EA252" s="7"/>
      <c r="EB252" s="7"/>
      <c r="EC252" s="7"/>
      <c r="ED252" s="7"/>
      <c r="EE252" s="7"/>
      <c r="EF252" s="7"/>
      <c r="EG252" s="7"/>
      <c r="EH252" s="7"/>
      <c r="EI252" s="7"/>
      <c r="EJ252" s="7"/>
      <c r="EK252" s="7"/>
      <c r="EL252" s="7"/>
      <c r="EM252" s="7"/>
      <c r="EN252" s="7"/>
      <c r="EO252" s="7"/>
      <c r="EP252" s="7"/>
      <c r="EQ252" s="7"/>
      <c r="ER252" s="7"/>
      <c r="ES252" s="7"/>
      <c r="ET252" s="7"/>
      <c r="EU252" s="7"/>
      <c r="EV252" s="7"/>
      <c r="EW252" s="7"/>
      <c r="EX252" s="7"/>
      <c r="EY252" s="7"/>
      <c r="EZ252" s="7"/>
      <c r="FA252" s="7"/>
      <c r="FB252" s="7"/>
      <c r="FC252" s="7"/>
      <c r="FD252" s="7"/>
      <c r="FE252" s="7"/>
      <c r="FF252" s="7"/>
      <c r="FG252" s="7"/>
    </row>
    <row r="253" spans="1:163" ht="15" customHeight="1" x14ac:dyDescent="0.25">
      <c r="A253" s="31">
        <v>48</v>
      </c>
      <c r="B253" s="238" t="s">
        <v>2160</v>
      </c>
      <c r="C253" s="57" t="s">
        <v>2161</v>
      </c>
      <c r="D253" s="57" t="s">
        <v>623</v>
      </c>
      <c r="E253" s="57" t="s">
        <v>1561</v>
      </c>
      <c r="F253" s="238" t="s">
        <v>2162</v>
      </c>
      <c r="G253" s="57" t="s">
        <v>315</v>
      </c>
      <c r="H253" s="32" t="s">
        <v>327</v>
      </c>
      <c r="I253" s="78">
        <v>39301</v>
      </c>
      <c r="J253" s="85">
        <v>41958</v>
      </c>
      <c r="K253" s="85">
        <v>41958</v>
      </c>
      <c r="L253" s="226" t="s">
        <v>2163</v>
      </c>
      <c r="M253" s="69" t="s">
        <v>2164</v>
      </c>
      <c r="N253" s="69">
        <v>4</v>
      </c>
      <c r="O253" s="69" t="s">
        <v>1314</v>
      </c>
      <c r="P253" s="69" t="s">
        <v>1315</v>
      </c>
      <c r="Q253" s="32" t="s">
        <v>2165</v>
      </c>
      <c r="R253" s="85">
        <v>37110</v>
      </c>
      <c r="S253" s="197" t="s">
        <v>421</v>
      </c>
      <c r="T253" s="161" t="s">
        <v>317</v>
      </c>
      <c r="U253" s="69" t="str">
        <f t="shared" si="159"/>
        <v>N</v>
      </c>
      <c r="V253" s="57" t="s">
        <v>434</v>
      </c>
      <c r="W253" s="197" t="s">
        <v>2166</v>
      </c>
      <c r="X253" s="197" t="s">
        <v>320</v>
      </c>
      <c r="Y253" s="213">
        <v>60</v>
      </c>
      <c r="Z253" s="149">
        <v>45559.88</v>
      </c>
      <c r="AA253" s="149">
        <v>16522.740000000002</v>
      </c>
      <c r="AB253" s="214">
        <v>2005</v>
      </c>
      <c r="AC253" s="149">
        <v>98022.3</v>
      </c>
      <c r="AD253" s="128">
        <f>AA253/AC253</f>
        <v>0.16856103152037855</v>
      </c>
      <c r="AE253" s="149">
        <v>37324.239999999998</v>
      </c>
      <c r="AF253" s="149">
        <v>18827.75</v>
      </c>
      <c r="AG253" s="206">
        <v>2005</v>
      </c>
      <c r="AH253" s="149">
        <v>40321.360000000001</v>
      </c>
      <c r="AI253" s="128">
        <f>AF253/AH253</f>
        <v>0.46694233527837353</v>
      </c>
      <c r="AJ253" s="149"/>
      <c r="AK253" s="149"/>
      <c r="AL253" s="214"/>
      <c r="AM253" s="149"/>
      <c r="AN253" s="128"/>
      <c r="AO253" s="149"/>
      <c r="AP253" s="149"/>
      <c r="AQ253" s="57"/>
      <c r="AR253" s="149"/>
      <c r="AS253" s="128"/>
      <c r="AT253" s="149">
        <v>4150</v>
      </c>
      <c r="AU253" s="149">
        <v>3450</v>
      </c>
      <c r="AV253" s="214">
        <v>2006</v>
      </c>
      <c r="AW253" s="149">
        <v>75760.759999999995</v>
      </c>
      <c r="AX253" s="128">
        <f>AU253/AW253</f>
        <v>4.5538085943171637E-2</v>
      </c>
      <c r="AY253" s="197" t="s">
        <v>2167</v>
      </c>
      <c r="AZ253" s="161" t="str">
        <f t="shared" si="160"/>
        <v>N</v>
      </c>
      <c r="BA253" s="161" t="str">
        <f t="shared" si="161"/>
        <v>N</v>
      </c>
      <c r="BB253" s="161" t="str">
        <f t="shared" si="162"/>
        <v>N</v>
      </c>
      <c r="BC253" s="161" t="str">
        <f t="shared" si="163"/>
        <v>N</v>
      </c>
      <c r="BD253" s="161" t="str">
        <f t="shared" si="164"/>
        <v>N</v>
      </c>
      <c r="BE253" s="161" t="str">
        <f t="shared" si="165"/>
        <v>N</v>
      </c>
      <c r="BF253" s="161" t="str">
        <f t="shared" si="166"/>
        <v>N</v>
      </c>
      <c r="BG253" s="161" t="str">
        <f t="shared" si="167"/>
        <v>N</v>
      </c>
      <c r="BH253" s="161" t="str">
        <f t="shared" si="168"/>
        <v>N</v>
      </c>
      <c r="BI253" s="161" t="str">
        <f t="shared" si="169"/>
        <v>N</v>
      </c>
      <c r="BJ253" s="161" t="str">
        <f t="shared" si="170"/>
        <v>N</v>
      </c>
      <c r="BK253" s="161" t="str">
        <f t="shared" si="171"/>
        <v>N</v>
      </c>
      <c r="BL253" s="161" t="str">
        <f t="shared" si="172"/>
        <v>N</v>
      </c>
      <c r="BM253" s="161" t="str">
        <f t="shared" si="173"/>
        <v>N</v>
      </c>
      <c r="BN253" s="176" t="str">
        <f t="shared" si="174"/>
        <v>N</v>
      </c>
      <c r="BO253" s="222" t="s">
        <v>865</v>
      </c>
      <c r="BP253" s="174" t="str">
        <f t="shared" si="175"/>
        <v>上交所主板</v>
      </c>
      <c r="BQ253" s="219" t="s">
        <v>345</v>
      </c>
      <c r="BR253" s="173">
        <f t="shared" si="176"/>
        <v>37986</v>
      </c>
      <c r="BS253" s="171" t="str">
        <f t="shared" si="177"/>
        <v>N</v>
      </c>
    </row>
    <row r="254" spans="1:163" ht="15" customHeight="1" x14ac:dyDescent="0.25">
      <c r="A254" s="31">
        <v>47</v>
      </c>
      <c r="B254" s="238" t="s">
        <v>2168</v>
      </c>
      <c r="C254" s="57" t="s">
        <v>2169</v>
      </c>
      <c r="D254" s="57" t="s">
        <v>426</v>
      </c>
      <c r="E254" s="57" t="s">
        <v>427</v>
      </c>
      <c r="F254" s="238" t="s">
        <v>2170</v>
      </c>
      <c r="G254" s="57" t="s">
        <v>354</v>
      </c>
      <c r="H254" s="32" t="s">
        <v>368</v>
      </c>
      <c r="I254" s="78">
        <v>41354</v>
      </c>
      <c r="J254" s="85">
        <v>41949</v>
      </c>
      <c r="K254" s="85">
        <v>41957</v>
      </c>
      <c r="L254" s="226" t="s">
        <v>2171</v>
      </c>
      <c r="M254" s="69" t="s">
        <v>2172</v>
      </c>
      <c r="N254" s="69">
        <v>4</v>
      </c>
      <c r="O254" s="69" t="s">
        <v>1314</v>
      </c>
      <c r="P254" s="69" t="s">
        <v>2173</v>
      </c>
      <c r="Q254" s="32" t="s">
        <v>2174</v>
      </c>
      <c r="R254" s="85">
        <v>40870</v>
      </c>
      <c r="S254" s="197" t="s">
        <v>639</v>
      </c>
      <c r="T254" s="161" t="s">
        <v>317</v>
      </c>
      <c r="U254" s="69" t="str">
        <f t="shared" si="159"/>
        <v>N</v>
      </c>
      <c r="V254" s="57" t="s">
        <v>398</v>
      </c>
      <c r="W254" s="197" t="s">
        <v>2175</v>
      </c>
      <c r="X254" s="197" t="s">
        <v>334</v>
      </c>
      <c r="Y254" s="213">
        <v>822</v>
      </c>
      <c r="Z254" s="149">
        <f>1429+11320+11456+13307+10817+11784+10813</f>
        <v>70926</v>
      </c>
      <c r="AA254" s="149">
        <v>13307</v>
      </c>
      <c r="AB254" s="214">
        <v>2011</v>
      </c>
      <c r="AC254" s="149">
        <v>58244.83</v>
      </c>
      <c r="AD254" s="128">
        <f>AA254/AC254</f>
        <v>0.22846662957038419</v>
      </c>
      <c r="AE254" s="149">
        <v>6557</v>
      </c>
      <c r="AF254" s="149">
        <v>3796</v>
      </c>
      <c r="AG254" s="206">
        <v>2011</v>
      </c>
      <c r="AH254" s="149">
        <v>35536.75</v>
      </c>
      <c r="AI254" s="128">
        <f>AF254/AH254</f>
        <v>0.10681899723525647</v>
      </c>
      <c r="AJ254" s="149"/>
      <c r="AK254" s="149"/>
      <c r="AL254" s="214"/>
      <c r="AM254" s="149"/>
      <c r="AN254" s="128"/>
      <c r="AO254" s="149"/>
      <c r="AP254" s="149"/>
      <c r="AQ254" s="57"/>
      <c r="AR254" s="149"/>
      <c r="AS254" s="128"/>
      <c r="AT254" s="149"/>
      <c r="AU254" s="149"/>
      <c r="AV254" s="214"/>
      <c r="AW254" s="149"/>
      <c r="AX254" s="128"/>
      <c r="AY254" s="197" t="s">
        <v>2176</v>
      </c>
      <c r="AZ254" s="161" t="str">
        <f t="shared" si="160"/>
        <v>N</v>
      </c>
      <c r="BA254" s="161" t="str">
        <f t="shared" si="161"/>
        <v>N</v>
      </c>
      <c r="BB254" s="161" t="str">
        <f t="shared" si="162"/>
        <v>N</v>
      </c>
      <c r="BC254" s="161" t="str">
        <f t="shared" si="163"/>
        <v>N</v>
      </c>
      <c r="BD254" s="161" t="str">
        <f t="shared" si="164"/>
        <v>N</v>
      </c>
      <c r="BE254" s="161" t="str">
        <f t="shared" si="165"/>
        <v>N</v>
      </c>
      <c r="BF254" s="161" t="str">
        <f t="shared" si="166"/>
        <v>N</v>
      </c>
      <c r="BG254" s="161" t="str">
        <f t="shared" si="167"/>
        <v>N</v>
      </c>
      <c r="BH254" s="161" t="str">
        <f t="shared" si="168"/>
        <v>N</v>
      </c>
      <c r="BI254" s="161" t="str">
        <f t="shared" si="169"/>
        <v>N</v>
      </c>
      <c r="BJ254" s="161" t="str">
        <f t="shared" si="170"/>
        <v>N</v>
      </c>
      <c r="BK254" s="161" t="str">
        <f t="shared" si="171"/>
        <v>N</v>
      </c>
      <c r="BL254" s="161" t="str">
        <f t="shared" si="172"/>
        <v>N</v>
      </c>
      <c r="BM254" s="161" t="str">
        <f t="shared" si="173"/>
        <v>N</v>
      </c>
      <c r="BN254" s="176" t="str">
        <f t="shared" si="174"/>
        <v>N</v>
      </c>
      <c r="BO254" s="222" t="s">
        <v>520</v>
      </c>
      <c r="BP254" s="174" t="str">
        <f t="shared" si="175"/>
        <v>深交所创业板</v>
      </c>
      <c r="BQ254" s="219" t="s">
        <v>317</v>
      </c>
      <c r="BR254" s="173">
        <f t="shared" si="176"/>
        <v>42004</v>
      </c>
      <c r="BS254" s="171" t="str">
        <f t="shared" si="177"/>
        <v>Y</v>
      </c>
    </row>
    <row r="255" spans="1:163" ht="15" customHeight="1" x14ac:dyDescent="0.25">
      <c r="A255" s="31">
        <v>46</v>
      </c>
      <c r="B255" s="238" t="s">
        <v>896</v>
      </c>
      <c r="C255" s="57" t="s">
        <v>2177</v>
      </c>
      <c r="D255" s="57" t="s">
        <v>313</v>
      </c>
      <c r="E255" s="57" t="s">
        <v>736</v>
      </c>
      <c r="F255" s="238" t="s">
        <v>2178</v>
      </c>
      <c r="G255" s="57" t="s">
        <v>315</v>
      </c>
      <c r="H255" s="32" t="s">
        <v>368</v>
      </c>
      <c r="I255" s="78">
        <v>41397</v>
      </c>
      <c r="J255" s="85">
        <v>41934</v>
      </c>
      <c r="K255" s="85">
        <v>41934</v>
      </c>
      <c r="L255" s="226" t="s">
        <v>2179</v>
      </c>
      <c r="M255" s="69">
        <v>2012</v>
      </c>
      <c r="N255" s="69">
        <v>1</v>
      </c>
      <c r="O255" s="69" t="s">
        <v>1258</v>
      </c>
      <c r="P255" s="69" t="s">
        <v>2180</v>
      </c>
      <c r="Q255" s="32" t="s">
        <v>371</v>
      </c>
      <c r="R255" s="85">
        <v>40905</v>
      </c>
      <c r="S255" s="197" t="s">
        <v>863</v>
      </c>
      <c r="T255" s="161" t="s">
        <v>317</v>
      </c>
      <c r="U255" s="69" t="str">
        <f t="shared" si="159"/>
        <v>Y</v>
      </c>
      <c r="V255" s="57" t="s">
        <v>361</v>
      </c>
      <c r="W255" s="197" t="s">
        <v>361</v>
      </c>
      <c r="X255" s="197" t="s">
        <v>320</v>
      </c>
      <c r="Y255" s="213">
        <v>30</v>
      </c>
      <c r="Z255" s="149"/>
      <c r="AA255" s="149"/>
      <c r="AB255" s="214"/>
      <c r="AC255" s="149"/>
      <c r="AD255" s="128"/>
      <c r="AE255" s="149"/>
      <c r="AF255" s="149"/>
      <c r="AG255" s="206"/>
      <c r="AH255" s="149"/>
      <c r="AI255" s="128"/>
      <c r="AJ255" s="149"/>
      <c r="AK255" s="149"/>
      <c r="AL255" s="214"/>
      <c r="AM255" s="149"/>
      <c r="AN255" s="128"/>
      <c r="AO255" s="149"/>
      <c r="AP255" s="149"/>
      <c r="AQ255" s="57"/>
      <c r="AR255" s="149"/>
      <c r="AS255" s="128"/>
      <c r="AT255" s="149">
        <v>50871.56</v>
      </c>
      <c r="AU255" s="149">
        <v>50871.56</v>
      </c>
      <c r="AV255" s="214">
        <v>2012</v>
      </c>
      <c r="AW255" s="149">
        <v>98618.89</v>
      </c>
      <c r="AX255" s="128">
        <f>AU255/AW255</f>
        <v>0.51583991667316476</v>
      </c>
      <c r="AY255" s="197" t="s">
        <v>2181</v>
      </c>
      <c r="AZ255" s="161" t="str">
        <f t="shared" si="160"/>
        <v>N</v>
      </c>
      <c r="BA255" s="161" t="str">
        <f t="shared" si="161"/>
        <v>N</v>
      </c>
      <c r="BB255" s="161" t="str">
        <f t="shared" si="162"/>
        <v>N</v>
      </c>
      <c r="BC255" s="161" t="str">
        <f t="shared" si="163"/>
        <v>N</v>
      </c>
      <c r="BD255" s="161" t="str">
        <f t="shared" si="164"/>
        <v>N</v>
      </c>
      <c r="BE255" s="161" t="str">
        <f t="shared" si="165"/>
        <v>N</v>
      </c>
      <c r="BF255" s="161" t="str">
        <f t="shared" si="166"/>
        <v>N</v>
      </c>
      <c r="BG255" s="161" t="str">
        <f t="shared" si="167"/>
        <v>N</v>
      </c>
      <c r="BH255" s="161" t="str">
        <f t="shared" si="168"/>
        <v>N</v>
      </c>
      <c r="BI255" s="161" t="str">
        <f t="shared" si="169"/>
        <v>N</v>
      </c>
      <c r="BJ255" s="161" t="str">
        <f t="shared" si="170"/>
        <v>N</v>
      </c>
      <c r="BK255" s="161" t="str">
        <f t="shared" si="171"/>
        <v>Y</v>
      </c>
      <c r="BL255" s="161" t="str">
        <f t="shared" si="172"/>
        <v>N</v>
      </c>
      <c r="BM255" s="161" t="str">
        <f t="shared" si="173"/>
        <v>Y</v>
      </c>
      <c r="BN255" s="176" t="str">
        <f t="shared" si="174"/>
        <v>N</v>
      </c>
      <c r="BO255" s="222" t="s">
        <v>833</v>
      </c>
      <c r="BP255" s="174" t="str">
        <f t="shared" si="175"/>
        <v>深交所主板</v>
      </c>
      <c r="BQ255" s="219" t="s">
        <v>317</v>
      </c>
      <c r="BR255" s="173">
        <f t="shared" si="176"/>
        <v>41639</v>
      </c>
      <c r="BS255" s="171" t="str">
        <f t="shared" si="177"/>
        <v>Y</v>
      </c>
    </row>
    <row r="256" spans="1:163" ht="15" customHeight="1" x14ac:dyDescent="0.25">
      <c r="A256" s="31">
        <v>45</v>
      </c>
      <c r="B256" s="238" t="s">
        <v>1956</v>
      </c>
      <c r="C256" s="57" t="s">
        <v>2182</v>
      </c>
      <c r="D256" s="57" t="s">
        <v>1958</v>
      </c>
      <c r="E256" s="57" t="s">
        <v>1959</v>
      </c>
      <c r="F256" s="238" t="s">
        <v>2183</v>
      </c>
      <c r="G256" s="57" t="s">
        <v>315</v>
      </c>
      <c r="H256" s="32" t="s">
        <v>327</v>
      </c>
      <c r="I256" s="78">
        <v>41519</v>
      </c>
      <c r="J256" s="85">
        <v>41912</v>
      </c>
      <c r="K256" s="85">
        <v>41956</v>
      </c>
      <c r="L256" s="226" t="s">
        <v>2184</v>
      </c>
      <c r="M256" s="69">
        <v>2012</v>
      </c>
      <c r="N256" s="69">
        <v>0.5</v>
      </c>
      <c r="O256" s="69" t="s">
        <v>1495</v>
      </c>
      <c r="P256" s="69" t="s">
        <v>2180</v>
      </c>
      <c r="Q256" s="32" t="s">
        <v>1055</v>
      </c>
      <c r="R256" s="85">
        <v>35346</v>
      </c>
      <c r="S256" s="197" t="s">
        <v>2185</v>
      </c>
      <c r="T256" s="161" t="s">
        <v>317</v>
      </c>
      <c r="U256" s="69" t="str">
        <f t="shared" si="159"/>
        <v>N</v>
      </c>
      <c r="V256" s="57" t="s">
        <v>318</v>
      </c>
      <c r="W256" s="197" t="s">
        <v>444</v>
      </c>
      <c r="X256" s="197" t="s">
        <v>320</v>
      </c>
      <c r="Y256" s="213">
        <v>30</v>
      </c>
      <c r="Z256" s="149">
        <f>(200597987.56-49577301.97)/10000</f>
        <v>15102.068559000001</v>
      </c>
      <c r="AA256" s="149">
        <v>15102.07</v>
      </c>
      <c r="AB256" s="214">
        <v>2012</v>
      </c>
      <c r="AC256" s="149">
        <v>63088.47</v>
      </c>
      <c r="AD256" s="128">
        <f>AA256/AC256</f>
        <v>0.23937923997839858</v>
      </c>
      <c r="AE256" s="149"/>
      <c r="AF256" s="149"/>
      <c r="AG256" s="206"/>
      <c r="AH256" s="149"/>
      <c r="AI256" s="128"/>
      <c r="AJ256" s="149"/>
      <c r="AK256" s="149"/>
      <c r="AL256" s="214"/>
      <c r="AM256" s="149"/>
      <c r="AN256" s="128"/>
      <c r="AO256" s="149"/>
      <c r="AP256" s="149"/>
      <c r="AQ256" s="57"/>
      <c r="AR256" s="149"/>
      <c r="AS256" s="128"/>
      <c r="AT256" s="149"/>
      <c r="AU256" s="149"/>
      <c r="AV256" s="214"/>
      <c r="AW256" s="149"/>
      <c r="AX256" s="128"/>
      <c r="AY256" s="197" t="s">
        <v>2186</v>
      </c>
      <c r="AZ256" s="161" t="str">
        <f t="shared" si="160"/>
        <v>N</v>
      </c>
      <c r="BA256" s="161" t="str">
        <f t="shared" si="161"/>
        <v>N</v>
      </c>
      <c r="BB256" s="161" t="str">
        <f t="shared" si="162"/>
        <v>N</v>
      </c>
      <c r="BC256" s="161" t="str">
        <f t="shared" si="163"/>
        <v>N</v>
      </c>
      <c r="BD256" s="161" t="str">
        <f t="shared" si="164"/>
        <v>N</v>
      </c>
      <c r="BE256" s="161" t="str">
        <f t="shared" si="165"/>
        <v>N</v>
      </c>
      <c r="BF256" s="161" t="str">
        <f t="shared" si="166"/>
        <v>N</v>
      </c>
      <c r="BG256" s="161" t="str">
        <f t="shared" si="167"/>
        <v>N</v>
      </c>
      <c r="BH256" s="161" t="str">
        <f t="shared" si="168"/>
        <v>N</v>
      </c>
      <c r="BI256" s="161" t="str">
        <f t="shared" si="169"/>
        <v>N</v>
      </c>
      <c r="BJ256" s="161" t="str">
        <f t="shared" si="170"/>
        <v>N</v>
      </c>
      <c r="BK256" s="161" t="str">
        <f t="shared" si="171"/>
        <v>N</v>
      </c>
      <c r="BL256" s="161" t="str">
        <f t="shared" si="172"/>
        <v>N</v>
      </c>
      <c r="BM256" s="161" t="str">
        <f t="shared" si="173"/>
        <v>N</v>
      </c>
      <c r="BN256" s="176" t="str">
        <f t="shared" si="174"/>
        <v>N</v>
      </c>
      <c r="BO256" s="222" t="s">
        <v>761</v>
      </c>
      <c r="BP256" s="174" t="str">
        <f t="shared" si="175"/>
        <v>深交所主板</v>
      </c>
      <c r="BQ256" s="219" t="s">
        <v>317</v>
      </c>
      <c r="BR256" s="173">
        <f t="shared" si="176"/>
        <v>36160</v>
      </c>
      <c r="BS256" s="171" t="str">
        <f t="shared" si="177"/>
        <v>N</v>
      </c>
    </row>
    <row r="257" spans="1:71" ht="15" customHeight="1" x14ac:dyDescent="0.25">
      <c r="A257" s="31">
        <v>44</v>
      </c>
      <c r="B257" s="238" t="s">
        <v>2187</v>
      </c>
      <c r="C257" s="57" t="s">
        <v>2188</v>
      </c>
      <c r="D257" s="57" t="s">
        <v>574</v>
      </c>
      <c r="E257" s="57" t="s">
        <v>575</v>
      </c>
      <c r="F257" s="238" t="s">
        <v>2189</v>
      </c>
      <c r="G257" s="57" t="s">
        <v>354</v>
      </c>
      <c r="H257" s="32" t="s">
        <v>327</v>
      </c>
      <c r="I257" s="78">
        <v>41460</v>
      </c>
      <c r="J257" s="85">
        <v>41910</v>
      </c>
      <c r="K257" s="85">
        <v>41910</v>
      </c>
      <c r="L257" s="226" t="s">
        <v>2190</v>
      </c>
      <c r="M257" s="69">
        <v>2012</v>
      </c>
      <c r="N257" s="69">
        <v>0.25</v>
      </c>
      <c r="O257" s="69" t="s">
        <v>1495</v>
      </c>
      <c r="P257" s="69" t="s">
        <v>2191</v>
      </c>
      <c r="Q257" s="32" t="s">
        <v>2192</v>
      </c>
      <c r="R257" s="85">
        <v>41015</v>
      </c>
      <c r="S257" s="197" t="s">
        <v>995</v>
      </c>
      <c r="T257" s="161" t="s">
        <v>317</v>
      </c>
      <c r="U257" s="69" t="str">
        <f t="shared" si="159"/>
        <v>N</v>
      </c>
      <c r="V257" s="57" t="s">
        <v>318</v>
      </c>
      <c r="W257" s="197" t="s">
        <v>1664</v>
      </c>
      <c r="X257" s="197" t="s">
        <v>320</v>
      </c>
      <c r="Y257" s="213">
        <v>60</v>
      </c>
      <c r="Z257" s="149"/>
      <c r="AA257" s="149"/>
      <c r="AB257" s="214"/>
      <c r="AC257" s="149"/>
      <c r="AD257" s="128"/>
      <c r="AE257" s="149"/>
      <c r="AF257" s="149"/>
      <c r="AG257" s="206"/>
      <c r="AH257" s="149"/>
      <c r="AI257" s="128"/>
      <c r="AJ257" s="149">
        <v>371.85</v>
      </c>
      <c r="AK257" s="149">
        <v>371.85</v>
      </c>
      <c r="AL257" s="214">
        <v>2012</v>
      </c>
      <c r="AM257" s="149">
        <v>817.88</v>
      </c>
      <c r="AN257" s="128">
        <f>AK257/AM257</f>
        <v>0.45465104905365095</v>
      </c>
      <c r="AO257" s="149"/>
      <c r="AP257" s="149"/>
      <c r="AQ257" s="57"/>
      <c r="AR257" s="149"/>
      <c r="AS257" s="128"/>
      <c r="AT257" s="149"/>
      <c r="AU257" s="149"/>
      <c r="AV257" s="214"/>
      <c r="AW257" s="149"/>
      <c r="AX257" s="128"/>
      <c r="AY257" s="197" t="s">
        <v>2193</v>
      </c>
      <c r="AZ257" s="161" t="str">
        <f t="shared" si="160"/>
        <v>N</v>
      </c>
      <c r="BA257" s="161" t="str">
        <f t="shared" si="161"/>
        <v>N</v>
      </c>
      <c r="BB257" s="161" t="str">
        <f t="shared" si="162"/>
        <v>N</v>
      </c>
      <c r="BC257" s="161" t="str">
        <f t="shared" si="163"/>
        <v>N</v>
      </c>
      <c r="BD257" s="161" t="str">
        <f t="shared" si="164"/>
        <v>N</v>
      </c>
      <c r="BE257" s="161" t="str">
        <f t="shared" si="165"/>
        <v>N</v>
      </c>
      <c r="BF257" s="161" t="str">
        <f t="shared" si="166"/>
        <v>N</v>
      </c>
      <c r="BG257" s="161" t="str">
        <f t="shared" si="167"/>
        <v>N</v>
      </c>
      <c r="BH257" s="161" t="str">
        <f t="shared" si="168"/>
        <v>N</v>
      </c>
      <c r="BI257" s="161" t="str">
        <f t="shared" si="169"/>
        <v>N</v>
      </c>
      <c r="BJ257" s="161" t="str">
        <f t="shared" si="170"/>
        <v>N</v>
      </c>
      <c r="BK257" s="161" t="str">
        <f t="shared" si="171"/>
        <v>N</v>
      </c>
      <c r="BL257" s="161" t="str">
        <f t="shared" si="172"/>
        <v>N</v>
      </c>
      <c r="BM257" s="161" t="str">
        <f t="shared" si="173"/>
        <v>N</v>
      </c>
      <c r="BN257" s="176" t="str">
        <f t="shared" si="174"/>
        <v>N</v>
      </c>
      <c r="BO257" s="222" t="s">
        <v>546</v>
      </c>
      <c r="BP257" s="174" t="str">
        <f t="shared" si="175"/>
        <v>深交所主板</v>
      </c>
      <c r="BQ257" s="219" t="s">
        <v>317</v>
      </c>
      <c r="BR257" s="173">
        <f t="shared" si="176"/>
        <v>42004</v>
      </c>
      <c r="BS257" s="171" t="str">
        <f t="shared" si="177"/>
        <v>Y</v>
      </c>
    </row>
    <row r="258" spans="1:71" ht="15" customHeight="1" x14ac:dyDescent="0.25">
      <c r="A258" s="31">
        <v>43</v>
      </c>
      <c r="B258" s="238" t="s">
        <v>2194</v>
      </c>
      <c r="C258" s="57" t="s">
        <v>2195</v>
      </c>
      <c r="D258" s="57" t="s">
        <v>439</v>
      </c>
      <c r="E258" s="57" t="s">
        <v>2196</v>
      </c>
      <c r="F258" s="238" t="s">
        <v>2197</v>
      </c>
      <c r="G258" s="57" t="s">
        <v>354</v>
      </c>
      <c r="H258" s="32" t="s">
        <v>602</v>
      </c>
      <c r="I258" s="78">
        <v>41354</v>
      </c>
      <c r="J258" s="85">
        <v>41865</v>
      </c>
      <c r="K258" s="85">
        <v>41865</v>
      </c>
      <c r="L258" s="226" t="s">
        <v>2198</v>
      </c>
      <c r="M258" s="69" t="s">
        <v>2199</v>
      </c>
      <c r="N258" s="69">
        <v>2</v>
      </c>
      <c r="O258" s="69" t="s">
        <v>1305</v>
      </c>
      <c r="P258" s="69" t="s">
        <v>1315</v>
      </c>
      <c r="Q258" s="32" t="s">
        <v>2200</v>
      </c>
      <c r="R258" s="85">
        <v>34096</v>
      </c>
      <c r="S258" s="197" t="s">
        <v>397</v>
      </c>
      <c r="T258" s="161" t="s">
        <v>317</v>
      </c>
      <c r="U258" s="69" t="str">
        <f t="shared" si="159"/>
        <v>Y</v>
      </c>
      <c r="V258" s="57" t="s">
        <v>318</v>
      </c>
      <c r="W258" s="197" t="s">
        <v>544</v>
      </c>
      <c r="X258" s="197" t="s">
        <v>320</v>
      </c>
      <c r="Y258" s="213">
        <v>40</v>
      </c>
      <c r="Z258" s="149"/>
      <c r="AA258" s="149"/>
      <c r="AB258" s="214"/>
      <c r="AC258" s="149"/>
      <c r="AD258" s="128"/>
      <c r="AE258" s="149"/>
      <c r="AF258" s="149"/>
      <c r="AG258" s="206"/>
      <c r="AH258" s="149"/>
      <c r="AI258" s="128"/>
      <c r="AJ258" s="149">
        <v>401.62</v>
      </c>
      <c r="AK258" s="149">
        <v>401.62</v>
      </c>
      <c r="AL258" s="214">
        <v>2010</v>
      </c>
      <c r="AM258" s="149">
        <f>7832949.34/10000</f>
        <v>783.29493400000001</v>
      </c>
      <c r="AN258" s="128">
        <f>AK258/AM258</f>
        <v>0.51273151729588484</v>
      </c>
      <c r="AO258" s="149"/>
      <c r="AP258" s="149"/>
      <c r="AQ258" s="57"/>
      <c r="AR258" s="149"/>
      <c r="AS258" s="128"/>
      <c r="AT258" s="149"/>
      <c r="AU258" s="149"/>
      <c r="AV258" s="214"/>
      <c r="AW258" s="149"/>
      <c r="AX258" s="128"/>
      <c r="AY258" s="197" t="s">
        <v>2201</v>
      </c>
      <c r="AZ258" s="161" t="str">
        <f t="shared" ref="AZ258:AZ289" si="179">IFERROR(IF(Z258&gt;100000,"Y","N"),"N")</f>
        <v>N</v>
      </c>
      <c r="BA258" s="161" t="str">
        <f t="shared" ref="BA258:BA289" si="180">IFERROR(IF(AD258&gt;0.5,"Y","N"),"N")</f>
        <v>N</v>
      </c>
      <c r="BB258" s="161" t="str">
        <f t="shared" ref="BB258:BB289" si="181">IFERROR(IF(AE258&gt;100000,"Y","N"),"N")</f>
        <v>N</v>
      </c>
      <c r="BC258" s="161" t="str">
        <f t="shared" ref="BC258:BC289" si="182">IFERROR(IF(AI258&gt;0.5,"Y","N"),"N")</f>
        <v>N</v>
      </c>
      <c r="BD258" s="161" t="str">
        <f t="shared" ref="BD258:BD289" si="183">IFERROR(IF(AJ258&gt;100000,"Y","N"),"N")</f>
        <v>N</v>
      </c>
      <c r="BE258" s="161" t="str">
        <f t="shared" ref="BE258:BE289" si="184">IFERROR(IF(AN258&gt;0.5,"Y","N"),"N")</f>
        <v>Y</v>
      </c>
      <c r="BF258" s="161" t="str">
        <f t="shared" ref="BF258:BF289" si="185">IFERROR(IF(AND(AM258-AK258&lt;0,AM258&gt;0),"Y","N"),"N")</f>
        <v>N</v>
      </c>
      <c r="BG258" s="161" t="str">
        <f t="shared" ref="BG258:BG289" si="186">IFERROR(IF(AO258&gt;100000,"Y","N"),"N")</f>
        <v>N</v>
      </c>
      <c r="BH258" s="161" t="str">
        <f t="shared" ref="BH258:BH289" si="187">IFERROR(IF(AS258&gt;0.5,"Y","N"),"N")</f>
        <v>N</v>
      </c>
      <c r="BI258" s="161" t="str">
        <f t="shared" ref="BI258:BI289" si="188">IFERROR(IF(AND(AR258-AP258&lt;0,AR258&gt;0),"Y","N"),"N")</f>
        <v>N</v>
      </c>
      <c r="BJ258" s="161" t="str">
        <f t="shared" ref="BJ258:BJ289" si="189">IFERROR(IF(AT258&gt;100000,"Y","N"),"N")</f>
        <v>N</v>
      </c>
      <c r="BK258" s="161" t="str">
        <f t="shared" ref="BK258:BK289" si="190">IFERROR(IF(AX258&gt;0.5,"Y","N"),"N")</f>
        <v>N</v>
      </c>
      <c r="BL258" s="161" t="str">
        <f t="shared" ref="BL258:BL289" si="191">IF(OR(AZ258="Y",BB258="Y",BD258="Y",BG258="Y",BJ258="Y"),"Y","N")</f>
        <v>N</v>
      </c>
      <c r="BM258" s="161" t="str">
        <f t="shared" ref="BM258:BM289" si="192">IF(OR(BA258="Y",BC258="Y",BE258="Y",BH258="Y",BK258="Y"),"Y","N")</f>
        <v>Y</v>
      </c>
      <c r="BN258" s="176" t="str">
        <f t="shared" ref="BN258:BN289" si="193">IF(OR(BF258="Y",BI258="Y"),"Y","N")</f>
        <v>N</v>
      </c>
      <c r="BO258" s="222" t="s">
        <v>2202</v>
      </c>
      <c r="BP258" s="174" t="str">
        <f t="shared" ref="BP258:BP263" si="194">IF(LEFT(B258,2)="00","深交所主板",IF(LEFT(B258,2)="60","上交所主板",IF(LEFT(B258,2)="30","深交所创业板",IF(LEFT(B258,3)="688","上交所科创板",IF(RIGHT(B258,2)="BJ","北交所","")))))</f>
        <v>深交所主板</v>
      </c>
      <c r="BQ258" s="219" t="s">
        <v>317</v>
      </c>
      <c r="BR258" s="173">
        <f t="shared" ref="BR258:BR289" si="195">IF(OR(BP258="上交所主板",BP258="深交所主板"),DATE(YEAR(R258)+2,12,31),IF(OR(BP258="上交所科创板",BP258="深交所创业板",,BP258="北交所"),DATE(YEAR(R258)+3,12,31),""))</f>
        <v>35064</v>
      </c>
      <c r="BS258" s="171" t="str">
        <f t="shared" ref="BS258:BS289" si="196">IF(BQ258="是","N",IF(OR(R258="-",LEFT(R258)="A"),"Y",IF(OR(LEFT(M258,4)-YEAR(BR258)&gt;0,RIGHT(M258,4)-(YEAR(R258)-3)&lt;0),"N","Y")))</f>
        <v>N</v>
      </c>
    </row>
    <row r="259" spans="1:71" ht="15" customHeight="1" x14ac:dyDescent="0.25">
      <c r="A259" s="31">
        <v>42</v>
      </c>
      <c r="B259" s="238" t="s">
        <v>2203</v>
      </c>
      <c r="C259" s="57" t="s">
        <v>2204</v>
      </c>
      <c r="D259" s="57" t="s">
        <v>1286</v>
      </c>
      <c r="E259" s="57" t="s">
        <v>1287</v>
      </c>
      <c r="F259" s="238" t="s">
        <v>2205</v>
      </c>
      <c r="G259" s="57" t="s">
        <v>380</v>
      </c>
      <c r="H259" s="32" t="s">
        <v>602</v>
      </c>
      <c r="I259" s="78">
        <v>39008</v>
      </c>
      <c r="J259" s="85">
        <v>41821</v>
      </c>
      <c r="K259" s="85">
        <v>41821</v>
      </c>
      <c r="L259" s="226" t="s">
        <v>2206</v>
      </c>
      <c r="M259" s="69" t="s">
        <v>2207</v>
      </c>
      <c r="N259" s="69">
        <v>7.5</v>
      </c>
      <c r="O259" s="69" t="s">
        <v>1391</v>
      </c>
      <c r="P259" s="69" t="s">
        <v>2208</v>
      </c>
      <c r="Q259" s="32" t="s">
        <v>2209</v>
      </c>
      <c r="R259" s="85">
        <v>36056</v>
      </c>
      <c r="S259" s="197" t="s">
        <v>995</v>
      </c>
      <c r="T259" s="161" t="s">
        <v>317</v>
      </c>
      <c r="U259" s="69" t="str">
        <f t="shared" si="159"/>
        <v>Y</v>
      </c>
      <c r="V259" s="57" t="s">
        <v>398</v>
      </c>
      <c r="W259" s="197" t="s">
        <v>2210</v>
      </c>
      <c r="X259" s="197" t="s">
        <v>334</v>
      </c>
      <c r="Y259" s="213">
        <v>60</v>
      </c>
      <c r="Z259" s="149">
        <f>883987.93+50443.84</f>
        <v>934431.77</v>
      </c>
      <c r="AA259" s="149">
        <v>46999.29</v>
      </c>
      <c r="AB259" s="214">
        <v>2005</v>
      </c>
      <c r="AC259" s="149">
        <v>94851.02</v>
      </c>
      <c r="AD259" s="128">
        <f>AA259/AC259</f>
        <v>0.49550642681544171</v>
      </c>
      <c r="AE259" s="149"/>
      <c r="AF259" s="149"/>
      <c r="AG259" s="206"/>
      <c r="AH259" s="149"/>
      <c r="AI259" s="128"/>
      <c r="AJ259" s="149">
        <v>68009.52</v>
      </c>
      <c r="AK259" s="149">
        <v>12590.29</v>
      </c>
      <c r="AL259" s="214">
        <v>2005</v>
      </c>
      <c r="AM259" s="149">
        <v>4677.26</v>
      </c>
      <c r="AN259" s="128">
        <f>AK259/AM259</f>
        <v>2.6918088795576898</v>
      </c>
      <c r="AO259" s="149"/>
      <c r="AP259" s="149"/>
      <c r="AQ259" s="57"/>
      <c r="AR259" s="149"/>
      <c r="AS259" s="128"/>
      <c r="AT259" s="149">
        <v>43730.15</v>
      </c>
      <c r="AU259" s="149">
        <v>43730.15</v>
      </c>
      <c r="AV259" s="214">
        <v>2006</v>
      </c>
      <c r="AW259" s="149">
        <v>-164959.37</v>
      </c>
      <c r="AX259" s="128">
        <f>AU259/AW259</f>
        <v>-0.26509649012359832</v>
      </c>
      <c r="AY259" s="197" t="s">
        <v>2211</v>
      </c>
      <c r="AZ259" s="161" t="str">
        <f t="shared" si="179"/>
        <v>Y</v>
      </c>
      <c r="BA259" s="161" t="str">
        <f t="shared" si="180"/>
        <v>N</v>
      </c>
      <c r="BB259" s="161" t="str">
        <f t="shared" si="181"/>
        <v>N</v>
      </c>
      <c r="BC259" s="161" t="str">
        <f t="shared" si="182"/>
        <v>N</v>
      </c>
      <c r="BD259" s="161" t="str">
        <f t="shared" si="183"/>
        <v>N</v>
      </c>
      <c r="BE259" s="161" t="str">
        <f t="shared" si="184"/>
        <v>Y</v>
      </c>
      <c r="BF259" s="161" t="str">
        <f t="shared" si="185"/>
        <v>Y</v>
      </c>
      <c r="BG259" s="161" t="str">
        <f t="shared" si="186"/>
        <v>N</v>
      </c>
      <c r="BH259" s="161" t="str">
        <f t="shared" si="187"/>
        <v>N</v>
      </c>
      <c r="BI259" s="161" t="str">
        <f t="shared" si="188"/>
        <v>N</v>
      </c>
      <c r="BJ259" s="161" t="str">
        <f t="shared" si="189"/>
        <v>N</v>
      </c>
      <c r="BK259" s="161" t="str">
        <f t="shared" si="190"/>
        <v>N</v>
      </c>
      <c r="BL259" s="161" t="str">
        <f t="shared" si="191"/>
        <v>Y</v>
      </c>
      <c r="BM259" s="161" t="str">
        <f t="shared" si="192"/>
        <v>Y</v>
      </c>
      <c r="BN259" s="176" t="str">
        <f t="shared" si="193"/>
        <v>Y</v>
      </c>
      <c r="BO259" s="222" t="s">
        <v>2212</v>
      </c>
      <c r="BP259" s="174" t="str">
        <f t="shared" si="194"/>
        <v>上交所主板</v>
      </c>
      <c r="BQ259" s="219" t="s">
        <v>317</v>
      </c>
      <c r="BR259" s="173">
        <f t="shared" si="195"/>
        <v>36891</v>
      </c>
      <c r="BS259" s="171" t="str">
        <f t="shared" si="196"/>
        <v>Y</v>
      </c>
    </row>
    <row r="260" spans="1:71" ht="15" customHeight="1" x14ac:dyDescent="0.25">
      <c r="A260" s="31">
        <v>41</v>
      </c>
      <c r="B260" s="238" t="s">
        <v>2213</v>
      </c>
      <c r="C260" s="57" t="s">
        <v>2214</v>
      </c>
      <c r="D260" s="57" t="s">
        <v>826</v>
      </c>
      <c r="E260" s="57" t="s">
        <v>827</v>
      </c>
      <c r="F260" s="238" t="s">
        <v>2215</v>
      </c>
      <c r="G260" s="57" t="s">
        <v>354</v>
      </c>
      <c r="H260" s="32" t="s">
        <v>327</v>
      </c>
      <c r="I260" s="78">
        <v>40989</v>
      </c>
      <c r="J260" s="85">
        <v>41817</v>
      </c>
      <c r="K260" s="85">
        <v>41817</v>
      </c>
      <c r="L260" s="226" t="s">
        <v>2216</v>
      </c>
      <c r="M260" s="69" t="s">
        <v>2217</v>
      </c>
      <c r="N260" s="69">
        <v>6</v>
      </c>
      <c r="O260" s="69" t="s">
        <v>1391</v>
      </c>
      <c r="P260" s="69" t="s">
        <v>1315</v>
      </c>
      <c r="Q260" s="32" t="s">
        <v>2218</v>
      </c>
      <c r="R260" s="85">
        <v>36795</v>
      </c>
      <c r="S260" s="197" t="s">
        <v>543</v>
      </c>
      <c r="T260" s="161" t="s">
        <v>345</v>
      </c>
      <c r="U260" s="69" t="str">
        <f t="shared" si="159"/>
        <v>Y</v>
      </c>
      <c r="V260" s="57" t="s">
        <v>318</v>
      </c>
      <c r="W260" s="197" t="s">
        <v>346</v>
      </c>
      <c r="X260" s="197" t="s">
        <v>334</v>
      </c>
      <c r="Y260" s="213">
        <v>40</v>
      </c>
      <c r="Z260" s="149"/>
      <c r="AA260" s="149"/>
      <c r="AB260" s="214"/>
      <c r="AC260" s="149"/>
      <c r="AD260" s="128"/>
      <c r="AE260" s="149">
        <v>65976.36</v>
      </c>
      <c r="AF260" s="149">
        <v>31566.92</v>
      </c>
      <c r="AG260" s="206">
        <v>2006</v>
      </c>
      <c r="AH260" s="149">
        <v>178281.7</v>
      </c>
      <c r="AI260" s="128">
        <f>AF260/AH260</f>
        <v>0.17706203160503853</v>
      </c>
      <c r="AJ260" s="149">
        <v>22038.82</v>
      </c>
      <c r="AK260" s="149">
        <v>9085.5499999999993</v>
      </c>
      <c r="AL260" s="214">
        <v>2006</v>
      </c>
      <c r="AM260" s="149">
        <v>9621.67</v>
      </c>
      <c r="AN260" s="128">
        <f>AK260/AM260</f>
        <v>0.94427994308680296</v>
      </c>
      <c r="AO260" s="149"/>
      <c r="AP260" s="149"/>
      <c r="AQ260" s="57"/>
      <c r="AR260" s="149"/>
      <c r="AS260" s="128"/>
      <c r="AT260" s="149"/>
      <c r="AU260" s="149"/>
      <c r="AV260" s="214"/>
      <c r="AW260" s="149"/>
      <c r="AX260" s="128"/>
      <c r="AY260" s="197" t="s">
        <v>2219</v>
      </c>
      <c r="AZ260" s="161" t="str">
        <f t="shared" si="179"/>
        <v>N</v>
      </c>
      <c r="BA260" s="161" t="str">
        <f t="shared" si="180"/>
        <v>N</v>
      </c>
      <c r="BB260" s="161" t="str">
        <f t="shared" si="181"/>
        <v>N</v>
      </c>
      <c r="BC260" s="161" t="str">
        <f t="shared" si="182"/>
        <v>N</v>
      </c>
      <c r="BD260" s="161" t="str">
        <f t="shared" si="183"/>
        <v>N</v>
      </c>
      <c r="BE260" s="161" t="str">
        <f t="shared" si="184"/>
        <v>Y</v>
      </c>
      <c r="BF260" s="161" t="str">
        <f t="shared" si="185"/>
        <v>N</v>
      </c>
      <c r="BG260" s="161" t="str">
        <f t="shared" si="186"/>
        <v>N</v>
      </c>
      <c r="BH260" s="161" t="str">
        <f t="shared" si="187"/>
        <v>N</v>
      </c>
      <c r="BI260" s="161" t="str">
        <f t="shared" si="188"/>
        <v>N</v>
      </c>
      <c r="BJ260" s="161" t="str">
        <f t="shared" si="189"/>
        <v>N</v>
      </c>
      <c r="BK260" s="161" t="str">
        <f t="shared" si="190"/>
        <v>N</v>
      </c>
      <c r="BL260" s="161" t="str">
        <f t="shared" si="191"/>
        <v>N</v>
      </c>
      <c r="BM260" s="161" t="str">
        <f t="shared" si="192"/>
        <v>Y</v>
      </c>
      <c r="BN260" s="176" t="str">
        <f t="shared" si="193"/>
        <v>N</v>
      </c>
      <c r="BO260" s="222" t="s">
        <v>2220</v>
      </c>
      <c r="BP260" s="174" t="str">
        <f t="shared" si="194"/>
        <v>深交所主板</v>
      </c>
      <c r="BQ260" s="219" t="s">
        <v>317</v>
      </c>
      <c r="BR260" s="173">
        <f t="shared" si="195"/>
        <v>37621</v>
      </c>
      <c r="BS260" s="171" t="str">
        <f t="shared" si="196"/>
        <v>N</v>
      </c>
    </row>
    <row r="261" spans="1:71" ht="15" customHeight="1" x14ac:dyDescent="0.25">
      <c r="A261" s="31">
        <v>40</v>
      </c>
      <c r="B261" s="238" t="s">
        <v>2221</v>
      </c>
      <c r="C261" s="57" t="s">
        <v>2222</v>
      </c>
      <c r="D261" s="57" t="s">
        <v>377</v>
      </c>
      <c r="E261" s="57" t="s">
        <v>2223</v>
      </c>
      <c r="F261" s="238" t="s">
        <v>2224</v>
      </c>
      <c r="G261" s="57" t="s">
        <v>315</v>
      </c>
      <c r="H261" s="32" t="s">
        <v>327</v>
      </c>
      <c r="I261" s="78">
        <v>40295</v>
      </c>
      <c r="J261" s="85">
        <v>41780</v>
      </c>
      <c r="K261" s="85">
        <v>41780</v>
      </c>
      <c r="L261" s="226" t="s">
        <v>2225</v>
      </c>
      <c r="M261" s="69" t="s">
        <v>2226</v>
      </c>
      <c r="N261" s="69">
        <v>3</v>
      </c>
      <c r="O261" s="69" t="s">
        <v>1314</v>
      </c>
      <c r="P261" s="69" t="s">
        <v>1315</v>
      </c>
      <c r="Q261" s="32" t="s">
        <v>498</v>
      </c>
      <c r="R261" s="85">
        <v>36032</v>
      </c>
      <c r="S261" s="197" t="s">
        <v>1041</v>
      </c>
      <c r="T261" s="161" t="s">
        <v>317</v>
      </c>
      <c r="U261" s="69" t="str">
        <f t="shared" si="159"/>
        <v>Y</v>
      </c>
      <c r="V261" s="57" t="s">
        <v>318</v>
      </c>
      <c r="W261" s="197" t="s">
        <v>2227</v>
      </c>
      <c r="X261" s="197" t="s">
        <v>320</v>
      </c>
      <c r="Y261" s="213">
        <v>50</v>
      </c>
      <c r="Z261" s="149"/>
      <c r="AA261" s="149"/>
      <c r="AB261" s="214"/>
      <c r="AC261" s="149"/>
      <c r="AD261" s="128"/>
      <c r="AE261" s="149"/>
      <c r="AF261" s="149"/>
      <c r="AG261" s="206"/>
      <c r="AH261" s="149"/>
      <c r="AI261" s="128"/>
      <c r="AJ261" s="149"/>
      <c r="AK261" s="149"/>
      <c r="AL261" s="214"/>
      <c r="AM261" s="149"/>
      <c r="AN261" s="128"/>
      <c r="AO261" s="149">
        <v>49440</v>
      </c>
      <c r="AP261" s="149">
        <v>30000</v>
      </c>
      <c r="AQ261" s="57">
        <v>2008</v>
      </c>
      <c r="AR261" s="149">
        <v>1240.52</v>
      </c>
      <c r="AS261" s="128">
        <f>AP261/AR261</f>
        <v>24.183406958372295</v>
      </c>
      <c r="AT261" s="149"/>
      <c r="AU261" s="149"/>
      <c r="AV261" s="214"/>
      <c r="AW261" s="149"/>
      <c r="AX261" s="128"/>
      <c r="AY261" s="197" t="s">
        <v>2228</v>
      </c>
      <c r="AZ261" s="161" t="str">
        <f t="shared" si="179"/>
        <v>N</v>
      </c>
      <c r="BA261" s="161" t="str">
        <f t="shared" si="180"/>
        <v>N</v>
      </c>
      <c r="BB261" s="161" t="str">
        <f t="shared" si="181"/>
        <v>N</v>
      </c>
      <c r="BC261" s="161" t="str">
        <f t="shared" si="182"/>
        <v>N</v>
      </c>
      <c r="BD261" s="161" t="str">
        <f t="shared" si="183"/>
        <v>N</v>
      </c>
      <c r="BE261" s="161" t="str">
        <f t="shared" si="184"/>
        <v>N</v>
      </c>
      <c r="BF261" s="161" t="str">
        <f t="shared" si="185"/>
        <v>N</v>
      </c>
      <c r="BG261" s="161" t="str">
        <f t="shared" si="186"/>
        <v>N</v>
      </c>
      <c r="BH261" s="161" t="str">
        <f t="shared" si="187"/>
        <v>Y</v>
      </c>
      <c r="BI261" s="161" t="str">
        <f t="shared" si="188"/>
        <v>Y</v>
      </c>
      <c r="BJ261" s="161" t="str">
        <f t="shared" si="189"/>
        <v>N</v>
      </c>
      <c r="BK261" s="161" t="str">
        <f t="shared" si="190"/>
        <v>N</v>
      </c>
      <c r="BL261" s="161" t="str">
        <f t="shared" si="191"/>
        <v>N</v>
      </c>
      <c r="BM261" s="161" t="str">
        <f t="shared" si="192"/>
        <v>Y</v>
      </c>
      <c r="BN261" s="176" t="str">
        <f t="shared" si="193"/>
        <v>Y</v>
      </c>
      <c r="BO261" s="222" t="s">
        <v>2229</v>
      </c>
      <c r="BP261" s="174" t="str">
        <f t="shared" si="194"/>
        <v>上交所主板</v>
      </c>
      <c r="BQ261" s="219" t="s">
        <v>317</v>
      </c>
      <c r="BR261" s="173">
        <f t="shared" si="195"/>
        <v>36891</v>
      </c>
      <c r="BS261" s="171" t="str">
        <f t="shared" si="196"/>
        <v>N</v>
      </c>
    </row>
    <row r="262" spans="1:71" ht="15" customHeight="1" x14ac:dyDescent="0.25">
      <c r="A262" s="31">
        <v>39</v>
      </c>
      <c r="B262" s="238" t="s">
        <v>2230</v>
      </c>
      <c r="C262" s="57" t="s">
        <v>2231</v>
      </c>
      <c r="D262" s="57" t="s">
        <v>351</v>
      </c>
      <c r="E262" s="57" t="s">
        <v>404</v>
      </c>
      <c r="F262" s="238" t="s">
        <v>2232</v>
      </c>
      <c r="G262" s="57" t="s">
        <v>354</v>
      </c>
      <c r="H262" s="32" t="s">
        <v>368</v>
      </c>
      <c r="I262" s="78">
        <v>40991</v>
      </c>
      <c r="J262" s="85">
        <v>41759</v>
      </c>
      <c r="K262" s="85">
        <v>41759</v>
      </c>
      <c r="L262" s="226" t="s">
        <v>2233</v>
      </c>
      <c r="M262" s="69" t="s">
        <v>2234</v>
      </c>
      <c r="N262" s="69">
        <v>5</v>
      </c>
      <c r="O262" s="69" t="s">
        <v>1391</v>
      </c>
      <c r="P262" s="69" t="s">
        <v>1315</v>
      </c>
      <c r="Q262" s="32" t="s">
        <v>2235</v>
      </c>
      <c r="R262" s="85">
        <v>36956</v>
      </c>
      <c r="S262" s="197" t="s">
        <v>570</v>
      </c>
      <c r="T262" s="161" t="s">
        <v>317</v>
      </c>
      <c r="U262" s="69" t="str">
        <f t="shared" si="159"/>
        <v>Y</v>
      </c>
      <c r="V262" s="57" t="s">
        <v>318</v>
      </c>
      <c r="W262" s="197" t="s">
        <v>346</v>
      </c>
      <c r="X262" s="197" t="s">
        <v>320</v>
      </c>
      <c r="Y262" s="213">
        <v>50</v>
      </c>
      <c r="Z262" s="149"/>
      <c r="AA262" s="149"/>
      <c r="AB262" s="214"/>
      <c r="AC262" s="149"/>
      <c r="AD262" s="128"/>
      <c r="AE262" s="149"/>
      <c r="AF262" s="149"/>
      <c r="AG262" s="206"/>
      <c r="AH262" s="149"/>
      <c r="AI262" s="128"/>
      <c r="AJ262" s="149">
        <f>3109.15+4223.33+15199.83+6053.18+5864.12</f>
        <v>34449.61</v>
      </c>
      <c r="AK262" s="149">
        <v>15199.83</v>
      </c>
      <c r="AL262" s="214">
        <v>2008</v>
      </c>
      <c r="AM262" s="149">
        <v>1579.36</v>
      </c>
      <c r="AN262" s="128">
        <f>AK262/AM262</f>
        <v>9.6240439165231493</v>
      </c>
      <c r="AO262" s="149"/>
      <c r="AP262" s="149"/>
      <c r="AQ262" s="57"/>
      <c r="AR262" s="149"/>
      <c r="AS262" s="128"/>
      <c r="AT262" s="149"/>
      <c r="AU262" s="149"/>
      <c r="AV262" s="214"/>
      <c r="AW262" s="149"/>
      <c r="AX262" s="128"/>
      <c r="AY262" s="197" t="s">
        <v>2236</v>
      </c>
      <c r="AZ262" s="161" t="str">
        <f t="shared" si="179"/>
        <v>N</v>
      </c>
      <c r="BA262" s="161" t="str">
        <f t="shared" si="180"/>
        <v>N</v>
      </c>
      <c r="BB262" s="161" t="str">
        <f t="shared" si="181"/>
        <v>N</v>
      </c>
      <c r="BC262" s="161" t="str">
        <f t="shared" si="182"/>
        <v>N</v>
      </c>
      <c r="BD262" s="161" t="str">
        <f t="shared" si="183"/>
        <v>N</v>
      </c>
      <c r="BE262" s="161" t="str">
        <f t="shared" si="184"/>
        <v>Y</v>
      </c>
      <c r="BF262" s="161" t="str">
        <f t="shared" si="185"/>
        <v>Y</v>
      </c>
      <c r="BG262" s="161" t="str">
        <f t="shared" si="186"/>
        <v>N</v>
      </c>
      <c r="BH262" s="161" t="str">
        <f t="shared" si="187"/>
        <v>N</v>
      </c>
      <c r="BI262" s="161" t="str">
        <f t="shared" si="188"/>
        <v>N</v>
      </c>
      <c r="BJ262" s="161" t="str">
        <f t="shared" si="189"/>
        <v>N</v>
      </c>
      <c r="BK262" s="161" t="str">
        <f t="shared" si="190"/>
        <v>N</v>
      </c>
      <c r="BL262" s="161" t="str">
        <f t="shared" si="191"/>
        <v>N</v>
      </c>
      <c r="BM262" s="161" t="str">
        <f t="shared" si="192"/>
        <v>Y</v>
      </c>
      <c r="BN262" s="176" t="str">
        <f t="shared" si="193"/>
        <v>Y</v>
      </c>
      <c r="BO262" s="222" t="s">
        <v>562</v>
      </c>
      <c r="BP262" s="174" t="str">
        <f t="shared" si="194"/>
        <v>上交所主板</v>
      </c>
      <c r="BQ262" s="219" t="s">
        <v>317</v>
      </c>
      <c r="BR262" s="173">
        <f t="shared" si="195"/>
        <v>37986</v>
      </c>
      <c r="BS262" s="171" t="str">
        <f t="shared" si="196"/>
        <v>N</v>
      </c>
    </row>
    <row r="263" spans="1:71" ht="15" customHeight="1" x14ac:dyDescent="0.25">
      <c r="A263" s="31">
        <v>38</v>
      </c>
      <c r="B263" s="238" t="s">
        <v>2237</v>
      </c>
      <c r="C263" s="57" t="s">
        <v>2238</v>
      </c>
      <c r="D263" s="57" t="s">
        <v>1553</v>
      </c>
      <c r="E263" s="57" t="s">
        <v>2239</v>
      </c>
      <c r="F263" s="238" t="s">
        <v>2240</v>
      </c>
      <c r="G263" s="57" t="s">
        <v>315</v>
      </c>
      <c r="H263" s="32" t="s">
        <v>602</v>
      </c>
      <c r="I263" s="78">
        <v>41429</v>
      </c>
      <c r="J263" s="85">
        <v>41694</v>
      </c>
      <c r="K263" s="85">
        <v>41694</v>
      </c>
      <c r="L263" s="239" t="s">
        <v>2241</v>
      </c>
      <c r="M263" s="69">
        <v>2012</v>
      </c>
      <c r="N263" s="69">
        <v>0.5</v>
      </c>
      <c r="O263" s="69" t="s">
        <v>1495</v>
      </c>
      <c r="P263" s="69" t="s">
        <v>2180</v>
      </c>
      <c r="Q263" s="32" t="s">
        <v>1788</v>
      </c>
      <c r="R263" s="85">
        <v>37019</v>
      </c>
      <c r="S263" s="197" t="s">
        <v>1472</v>
      </c>
      <c r="T263" s="161" t="s">
        <v>317</v>
      </c>
      <c r="U263" s="69" t="str">
        <f t="shared" si="159"/>
        <v>N</v>
      </c>
      <c r="V263" s="57" t="s">
        <v>361</v>
      </c>
      <c r="W263" s="197" t="s">
        <v>361</v>
      </c>
      <c r="X263" s="197" t="s">
        <v>320</v>
      </c>
      <c r="Y263" s="213">
        <v>60</v>
      </c>
      <c r="Z263" s="149"/>
      <c r="AA263" s="149"/>
      <c r="AB263" s="214"/>
      <c r="AC263" s="149"/>
      <c r="AD263" s="128"/>
      <c r="AE263" s="149"/>
      <c r="AF263" s="149"/>
      <c r="AG263" s="206"/>
      <c r="AH263" s="149"/>
      <c r="AI263" s="128"/>
      <c r="AJ263" s="149"/>
      <c r="AK263" s="149"/>
      <c r="AL263" s="214"/>
      <c r="AM263" s="149"/>
      <c r="AN263" s="128"/>
      <c r="AO263" s="149"/>
      <c r="AP263" s="149"/>
      <c r="AQ263" s="57"/>
      <c r="AR263" s="149"/>
      <c r="AS263" s="128"/>
      <c r="AT263" s="149">
        <v>45000</v>
      </c>
      <c r="AU263" s="149">
        <v>45000</v>
      </c>
      <c r="AV263" s="214">
        <v>2012</v>
      </c>
      <c r="AW263" s="149">
        <v>215207.41</v>
      </c>
      <c r="AX263" s="128">
        <f>AU263/AW263</f>
        <v>0.2091006067123804</v>
      </c>
      <c r="AY263" s="197" t="s">
        <v>2242</v>
      </c>
      <c r="AZ263" s="161" t="str">
        <f t="shared" si="179"/>
        <v>N</v>
      </c>
      <c r="BA263" s="161" t="str">
        <f t="shared" si="180"/>
        <v>N</v>
      </c>
      <c r="BB263" s="161" t="str">
        <f t="shared" si="181"/>
        <v>N</v>
      </c>
      <c r="BC263" s="161" t="str">
        <f t="shared" si="182"/>
        <v>N</v>
      </c>
      <c r="BD263" s="161" t="str">
        <f t="shared" si="183"/>
        <v>N</v>
      </c>
      <c r="BE263" s="161" t="str">
        <f t="shared" si="184"/>
        <v>N</v>
      </c>
      <c r="BF263" s="161" t="str">
        <f t="shared" si="185"/>
        <v>N</v>
      </c>
      <c r="BG263" s="161" t="str">
        <f t="shared" si="186"/>
        <v>N</v>
      </c>
      <c r="BH263" s="161" t="str">
        <f t="shared" si="187"/>
        <v>N</v>
      </c>
      <c r="BI263" s="161" t="str">
        <f t="shared" si="188"/>
        <v>N</v>
      </c>
      <c r="BJ263" s="161" t="str">
        <f t="shared" si="189"/>
        <v>N</v>
      </c>
      <c r="BK263" s="161" t="str">
        <f t="shared" si="190"/>
        <v>N</v>
      </c>
      <c r="BL263" s="161" t="str">
        <f t="shared" si="191"/>
        <v>N</v>
      </c>
      <c r="BM263" s="161" t="str">
        <f t="shared" si="192"/>
        <v>N</v>
      </c>
      <c r="BN263" s="176" t="str">
        <f t="shared" si="193"/>
        <v>N</v>
      </c>
      <c r="BO263" s="222" t="s">
        <v>2243</v>
      </c>
      <c r="BP263" s="174" t="str">
        <f t="shared" si="194"/>
        <v>上交所主板</v>
      </c>
      <c r="BQ263" s="219" t="s">
        <v>345</v>
      </c>
      <c r="BR263" s="173">
        <f t="shared" si="195"/>
        <v>37986</v>
      </c>
      <c r="BS263" s="171" t="str">
        <f t="shared" si="196"/>
        <v>N</v>
      </c>
    </row>
    <row r="264" spans="1:71" ht="15" customHeight="1" x14ac:dyDescent="0.25">
      <c r="A264" s="31">
        <v>37</v>
      </c>
      <c r="B264" s="242" t="s">
        <v>312</v>
      </c>
      <c r="C264" s="31" t="s">
        <v>312</v>
      </c>
      <c r="D264" s="57" t="s">
        <v>377</v>
      </c>
      <c r="E264" s="57" t="s">
        <v>2244</v>
      </c>
      <c r="F264" s="238" t="s">
        <v>2245</v>
      </c>
      <c r="G264" s="57" t="s">
        <v>315</v>
      </c>
      <c r="H264" s="32" t="s">
        <v>327</v>
      </c>
      <c r="I264" s="78">
        <v>41400</v>
      </c>
      <c r="J264" s="85">
        <v>41682</v>
      </c>
      <c r="K264" s="85">
        <v>41682</v>
      </c>
      <c r="L264" s="226" t="s">
        <v>2246</v>
      </c>
      <c r="M264" s="57" t="s">
        <v>2156</v>
      </c>
      <c r="N264" s="69">
        <v>3</v>
      </c>
      <c r="O264" s="32" t="s">
        <v>1314</v>
      </c>
      <c r="P264" s="32" t="s">
        <v>1315</v>
      </c>
      <c r="Q264" s="32" t="s">
        <v>2037</v>
      </c>
      <c r="R264" s="85" t="s">
        <v>312</v>
      </c>
      <c r="S264" s="69" t="s">
        <v>1472</v>
      </c>
      <c r="T264" s="161" t="s">
        <v>317</v>
      </c>
      <c r="U264" s="69" t="str">
        <f t="shared" si="159"/>
        <v>N</v>
      </c>
      <c r="V264" s="57" t="s">
        <v>398</v>
      </c>
      <c r="W264" s="197" t="s">
        <v>2247</v>
      </c>
      <c r="X264" s="197" t="s">
        <v>334</v>
      </c>
      <c r="Y264" s="213">
        <v>60</v>
      </c>
      <c r="Z264" s="149">
        <f>(10316140.1+27923990.26+29441438.62+65499487.33-35499487.33)/10000</f>
        <v>9768.1568980000011</v>
      </c>
      <c r="AA264" s="149">
        <f>(27394101.22+8738985.04+7478773.13+1390091.97)/10000</f>
        <v>4500.1951360000003</v>
      </c>
      <c r="AB264" s="214">
        <v>2012</v>
      </c>
      <c r="AC264" s="149" t="s">
        <v>312</v>
      </c>
      <c r="AD264" s="128"/>
      <c r="AE264" s="149">
        <v>9256.0499999999993</v>
      </c>
      <c r="AF264" s="149">
        <v>4461.5600000000004</v>
      </c>
      <c r="AG264" s="206">
        <v>2012</v>
      </c>
      <c r="AH264" s="149"/>
      <c r="AI264" s="128"/>
      <c r="AJ264" s="149">
        <v>3439.02</v>
      </c>
      <c r="AK264" s="149">
        <v>1625.71</v>
      </c>
      <c r="AL264" s="214">
        <v>2012</v>
      </c>
      <c r="AM264" s="149"/>
      <c r="AN264" s="128">
        <v>0.22939999999999999</v>
      </c>
      <c r="AO264" s="149"/>
      <c r="AP264" s="149"/>
      <c r="AQ264" s="57"/>
      <c r="AR264" s="149"/>
      <c r="AS264" s="128"/>
      <c r="AT264" s="149"/>
      <c r="AU264" s="149"/>
      <c r="AV264" s="214"/>
      <c r="AW264" s="149"/>
      <c r="AX264" s="128"/>
      <c r="AY264" s="197" t="s">
        <v>2248</v>
      </c>
      <c r="AZ264" s="161" t="str">
        <f t="shared" si="179"/>
        <v>N</v>
      </c>
      <c r="BA264" s="161" t="str">
        <f t="shared" si="180"/>
        <v>N</v>
      </c>
      <c r="BB264" s="161" t="str">
        <f t="shared" si="181"/>
        <v>N</v>
      </c>
      <c r="BC264" s="161" t="str">
        <f t="shared" si="182"/>
        <v>N</v>
      </c>
      <c r="BD264" s="161" t="str">
        <f t="shared" si="183"/>
        <v>N</v>
      </c>
      <c r="BE264" s="161" t="str">
        <f t="shared" si="184"/>
        <v>N</v>
      </c>
      <c r="BF264" s="161" t="str">
        <f t="shared" si="185"/>
        <v>N</v>
      </c>
      <c r="BG264" s="161" t="str">
        <f t="shared" si="186"/>
        <v>N</v>
      </c>
      <c r="BH264" s="161" t="str">
        <f t="shared" si="187"/>
        <v>N</v>
      </c>
      <c r="BI264" s="161" t="str">
        <f t="shared" si="188"/>
        <v>N</v>
      </c>
      <c r="BJ264" s="161" t="str">
        <f t="shared" si="189"/>
        <v>N</v>
      </c>
      <c r="BK264" s="161" t="str">
        <f t="shared" si="190"/>
        <v>N</v>
      </c>
      <c r="BL264" s="161" t="str">
        <f t="shared" si="191"/>
        <v>N</v>
      </c>
      <c r="BM264" s="161" t="str">
        <f t="shared" si="192"/>
        <v>N</v>
      </c>
      <c r="BN264" s="176" t="str">
        <f t="shared" si="193"/>
        <v>N</v>
      </c>
      <c r="BO264" s="222" t="s">
        <v>2018</v>
      </c>
      <c r="BP264" s="174"/>
      <c r="BQ264" s="219" t="s">
        <v>2018</v>
      </c>
      <c r="BR264" s="173" t="str">
        <f t="shared" si="195"/>
        <v/>
      </c>
      <c r="BS264" s="171" t="str">
        <f t="shared" si="196"/>
        <v>Y</v>
      </c>
    </row>
    <row r="265" spans="1:71" ht="15" customHeight="1" x14ac:dyDescent="0.25">
      <c r="A265" s="31">
        <v>36</v>
      </c>
      <c r="B265" s="238" t="s">
        <v>2249</v>
      </c>
      <c r="C265" s="57" t="s">
        <v>2250</v>
      </c>
      <c r="D265" s="57" t="s">
        <v>809</v>
      </c>
      <c r="E265" s="57" t="s">
        <v>2132</v>
      </c>
      <c r="F265" s="238" t="s">
        <v>2251</v>
      </c>
      <c r="G265" s="57" t="s">
        <v>315</v>
      </c>
      <c r="H265" s="32" t="s">
        <v>602</v>
      </c>
      <c r="I265" s="78">
        <v>40695</v>
      </c>
      <c r="J265" s="85">
        <v>41590</v>
      </c>
      <c r="K265" s="85">
        <v>41590</v>
      </c>
      <c r="L265" s="226" t="s">
        <v>2252</v>
      </c>
      <c r="M265" s="69" t="s">
        <v>2253</v>
      </c>
      <c r="N265" s="69">
        <v>9</v>
      </c>
      <c r="O265" s="69" t="s">
        <v>1391</v>
      </c>
      <c r="P265" s="69" t="s">
        <v>2254</v>
      </c>
      <c r="Q265" s="32" t="s">
        <v>2255</v>
      </c>
      <c r="R265" s="85">
        <v>35425</v>
      </c>
      <c r="S265" s="69" t="s">
        <v>995</v>
      </c>
      <c r="T265" s="161" t="s">
        <v>345</v>
      </c>
      <c r="U265" s="69" t="str">
        <f t="shared" si="159"/>
        <v>N</v>
      </c>
      <c r="V265" s="57" t="s">
        <v>361</v>
      </c>
      <c r="W265" s="197" t="s">
        <v>361</v>
      </c>
      <c r="X265" s="197" t="s">
        <v>312</v>
      </c>
      <c r="Y265" s="213">
        <v>0</v>
      </c>
      <c r="Z265" s="149"/>
      <c r="AA265" s="149"/>
      <c r="AB265" s="214"/>
      <c r="AC265" s="149"/>
      <c r="AD265" s="128"/>
      <c r="AE265" s="149"/>
      <c r="AF265" s="149"/>
      <c r="AG265" s="206"/>
      <c r="AH265" s="149"/>
      <c r="AI265" s="128"/>
      <c r="AJ265" s="149"/>
      <c r="AK265" s="149"/>
      <c r="AL265" s="214"/>
      <c r="AM265" s="149"/>
      <c r="AN265" s="128"/>
      <c r="AO265" s="149"/>
      <c r="AP265" s="149"/>
      <c r="AQ265" s="57"/>
      <c r="AR265" s="149"/>
      <c r="AS265" s="128"/>
      <c r="AT265" s="149">
        <v>8967.77</v>
      </c>
      <c r="AU265" s="149"/>
      <c r="AV265" s="214"/>
      <c r="AW265" s="149"/>
      <c r="AX265" s="128"/>
      <c r="AY265" s="197" t="s">
        <v>2256</v>
      </c>
      <c r="AZ265" s="161" t="str">
        <f t="shared" si="179"/>
        <v>N</v>
      </c>
      <c r="BA265" s="161" t="str">
        <f t="shared" si="180"/>
        <v>N</v>
      </c>
      <c r="BB265" s="161" t="str">
        <f t="shared" si="181"/>
        <v>N</v>
      </c>
      <c r="BC265" s="161" t="str">
        <f t="shared" si="182"/>
        <v>N</v>
      </c>
      <c r="BD265" s="161" t="str">
        <f t="shared" si="183"/>
        <v>N</v>
      </c>
      <c r="BE265" s="161" t="str">
        <f t="shared" si="184"/>
        <v>N</v>
      </c>
      <c r="BF265" s="161" t="str">
        <f t="shared" si="185"/>
        <v>N</v>
      </c>
      <c r="BG265" s="161" t="str">
        <f t="shared" si="186"/>
        <v>N</v>
      </c>
      <c r="BH265" s="161" t="str">
        <f t="shared" si="187"/>
        <v>N</v>
      </c>
      <c r="BI265" s="161" t="str">
        <f t="shared" si="188"/>
        <v>N</v>
      </c>
      <c r="BJ265" s="161" t="str">
        <f t="shared" si="189"/>
        <v>N</v>
      </c>
      <c r="BK265" s="161" t="str">
        <f t="shared" si="190"/>
        <v>N</v>
      </c>
      <c r="BL265" s="161" t="str">
        <f t="shared" si="191"/>
        <v>N</v>
      </c>
      <c r="BM265" s="161" t="str">
        <f t="shared" si="192"/>
        <v>N</v>
      </c>
      <c r="BN265" s="176" t="str">
        <f t="shared" si="193"/>
        <v>N</v>
      </c>
      <c r="BO265" s="222" t="s">
        <v>761</v>
      </c>
      <c r="BP265" s="174" t="s">
        <v>2257</v>
      </c>
      <c r="BQ265" s="219" t="s">
        <v>317</v>
      </c>
      <c r="BR265" s="173">
        <f t="shared" si="195"/>
        <v>36160</v>
      </c>
      <c r="BS265" s="171" t="str">
        <f t="shared" si="196"/>
        <v>N</v>
      </c>
    </row>
    <row r="266" spans="1:71" ht="15" customHeight="1" x14ac:dyDescent="0.25">
      <c r="A266" s="31">
        <v>35</v>
      </c>
      <c r="B266" s="223" t="s">
        <v>2258</v>
      </c>
      <c r="C266" s="57" t="s">
        <v>2259</v>
      </c>
      <c r="D266" s="57" t="s">
        <v>426</v>
      </c>
      <c r="E266" s="57" t="s">
        <v>646</v>
      </c>
      <c r="F266" s="57" t="s">
        <v>2260</v>
      </c>
      <c r="G266" s="57" t="s">
        <v>315</v>
      </c>
      <c r="H266" s="32" t="s">
        <v>327</v>
      </c>
      <c r="I266" s="78">
        <v>41149</v>
      </c>
      <c r="J266" s="78">
        <v>41425</v>
      </c>
      <c r="K266" s="78">
        <v>41562</v>
      </c>
      <c r="L266" s="226" t="s">
        <v>2261</v>
      </c>
      <c r="M266" s="69" t="s">
        <v>2262</v>
      </c>
      <c r="N266" s="69">
        <v>3</v>
      </c>
      <c r="O266" s="69" t="s">
        <v>1314</v>
      </c>
      <c r="P266" s="69" t="s">
        <v>1315</v>
      </c>
      <c r="Q266" s="32" t="s">
        <v>471</v>
      </c>
      <c r="R266" s="85" t="s">
        <v>312</v>
      </c>
      <c r="S266" s="69" t="s">
        <v>543</v>
      </c>
      <c r="T266" s="161" t="s">
        <v>317</v>
      </c>
      <c r="U266" s="69" t="str">
        <f t="shared" si="159"/>
        <v>N</v>
      </c>
      <c r="V266" s="57" t="s">
        <v>398</v>
      </c>
      <c r="W266" s="197" t="s">
        <v>788</v>
      </c>
      <c r="X266" s="197" t="s">
        <v>320</v>
      </c>
      <c r="Y266" s="213">
        <v>60</v>
      </c>
      <c r="Z266" s="149">
        <f>227.68+648.73+264.5</f>
        <v>1140.9100000000001</v>
      </c>
      <c r="AA266" s="149">
        <v>648.73</v>
      </c>
      <c r="AB266" s="214">
        <v>2010</v>
      </c>
      <c r="AC266" s="149">
        <v>9709.16</v>
      </c>
      <c r="AD266" s="128">
        <f>AA266/AC266</f>
        <v>6.6816284827935682E-2</v>
      </c>
      <c r="AE266" s="149">
        <v>5270.57</v>
      </c>
      <c r="AF266" s="149">
        <v>4155.95</v>
      </c>
      <c r="AG266" s="206">
        <v>2011</v>
      </c>
      <c r="AH266" s="149">
        <v>12356.05</v>
      </c>
      <c r="AI266" s="128">
        <f>AF266/AH266</f>
        <v>0.33634939968679312</v>
      </c>
      <c r="AJ266" s="149">
        <f>1521.07+289.15+251.9</f>
        <v>2062.12</v>
      </c>
      <c r="AK266" s="149">
        <v>1521.07</v>
      </c>
      <c r="AL266" s="214">
        <v>2011</v>
      </c>
      <c r="AM266" s="149">
        <v>4209.66</v>
      </c>
      <c r="AN266" s="128">
        <f>AK266/AM266</f>
        <v>0.36132846833235938</v>
      </c>
      <c r="AO266" s="149"/>
      <c r="AP266" s="149"/>
      <c r="AQ266" s="57"/>
      <c r="AR266" s="149"/>
      <c r="AS266" s="128"/>
      <c r="AT266" s="149"/>
      <c r="AU266" s="149"/>
      <c r="AV266" s="214"/>
      <c r="AW266" s="149"/>
      <c r="AX266" s="128"/>
      <c r="AY266" s="197" t="s">
        <v>2263</v>
      </c>
      <c r="AZ266" s="161" t="str">
        <f t="shared" si="179"/>
        <v>N</v>
      </c>
      <c r="BA266" s="161" t="str">
        <f t="shared" si="180"/>
        <v>N</v>
      </c>
      <c r="BB266" s="161" t="str">
        <f t="shared" si="181"/>
        <v>N</v>
      </c>
      <c r="BC266" s="161" t="str">
        <f t="shared" si="182"/>
        <v>N</v>
      </c>
      <c r="BD266" s="161" t="str">
        <f t="shared" si="183"/>
        <v>N</v>
      </c>
      <c r="BE266" s="161" t="str">
        <f t="shared" si="184"/>
        <v>N</v>
      </c>
      <c r="BF266" s="161" t="str">
        <f t="shared" si="185"/>
        <v>N</v>
      </c>
      <c r="BG266" s="161" t="str">
        <f t="shared" si="186"/>
        <v>N</v>
      </c>
      <c r="BH266" s="161" t="str">
        <f t="shared" si="187"/>
        <v>N</v>
      </c>
      <c r="BI266" s="161" t="str">
        <f t="shared" si="188"/>
        <v>N</v>
      </c>
      <c r="BJ266" s="161" t="str">
        <f t="shared" si="189"/>
        <v>N</v>
      </c>
      <c r="BK266" s="161" t="str">
        <f t="shared" si="190"/>
        <v>N</v>
      </c>
      <c r="BL266" s="161" t="str">
        <f t="shared" si="191"/>
        <v>N</v>
      </c>
      <c r="BM266" s="161" t="str">
        <f t="shared" si="192"/>
        <v>N</v>
      </c>
      <c r="BN266" s="176" t="str">
        <f t="shared" si="193"/>
        <v>N</v>
      </c>
      <c r="BO266" s="222" t="s">
        <v>1801</v>
      </c>
      <c r="BP266" s="174"/>
      <c r="BQ266" s="219" t="s">
        <v>317</v>
      </c>
      <c r="BR266" s="173" t="str">
        <f t="shared" si="195"/>
        <v/>
      </c>
      <c r="BS266" s="171" t="str">
        <f t="shared" si="196"/>
        <v>Y</v>
      </c>
    </row>
    <row r="267" spans="1:71" ht="15" customHeight="1" x14ac:dyDescent="0.25">
      <c r="A267" s="31">
        <v>34</v>
      </c>
      <c r="B267" s="243" t="s">
        <v>312</v>
      </c>
      <c r="C267" s="31" t="s">
        <v>312</v>
      </c>
      <c r="D267" s="57" t="s">
        <v>1870</v>
      </c>
      <c r="E267" s="57" t="s">
        <v>1871</v>
      </c>
      <c r="F267" s="57" t="s">
        <v>2264</v>
      </c>
      <c r="G267" s="57" t="s">
        <v>315</v>
      </c>
      <c r="H267" s="32" t="s">
        <v>368</v>
      </c>
      <c r="I267" s="78">
        <v>41173</v>
      </c>
      <c r="J267" s="78">
        <v>41425</v>
      </c>
      <c r="K267" s="78">
        <v>41542</v>
      </c>
      <c r="L267" s="226" t="s">
        <v>2265</v>
      </c>
      <c r="M267" s="69">
        <v>2011</v>
      </c>
      <c r="N267" s="69">
        <v>0.75</v>
      </c>
      <c r="O267" s="224" t="s">
        <v>1495</v>
      </c>
      <c r="P267" s="69" t="s">
        <v>2266</v>
      </c>
      <c r="Q267" s="32" t="s">
        <v>454</v>
      </c>
      <c r="R267" s="85" t="s">
        <v>312</v>
      </c>
      <c r="S267" s="69" t="s">
        <v>2267</v>
      </c>
      <c r="T267" s="161" t="s">
        <v>317</v>
      </c>
      <c r="U267" s="69" t="str">
        <f t="shared" si="159"/>
        <v>Y</v>
      </c>
      <c r="V267" s="57" t="s">
        <v>333</v>
      </c>
      <c r="W267" s="197" t="s">
        <v>346</v>
      </c>
      <c r="X267" s="197" t="s">
        <v>320</v>
      </c>
      <c r="Y267" s="213">
        <v>60</v>
      </c>
      <c r="Z267" s="149"/>
      <c r="AA267" s="149"/>
      <c r="AB267" s="214"/>
      <c r="AC267" s="149"/>
      <c r="AD267" s="128"/>
      <c r="AE267" s="149">
        <f>85641025.64/10000</f>
        <v>8564.1025640000007</v>
      </c>
      <c r="AF267" s="149">
        <f>85641025.64/10000</f>
        <v>8564.1025640000007</v>
      </c>
      <c r="AG267" s="206">
        <v>2011</v>
      </c>
      <c r="AH267" s="149">
        <f>572849797.6/10000</f>
        <v>57284.979760000002</v>
      </c>
      <c r="AI267" s="128">
        <f>AF267/AH267</f>
        <v>0.14949996665583182</v>
      </c>
      <c r="AJ267" s="149">
        <f>38151968.16/10000</f>
        <v>3815.1968159999997</v>
      </c>
      <c r="AK267" s="149">
        <f>38151968.16/10000</f>
        <v>3815.1968159999997</v>
      </c>
      <c r="AL267" s="214">
        <v>2011</v>
      </c>
      <c r="AM267" s="149">
        <f>71735831.08/10000</f>
        <v>7173.5831079999998</v>
      </c>
      <c r="AN267" s="128">
        <f>AK267/AM267</f>
        <v>0.53183977359170509</v>
      </c>
      <c r="AO267" s="149"/>
      <c r="AP267" s="149"/>
      <c r="AQ267" s="57"/>
      <c r="AR267" s="149"/>
      <c r="AS267" s="128"/>
      <c r="AT267" s="149"/>
      <c r="AU267" s="149"/>
      <c r="AV267" s="214"/>
      <c r="AW267" s="149"/>
      <c r="AX267" s="128"/>
      <c r="AY267" s="197" t="s">
        <v>2268</v>
      </c>
      <c r="AZ267" s="161" t="str">
        <f t="shared" si="179"/>
        <v>N</v>
      </c>
      <c r="BA267" s="161" t="str">
        <f t="shared" si="180"/>
        <v>N</v>
      </c>
      <c r="BB267" s="161" t="str">
        <f t="shared" si="181"/>
        <v>N</v>
      </c>
      <c r="BC267" s="161" t="str">
        <f t="shared" si="182"/>
        <v>N</v>
      </c>
      <c r="BD267" s="161" t="str">
        <f t="shared" si="183"/>
        <v>N</v>
      </c>
      <c r="BE267" s="161" t="str">
        <f t="shared" si="184"/>
        <v>Y</v>
      </c>
      <c r="BF267" s="161" t="str">
        <f t="shared" si="185"/>
        <v>N</v>
      </c>
      <c r="BG267" s="161" t="str">
        <f t="shared" si="186"/>
        <v>N</v>
      </c>
      <c r="BH267" s="161" t="str">
        <f t="shared" si="187"/>
        <v>N</v>
      </c>
      <c r="BI267" s="161" t="str">
        <f t="shared" si="188"/>
        <v>N</v>
      </c>
      <c r="BJ267" s="161" t="str">
        <f t="shared" si="189"/>
        <v>N</v>
      </c>
      <c r="BK267" s="161" t="str">
        <f t="shared" si="190"/>
        <v>N</v>
      </c>
      <c r="BL267" s="161" t="str">
        <f t="shared" si="191"/>
        <v>N</v>
      </c>
      <c r="BM267" s="161" t="str">
        <f t="shared" si="192"/>
        <v>Y</v>
      </c>
      <c r="BN267" s="176" t="str">
        <f t="shared" si="193"/>
        <v>N</v>
      </c>
      <c r="BO267" s="222" t="s">
        <v>2018</v>
      </c>
      <c r="BP267" s="174"/>
      <c r="BQ267" s="219" t="s">
        <v>2018</v>
      </c>
      <c r="BR267" s="173" t="str">
        <f t="shared" si="195"/>
        <v/>
      </c>
      <c r="BS267" s="171" t="str">
        <f t="shared" si="196"/>
        <v>Y</v>
      </c>
    </row>
    <row r="268" spans="1:71" ht="15" customHeight="1" x14ac:dyDescent="0.25">
      <c r="A268" s="31">
        <v>33</v>
      </c>
      <c r="B268" s="57" t="s">
        <v>2269</v>
      </c>
      <c r="C268" s="57" t="s">
        <v>2270</v>
      </c>
      <c r="D268" s="57" t="s">
        <v>565</v>
      </c>
      <c r="E268" s="57" t="s">
        <v>2271</v>
      </c>
      <c r="F268" s="57" t="s">
        <v>2272</v>
      </c>
      <c r="G268" s="57" t="s">
        <v>1446</v>
      </c>
      <c r="H268" s="32" t="s">
        <v>327</v>
      </c>
      <c r="I268" s="78">
        <v>41166</v>
      </c>
      <c r="J268" s="78">
        <v>41404</v>
      </c>
      <c r="K268" s="78">
        <v>41541</v>
      </c>
      <c r="L268" s="239" t="s">
        <v>2273</v>
      </c>
      <c r="M268" s="69" t="s">
        <v>2112</v>
      </c>
      <c r="N268" s="69">
        <v>4.5</v>
      </c>
      <c r="O268" s="69" t="s">
        <v>1314</v>
      </c>
      <c r="P268" s="69" t="s">
        <v>2180</v>
      </c>
      <c r="Q268" s="32" t="s">
        <v>2135</v>
      </c>
      <c r="R268" s="85">
        <v>40813</v>
      </c>
      <c r="S268" s="69" t="s">
        <v>2274</v>
      </c>
      <c r="T268" s="161" t="s">
        <v>317</v>
      </c>
      <c r="U268" s="69" t="str">
        <f t="shared" si="159"/>
        <v>Y</v>
      </c>
      <c r="V268" s="57" t="s">
        <v>318</v>
      </c>
      <c r="W268" s="197" t="s">
        <v>346</v>
      </c>
      <c r="X268" s="197" t="s">
        <v>320</v>
      </c>
      <c r="Y268" s="213">
        <v>30</v>
      </c>
      <c r="Z268" s="149"/>
      <c r="AA268" s="149"/>
      <c r="AB268" s="214"/>
      <c r="AC268" s="149"/>
      <c r="AD268" s="128"/>
      <c r="AE268" s="149">
        <f>12262+14966+19074+28681+16549</f>
        <v>91532</v>
      </c>
      <c r="AF268" s="149">
        <v>28681</v>
      </c>
      <c r="AG268" s="206">
        <v>2011</v>
      </c>
      <c r="AH268" s="149">
        <v>55324</v>
      </c>
      <c r="AI268" s="128">
        <f>AF268/AH268</f>
        <v>0.51841876943098841</v>
      </c>
      <c r="AJ268" s="149"/>
      <c r="AK268" s="149"/>
      <c r="AL268" s="214"/>
      <c r="AM268" s="149"/>
      <c r="AN268" s="128"/>
      <c r="AO268" s="149"/>
      <c r="AP268" s="149"/>
      <c r="AQ268" s="57"/>
      <c r="AR268" s="149"/>
      <c r="AS268" s="128"/>
      <c r="AT268" s="149"/>
      <c r="AU268" s="149"/>
      <c r="AV268" s="214"/>
      <c r="AW268" s="149"/>
      <c r="AX268" s="128"/>
      <c r="AY268" s="197" t="s">
        <v>2275</v>
      </c>
      <c r="AZ268" s="161" t="str">
        <f t="shared" si="179"/>
        <v>N</v>
      </c>
      <c r="BA268" s="161" t="str">
        <f t="shared" si="180"/>
        <v>N</v>
      </c>
      <c r="BB268" s="161" t="str">
        <f t="shared" si="181"/>
        <v>N</v>
      </c>
      <c r="BC268" s="161" t="str">
        <f t="shared" si="182"/>
        <v>Y</v>
      </c>
      <c r="BD268" s="161" t="str">
        <f t="shared" si="183"/>
        <v>N</v>
      </c>
      <c r="BE268" s="161" t="str">
        <f t="shared" si="184"/>
        <v>N</v>
      </c>
      <c r="BF268" s="161" t="str">
        <f t="shared" si="185"/>
        <v>N</v>
      </c>
      <c r="BG268" s="161" t="str">
        <f t="shared" si="186"/>
        <v>N</v>
      </c>
      <c r="BH268" s="161" t="str">
        <f t="shared" si="187"/>
        <v>N</v>
      </c>
      <c r="BI268" s="161" t="str">
        <f t="shared" si="188"/>
        <v>N</v>
      </c>
      <c r="BJ268" s="161" t="str">
        <f t="shared" si="189"/>
        <v>N</v>
      </c>
      <c r="BK268" s="161" t="str">
        <f t="shared" si="190"/>
        <v>N</v>
      </c>
      <c r="BL268" s="161" t="str">
        <f t="shared" si="191"/>
        <v>N</v>
      </c>
      <c r="BM268" s="161" t="str">
        <f t="shared" si="192"/>
        <v>Y</v>
      </c>
      <c r="BN268" s="176" t="str">
        <f t="shared" si="193"/>
        <v>N</v>
      </c>
      <c r="BO268" s="222" t="s">
        <v>520</v>
      </c>
      <c r="BP268" s="174" t="s">
        <v>2276</v>
      </c>
      <c r="BQ268" s="219" t="s">
        <v>317</v>
      </c>
      <c r="BR268" s="173">
        <f t="shared" si="195"/>
        <v>42004</v>
      </c>
      <c r="BS268" s="171" t="str">
        <f t="shared" si="196"/>
        <v>Y</v>
      </c>
    </row>
    <row r="269" spans="1:71" ht="15" customHeight="1" x14ac:dyDescent="0.25">
      <c r="A269" s="31">
        <v>32</v>
      </c>
      <c r="B269" s="57" t="s">
        <v>2277</v>
      </c>
      <c r="C269" s="57" t="s">
        <v>2278</v>
      </c>
      <c r="D269" s="57" t="s">
        <v>713</v>
      </c>
      <c r="E269" s="57" t="s">
        <v>714</v>
      </c>
      <c r="F269" s="57" t="s">
        <v>2279</v>
      </c>
      <c r="G269" s="57" t="s">
        <v>354</v>
      </c>
      <c r="H269" s="32" t="s">
        <v>368</v>
      </c>
      <c r="I269" s="78">
        <v>40254</v>
      </c>
      <c r="J269" s="78">
        <v>41358</v>
      </c>
      <c r="K269" s="78">
        <v>41407</v>
      </c>
      <c r="L269" s="226" t="s">
        <v>2280</v>
      </c>
      <c r="M269" s="69" t="s">
        <v>2281</v>
      </c>
      <c r="N269" s="69">
        <v>6</v>
      </c>
      <c r="O269" s="69" t="s">
        <v>1391</v>
      </c>
      <c r="P269" s="69" t="s">
        <v>2282</v>
      </c>
      <c r="Q269" s="32" t="s">
        <v>2283</v>
      </c>
      <c r="R269" s="85">
        <v>39437</v>
      </c>
      <c r="S269" s="69" t="s">
        <v>2284</v>
      </c>
      <c r="T269" s="161" t="s">
        <v>317</v>
      </c>
      <c r="U269" s="69" t="str">
        <f t="shared" si="159"/>
        <v>N</v>
      </c>
      <c r="V269" s="57" t="s">
        <v>318</v>
      </c>
      <c r="W269" s="197" t="s">
        <v>708</v>
      </c>
      <c r="X269" s="197" t="s">
        <v>320</v>
      </c>
      <c r="Y269" s="213">
        <v>60</v>
      </c>
      <c r="Z269" s="149">
        <f>7011.4+2124+16335.32+10407.06</f>
        <v>35877.78</v>
      </c>
      <c r="AA269" s="149">
        <v>16335.32</v>
      </c>
      <c r="AB269" s="214">
        <v>2008</v>
      </c>
      <c r="AC269" s="149">
        <v>74775.490000000005</v>
      </c>
      <c r="AD269" s="128">
        <f>AA269/AC269</f>
        <v>0.21845821404848031</v>
      </c>
      <c r="AE269" s="149">
        <f>29610.29+9659.9+8564.68+6856.09</f>
        <v>54690.960000000006</v>
      </c>
      <c r="AF269" s="149">
        <v>9659.9</v>
      </c>
      <c r="AG269" s="206">
        <v>2007</v>
      </c>
      <c r="AH269" s="149">
        <v>25746.55</v>
      </c>
      <c r="AI269" s="128">
        <f>AF269/AH269</f>
        <v>0.37519201601768004</v>
      </c>
      <c r="AJ269" s="149"/>
      <c r="AK269" s="149"/>
      <c r="AL269" s="214"/>
      <c r="AM269" s="149"/>
      <c r="AN269" s="128"/>
      <c r="AO269" s="149"/>
      <c r="AP269" s="149"/>
      <c r="AQ269" s="57"/>
      <c r="AR269" s="149"/>
      <c r="AS269" s="128"/>
      <c r="AT269" s="149"/>
      <c r="AU269" s="149"/>
      <c r="AV269" s="214"/>
      <c r="AW269" s="149"/>
      <c r="AX269" s="128"/>
      <c r="AY269" s="197" t="s">
        <v>2285</v>
      </c>
      <c r="AZ269" s="161" t="str">
        <f t="shared" si="179"/>
        <v>N</v>
      </c>
      <c r="BA269" s="161" t="str">
        <f t="shared" si="180"/>
        <v>N</v>
      </c>
      <c r="BB269" s="161" t="str">
        <f t="shared" si="181"/>
        <v>N</v>
      </c>
      <c r="BC269" s="161" t="str">
        <f t="shared" si="182"/>
        <v>N</v>
      </c>
      <c r="BD269" s="161" t="str">
        <f t="shared" si="183"/>
        <v>N</v>
      </c>
      <c r="BE269" s="161" t="str">
        <f t="shared" si="184"/>
        <v>N</v>
      </c>
      <c r="BF269" s="161" t="str">
        <f t="shared" si="185"/>
        <v>N</v>
      </c>
      <c r="BG269" s="161" t="str">
        <f t="shared" si="186"/>
        <v>N</v>
      </c>
      <c r="BH269" s="161" t="str">
        <f t="shared" si="187"/>
        <v>N</v>
      </c>
      <c r="BI269" s="161" t="str">
        <f t="shared" si="188"/>
        <v>N</v>
      </c>
      <c r="BJ269" s="161" t="str">
        <f t="shared" si="189"/>
        <v>N</v>
      </c>
      <c r="BK269" s="161" t="str">
        <f t="shared" si="190"/>
        <v>N</v>
      </c>
      <c r="BL269" s="161" t="str">
        <f t="shared" si="191"/>
        <v>N</v>
      </c>
      <c r="BM269" s="161" t="str">
        <f t="shared" si="192"/>
        <v>N</v>
      </c>
      <c r="BN269" s="176" t="str">
        <f t="shared" si="193"/>
        <v>N</v>
      </c>
      <c r="BO269" s="222" t="s">
        <v>562</v>
      </c>
      <c r="BP269" s="174" t="s">
        <v>2257</v>
      </c>
      <c r="BQ269" s="219" t="s">
        <v>317</v>
      </c>
      <c r="BR269" s="173">
        <f t="shared" si="195"/>
        <v>40178</v>
      </c>
      <c r="BS269" s="171" t="str">
        <f t="shared" si="196"/>
        <v>Y</v>
      </c>
    </row>
    <row r="270" spans="1:71" ht="15" customHeight="1" x14ac:dyDescent="0.25">
      <c r="A270" s="31">
        <v>31</v>
      </c>
      <c r="B270" s="57" t="s">
        <v>2286</v>
      </c>
      <c r="C270" s="57" t="s">
        <v>2287</v>
      </c>
      <c r="D270" s="57" t="s">
        <v>754</v>
      </c>
      <c r="E270" s="57" t="s">
        <v>1861</v>
      </c>
      <c r="F270" s="57" t="s">
        <v>2288</v>
      </c>
      <c r="G270" s="57" t="s">
        <v>315</v>
      </c>
      <c r="H270" s="32" t="s">
        <v>327</v>
      </c>
      <c r="I270" s="78">
        <v>39598</v>
      </c>
      <c r="J270" s="78">
        <v>41327</v>
      </c>
      <c r="K270" s="78">
        <v>41327</v>
      </c>
      <c r="L270" s="226" t="s">
        <v>2289</v>
      </c>
      <c r="M270" s="69" t="s">
        <v>2290</v>
      </c>
      <c r="N270" s="69">
        <v>4</v>
      </c>
      <c r="O270" s="69" t="s">
        <v>1314</v>
      </c>
      <c r="P270" s="69" t="s">
        <v>1315</v>
      </c>
      <c r="Q270" s="32" t="s">
        <v>2291</v>
      </c>
      <c r="R270" s="85">
        <v>35570</v>
      </c>
      <c r="S270" s="69" t="s">
        <v>1679</v>
      </c>
      <c r="T270" s="161" t="s">
        <v>317</v>
      </c>
      <c r="U270" s="69" t="str">
        <f t="shared" si="159"/>
        <v>Y</v>
      </c>
      <c r="V270" s="57" t="s">
        <v>398</v>
      </c>
      <c r="W270" s="197" t="s">
        <v>670</v>
      </c>
      <c r="X270" s="197" t="s">
        <v>312</v>
      </c>
      <c r="Y270" s="213">
        <v>0</v>
      </c>
      <c r="Z270" s="149">
        <f>15000+16329.78+16302.57+10760+8808.4+11476.75</f>
        <v>78677.5</v>
      </c>
      <c r="AA270" s="149">
        <v>16329.78</v>
      </c>
      <c r="AB270" s="214">
        <v>2006</v>
      </c>
      <c r="AC270" s="149">
        <v>31752.84</v>
      </c>
      <c r="AD270" s="128">
        <f>AA270/AC270</f>
        <v>0.51427777798773278</v>
      </c>
      <c r="AE270" s="149"/>
      <c r="AF270" s="149"/>
      <c r="AG270" s="206"/>
      <c r="AH270" s="149"/>
      <c r="AI270" s="128"/>
      <c r="AJ270" s="149"/>
      <c r="AK270" s="149"/>
      <c r="AL270" s="214"/>
      <c r="AM270" s="149"/>
      <c r="AN270" s="128"/>
      <c r="AO270" s="149"/>
      <c r="AP270" s="149"/>
      <c r="AQ270" s="57"/>
      <c r="AR270" s="149"/>
      <c r="AS270" s="128"/>
      <c r="AT270" s="149">
        <f>(114767542.34-11999705.06)/10000</f>
        <v>10276.783728</v>
      </c>
      <c r="AU270" s="149">
        <f>(114767542.34-11999705.06)/10000</f>
        <v>10276.783728</v>
      </c>
      <c r="AV270" s="214">
        <v>2008</v>
      </c>
      <c r="AW270" s="149">
        <f>308611119.88/10000</f>
        <v>30861.111988000001</v>
      </c>
      <c r="AX270" s="128">
        <f>AT270/AW270</f>
        <v>0.33300108343458307</v>
      </c>
      <c r="AY270" s="197" t="s">
        <v>2292</v>
      </c>
      <c r="AZ270" s="161" t="str">
        <f t="shared" si="179"/>
        <v>N</v>
      </c>
      <c r="BA270" s="161" t="str">
        <f t="shared" si="180"/>
        <v>Y</v>
      </c>
      <c r="BB270" s="161" t="str">
        <f t="shared" si="181"/>
        <v>N</v>
      </c>
      <c r="BC270" s="161" t="str">
        <f t="shared" si="182"/>
        <v>N</v>
      </c>
      <c r="BD270" s="161" t="str">
        <f t="shared" si="183"/>
        <v>N</v>
      </c>
      <c r="BE270" s="161" t="str">
        <f t="shared" si="184"/>
        <v>N</v>
      </c>
      <c r="BF270" s="161" t="str">
        <f t="shared" si="185"/>
        <v>N</v>
      </c>
      <c r="BG270" s="161" t="str">
        <f t="shared" si="186"/>
        <v>N</v>
      </c>
      <c r="BH270" s="161" t="str">
        <f t="shared" si="187"/>
        <v>N</v>
      </c>
      <c r="BI270" s="161" t="str">
        <f t="shared" si="188"/>
        <v>N</v>
      </c>
      <c r="BJ270" s="161" t="str">
        <f t="shared" si="189"/>
        <v>N</v>
      </c>
      <c r="BK270" s="161" t="str">
        <f t="shared" si="190"/>
        <v>N</v>
      </c>
      <c r="BL270" s="161" t="str">
        <f t="shared" si="191"/>
        <v>N</v>
      </c>
      <c r="BM270" s="161" t="str">
        <f t="shared" si="192"/>
        <v>Y</v>
      </c>
      <c r="BN270" s="176" t="str">
        <f t="shared" si="193"/>
        <v>N</v>
      </c>
      <c r="BO270" s="222" t="s">
        <v>1189</v>
      </c>
      <c r="BP270" s="174" t="s">
        <v>2293</v>
      </c>
      <c r="BQ270" s="219" t="s">
        <v>345</v>
      </c>
      <c r="BR270" s="173">
        <f t="shared" si="195"/>
        <v>36525</v>
      </c>
      <c r="BS270" s="171" t="str">
        <f t="shared" si="196"/>
        <v>N</v>
      </c>
    </row>
    <row r="271" spans="1:71" ht="15" customHeight="1" x14ac:dyDescent="0.25">
      <c r="A271" s="31">
        <v>30</v>
      </c>
      <c r="B271" s="57" t="s">
        <v>2294</v>
      </c>
      <c r="C271" s="57" t="s">
        <v>2295</v>
      </c>
      <c r="D271" s="57" t="s">
        <v>565</v>
      </c>
      <c r="E271" s="57" t="s">
        <v>2296</v>
      </c>
      <c r="F271" s="57" t="s">
        <v>2297</v>
      </c>
      <c r="G271" s="57" t="s">
        <v>380</v>
      </c>
      <c r="H271" s="32" t="s">
        <v>2298</v>
      </c>
      <c r="I271" s="78">
        <v>40051</v>
      </c>
      <c r="J271" s="78">
        <v>41324</v>
      </c>
      <c r="K271" s="78">
        <v>41324</v>
      </c>
      <c r="L271" s="239" t="s">
        <v>2299</v>
      </c>
      <c r="M271" s="69" t="s">
        <v>2290</v>
      </c>
      <c r="N271" s="69">
        <v>4</v>
      </c>
      <c r="O271" s="69" t="s">
        <v>1314</v>
      </c>
      <c r="P271" s="69" t="s">
        <v>1315</v>
      </c>
      <c r="Q271" s="32" t="s">
        <v>396</v>
      </c>
      <c r="R271" s="85">
        <v>35083</v>
      </c>
      <c r="S271" s="69" t="s">
        <v>421</v>
      </c>
      <c r="T271" s="161" t="s">
        <v>317</v>
      </c>
      <c r="U271" s="69" t="str">
        <f t="shared" si="159"/>
        <v>Y</v>
      </c>
      <c r="V271" s="57" t="s">
        <v>988</v>
      </c>
      <c r="W271" s="197" t="s">
        <v>346</v>
      </c>
      <c r="X271" s="197" t="s">
        <v>320</v>
      </c>
      <c r="Y271" s="213">
        <v>50</v>
      </c>
      <c r="Z271" s="149"/>
      <c r="AA271" s="149"/>
      <c r="AB271" s="214"/>
      <c r="AC271" s="149"/>
      <c r="AD271" s="128"/>
      <c r="AE271" s="149">
        <f>3669.47+1122.28+533.54</f>
        <v>5325.29</v>
      </c>
      <c r="AF271" s="149">
        <v>3669.47</v>
      </c>
      <c r="AG271" s="206">
        <v>2005</v>
      </c>
      <c r="AH271" s="149">
        <v>27111.08</v>
      </c>
      <c r="AI271" s="128">
        <f>AF271/AH271</f>
        <v>0.13534945859773936</v>
      </c>
      <c r="AJ271" s="149">
        <f>3750.22+676.38+621.54+115.69</f>
        <v>5163.829999999999</v>
      </c>
      <c r="AK271" s="149">
        <v>3750.22</v>
      </c>
      <c r="AL271" s="214">
        <v>2005</v>
      </c>
      <c r="AM271" s="149">
        <v>115.13</v>
      </c>
      <c r="AN271" s="128">
        <f>AK271/AM271</f>
        <v>32.573786154781551</v>
      </c>
      <c r="AO271" s="149"/>
      <c r="AP271" s="149"/>
      <c r="AQ271" s="57"/>
      <c r="AR271" s="149"/>
      <c r="AS271" s="128"/>
      <c r="AT271" s="149">
        <v>8479.66</v>
      </c>
      <c r="AU271" s="149">
        <v>8479.66</v>
      </c>
      <c r="AV271" s="214">
        <v>2005</v>
      </c>
      <c r="AW271" s="149">
        <v>26915.46</v>
      </c>
      <c r="AX271" s="128">
        <f>AU271/AW271</f>
        <v>0.31504793156052319</v>
      </c>
      <c r="AY271" s="197" t="s">
        <v>2300</v>
      </c>
      <c r="AZ271" s="161" t="str">
        <f t="shared" si="179"/>
        <v>N</v>
      </c>
      <c r="BA271" s="161" t="str">
        <f t="shared" si="180"/>
        <v>N</v>
      </c>
      <c r="BB271" s="161" t="str">
        <f t="shared" si="181"/>
        <v>N</v>
      </c>
      <c r="BC271" s="161" t="str">
        <f t="shared" si="182"/>
        <v>N</v>
      </c>
      <c r="BD271" s="161" t="str">
        <f t="shared" si="183"/>
        <v>N</v>
      </c>
      <c r="BE271" s="161" t="str">
        <f t="shared" si="184"/>
        <v>Y</v>
      </c>
      <c r="BF271" s="161" t="str">
        <f t="shared" si="185"/>
        <v>Y</v>
      </c>
      <c r="BG271" s="161" t="str">
        <f t="shared" si="186"/>
        <v>N</v>
      </c>
      <c r="BH271" s="161" t="str">
        <f t="shared" si="187"/>
        <v>N</v>
      </c>
      <c r="BI271" s="161" t="str">
        <f t="shared" si="188"/>
        <v>N</v>
      </c>
      <c r="BJ271" s="161" t="str">
        <f t="shared" si="189"/>
        <v>N</v>
      </c>
      <c r="BK271" s="161" t="str">
        <f t="shared" si="190"/>
        <v>N</v>
      </c>
      <c r="BL271" s="161" t="str">
        <f t="shared" si="191"/>
        <v>N</v>
      </c>
      <c r="BM271" s="161" t="str">
        <f t="shared" si="192"/>
        <v>Y</v>
      </c>
      <c r="BN271" s="176" t="str">
        <f t="shared" si="193"/>
        <v>Y</v>
      </c>
      <c r="BO271" s="222" t="s">
        <v>1189</v>
      </c>
      <c r="BP271" s="174" t="s">
        <v>2257</v>
      </c>
      <c r="BQ271" s="219" t="s">
        <v>317</v>
      </c>
      <c r="BR271" s="173">
        <f t="shared" si="195"/>
        <v>36160</v>
      </c>
      <c r="BS271" s="171" t="str">
        <f t="shared" si="196"/>
        <v>N</v>
      </c>
    </row>
    <row r="272" spans="1:71" ht="15" customHeight="1" x14ac:dyDescent="0.25">
      <c r="A272" s="31">
        <v>29</v>
      </c>
      <c r="B272" s="57" t="s">
        <v>2301</v>
      </c>
      <c r="C272" s="57" t="s">
        <v>2302</v>
      </c>
      <c r="D272" s="57" t="s">
        <v>313</v>
      </c>
      <c r="E272" s="57" t="s">
        <v>917</v>
      </c>
      <c r="F272" s="57" t="s">
        <v>2303</v>
      </c>
      <c r="G272" s="57" t="s">
        <v>315</v>
      </c>
      <c r="H272" s="32" t="s">
        <v>327</v>
      </c>
      <c r="I272" s="78">
        <v>38562</v>
      </c>
      <c r="J272" s="78">
        <v>41324</v>
      </c>
      <c r="K272" s="78">
        <v>41324</v>
      </c>
      <c r="L272" s="239" t="s">
        <v>2304</v>
      </c>
      <c r="M272" s="69" t="s">
        <v>2305</v>
      </c>
      <c r="N272" s="69">
        <v>6</v>
      </c>
      <c r="O272" s="69" t="s">
        <v>1391</v>
      </c>
      <c r="P272" s="69" t="s">
        <v>1315</v>
      </c>
      <c r="Q272" s="32" t="s">
        <v>2306</v>
      </c>
      <c r="R272" s="85">
        <v>34187</v>
      </c>
      <c r="S272" s="69" t="s">
        <v>508</v>
      </c>
      <c r="T272" s="161" t="s">
        <v>317</v>
      </c>
      <c r="U272" s="69" t="str">
        <f t="shared" ref="U272:U300" si="197">IF(OR(BL272="Y",BM272="Y",BN272="Y"),"Y","N")</f>
        <v>Y</v>
      </c>
      <c r="V272" s="57" t="s">
        <v>318</v>
      </c>
      <c r="W272" s="197" t="s">
        <v>2307</v>
      </c>
      <c r="X272" s="197" t="s">
        <v>312</v>
      </c>
      <c r="Y272" s="213">
        <v>0</v>
      </c>
      <c r="Z272" s="149"/>
      <c r="AA272" s="149"/>
      <c r="AB272" s="214"/>
      <c r="AC272" s="149"/>
      <c r="AD272" s="128"/>
      <c r="AE272" s="149">
        <f>2419.24+13297.02+33316.07+12236.09+277.77</f>
        <v>61546.189999999995</v>
      </c>
      <c r="AF272" s="149">
        <v>33316.07</v>
      </c>
      <c r="AG272" s="206">
        <v>2001</v>
      </c>
      <c r="AH272" s="149">
        <v>49481.05</v>
      </c>
      <c r="AI272" s="128">
        <f>AF272/AH272</f>
        <v>0.67330968118097734</v>
      </c>
      <c r="AJ272" s="149">
        <f>1397.31+6031.62+8117.01+3530.97+1250.69+1134.63</f>
        <v>21462.23</v>
      </c>
      <c r="AK272" s="149">
        <v>8117.01</v>
      </c>
      <c r="AL272" s="214">
        <v>2001</v>
      </c>
      <c r="AM272" s="149">
        <v>5954.68</v>
      </c>
      <c r="AN272" s="128">
        <f>AK272/AM272</f>
        <v>1.3631311842114102</v>
      </c>
      <c r="AO272" s="149"/>
      <c r="AP272" s="149"/>
      <c r="AQ272" s="57"/>
      <c r="AR272" s="149"/>
      <c r="AS272" s="128"/>
      <c r="AT272" s="149"/>
      <c r="AU272" s="149"/>
      <c r="AV272" s="214"/>
      <c r="AW272" s="149"/>
      <c r="AX272" s="128"/>
      <c r="AY272" s="197" t="s">
        <v>2308</v>
      </c>
      <c r="AZ272" s="161" t="str">
        <f t="shared" si="179"/>
        <v>N</v>
      </c>
      <c r="BA272" s="161" t="str">
        <f t="shared" si="180"/>
        <v>N</v>
      </c>
      <c r="BB272" s="161" t="str">
        <f t="shared" si="181"/>
        <v>N</v>
      </c>
      <c r="BC272" s="161" t="str">
        <f t="shared" si="182"/>
        <v>Y</v>
      </c>
      <c r="BD272" s="161" t="str">
        <f t="shared" si="183"/>
        <v>N</v>
      </c>
      <c r="BE272" s="161" t="str">
        <f t="shared" si="184"/>
        <v>Y</v>
      </c>
      <c r="BF272" s="161" t="str">
        <f t="shared" si="185"/>
        <v>Y</v>
      </c>
      <c r="BG272" s="161" t="str">
        <f t="shared" si="186"/>
        <v>N</v>
      </c>
      <c r="BH272" s="161" t="str">
        <f t="shared" si="187"/>
        <v>N</v>
      </c>
      <c r="BI272" s="161" t="str">
        <f t="shared" si="188"/>
        <v>N</v>
      </c>
      <c r="BJ272" s="161" t="str">
        <f t="shared" si="189"/>
        <v>N</v>
      </c>
      <c r="BK272" s="161" t="str">
        <f t="shared" si="190"/>
        <v>N</v>
      </c>
      <c r="BL272" s="161" t="str">
        <f t="shared" si="191"/>
        <v>N</v>
      </c>
      <c r="BM272" s="161" t="str">
        <f t="shared" si="192"/>
        <v>Y</v>
      </c>
      <c r="BN272" s="176" t="str">
        <f t="shared" si="193"/>
        <v>Y</v>
      </c>
      <c r="BO272" s="222" t="s">
        <v>2309</v>
      </c>
      <c r="BP272" s="174" t="s">
        <v>2257</v>
      </c>
      <c r="BQ272" s="219" t="s">
        <v>345</v>
      </c>
      <c r="BR272" s="173">
        <f t="shared" si="195"/>
        <v>35064</v>
      </c>
      <c r="BS272" s="171" t="str">
        <f t="shared" si="196"/>
        <v>N</v>
      </c>
    </row>
    <row r="273" spans="1:71" ht="15" customHeight="1" x14ac:dyDescent="0.25">
      <c r="A273" s="31">
        <v>28</v>
      </c>
      <c r="B273" s="57" t="s">
        <v>2310</v>
      </c>
      <c r="C273" s="57" t="s">
        <v>2311</v>
      </c>
      <c r="D273" s="57" t="s">
        <v>439</v>
      </c>
      <c r="E273" s="57" t="s">
        <v>2312</v>
      </c>
      <c r="F273" s="57" t="s">
        <v>2313</v>
      </c>
      <c r="G273" s="57" t="s">
        <v>354</v>
      </c>
      <c r="H273" s="32" t="s">
        <v>327</v>
      </c>
      <c r="I273" s="78">
        <v>40907</v>
      </c>
      <c r="J273" s="78">
        <v>41299</v>
      </c>
      <c r="K273" s="78">
        <v>41299</v>
      </c>
      <c r="L273" s="239" t="s">
        <v>2314</v>
      </c>
      <c r="M273" s="69">
        <v>2010</v>
      </c>
      <c r="N273" s="69">
        <v>0.5</v>
      </c>
      <c r="O273" s="69" t="s">
        <v>1495</v>
      </c>
      <c r="P273" s="69" t="s">
        <v>2315</v>
      </c>
      <c r="Q273" s="32" t="s">
        <v>2316</v>
      </c>
      <c r="R273" s="85">
        <v>35608</v>
      </c>
      <c r="S273" s="69" t="s">
        <v>332</v>
      </c>
      <c r="T273" s="161" t="s">
        <v>345</v>
      </c>
      <c r="U273" s="69" t="str">
        <f t="shared" si="197"/>
        <v>N</v>
      </c>
      <c r="V273" s="57" t="s">
        <v>318</v>
      </c>
      <c r="W273" s="197" t="s">
        <v>319</v>
      </c>
      <c r="X273" s="197" t="s">
        <v>815</v>
      </c>
      <c r="Y273" s="213">
        <v>40</v>
      </c>
      <c r="Z273" s="149"/>
      <c r="AA273" s="149"/>
      <c r="AB273" s="214"/>
      <c r="AC273" s="149"/>
      <c r="AD273" s="128"/>
      <c r="AE273" s="149">
        <v>2432.2199999999998</v>
      </c>
      <c r="AF273" s="149">
        <v>2432.2199999999998</v>
      </c>
      <c r="AG273" s="206">
        <v>2010</v>
      </c>
      <c r="AH273" s="149">
        <v>67323.83</v>
      </c>
      <c r="AI273" s="128">
        <f>AF273/AH273</f>
        <v>3.6127178147767287E-2</v>
      </c>
      <c r="AJ273" s="149"/>
      <c r="AK273" s="149"/>
      <c r="AL273" s="214"/>
      <c r="AM273" s="149"/>
      <c r="AN273" s="128"/>
      <c r="AO273" s="149"/>
      <c r="AP273" s="149"/>
      <c r="AQ273" s="57"/>
      <c r="AR273" s="149"/>
      <c r="AS273" s="128"/>
      <c r="AT273" s="149"/>
      <c r="AU273" s="149"/>
      <c r="AV273" s="214"/>
      <c r="AW273" s="149"/>
      <c r="AX273" s="128"/>
      <c r="AY273" s="197" t="s">
        <v>2317</v>
      </c>
      <c r="AZ273" s="161" t="str">
        <f t="shared" si="179"/>
        <v>N</v>
      </c>
      <c r="BA273" s="161" t="str">
        <f t="shared" si="180"/>
        <v>N</v>
      </c>
      <c r="BB273" s="161" t="str">
        <f t="shared" si="181"/>
        <v>N</v>
      </c>
      <c r="BC273" s="161" t="str">
        <f t="shared" si="182"/>
        <v>N</v>
      </c>
      <c r="BD273" s="161" t="str">
        <f t="shared" si="183"/>
        <v>N</v>
      </c>
      <c r="BE273" s="161" t="str">
        <f t="shared" si="184"/>
        <v>N</v>
      </c>
      <c r="BF273" s="161" t="str">
        <f t="shared" si="185"/>
        <v>N</v>
      </c>
      <c r="BG273" s="161" t="str">
        <f t="shared" si="186"/>
        <v>N</v>
      </c>
      <c r="BH273" s="161" t="str">
        <f t="shared" si="187"/>
        <v>N</v>
      </c>
      <c r="BI273" s="161" t="str">
        <f t="shared" si="188"/>
        <v>N</v>
      </c>
      <c r="BJ273" s="161" t="str">
        <f t="shared" si="189"/>
        <v>N</v>
      </c>
      <c r="BK273" s="161" t="str">
        <f t="shared" si="190"/>
        <v>N</v>
      </c>
      <c r="BL273" s="161" t="str">
        <f t="shared" si="191"/>
        <v>N</v>
      </c>
      <c r="BM273" s="161" t="str">
        <f t="shared" si="192"/>
        <v>N</v>
      </c>
      <c r="BN273" s="176" t="str">
        <f t="shared" si="193"/>
        <v>N</v>
      </c>
      <c r="BO273" s="222" t="s">
        <v>839</v>
      </c>
      <c r="BP273" s="174" t="s">
        <v>2257</v>
      </c>
      <c r="BQ273" s="219" t="s">
        <v>317</v>
      </c>
      <c r="BR273" s="173">
        <f t="shared" si="195"/>
        <v>36525</v>
      </c>
      <c r="BS273" s="171" t="str">
        <f t="shared" si="196"/>
        <v>N</v>
      </c>
    </row>
    <row r="274" spans="1:71" ht="15" customHeight="1" x14ac:dyDescent="0.25">
      <c r="A274" s="31">
        <v>27</v>
      </c>
      <c r="B274" s="57" t="s">
        <v>2318</v>
      </c>
      <c r="C274" s="57" t="s">
        <v>2319</v>
      </c>
      <c r="D274" s="57" t="s">
        <v>809</v>
      </c>
      <c r="E274" s="57" t="s">
        <v>2132</v>
      </c>
      <c r="F274" s="57" t="s">
        <v>2320</v>
      </c>
      <c r="G274" s="57" t="s">
        <v>354</v>
      </c>
      <c r="H274" s="32" t="s">
        <v>602</v>
      </c>
      <c r="I274" s="78">
        <v>40850</v>
      </c>
      <c r="J274" s="78">
        <v>41297</v>
      </c>
      <c r="K274" s="78">
        <v>41297</v>
      </c>
      <c r="L274" s="239" t="s">
        <v>2321</v>
      </c>
      <c r="M274" s="69">
        <v>2011</v>
      </c>
      <c r="N274" s="69">
        <v>0.5</v>
      </c>
      <c r="O274" s="69" t="s">
        <v>1495</v>
      </c>
      <c r="P274" s="69" t="s">
        <v>906</v>
      </c>
      <c r="Q274" s="32" t="s">
        <v>2322</v>
      </c>
      <c r="R274" s="85">
        <v>36936</v>
      </c>
      <c r="S274" s="69" t="s">
        <v>995</v>
      </c>
      <c r="T274" s="161" t="s">
        <v>317</v>
      </c>
      <c r="U274" s="69" t="str">
        <f t="shared" si="197"/>
        <v>N</v>
      </c>
      <c r="V274" s="57" t="s">
        <v>318</v>
      </c>
      <c r="W274" s="197" t="s">
        <v>1282</v>
      </c>
      <c r="X274" s="197" t="s">
        <v>320</v>
      </c>
      <c r="Y274" s="213">
        <v>40</v>
      </c>
      <c r="Z274" s="149">
        <v>3600</v>
      </c>
      <c r="AA274" s="149">
        <v>3600</v>
      </c>
      <c r="AB274" s="214">
        <v>2011</v>
      </c>
      <c r="AC274" s="149">
        <v>86958.68</v>
      </c>
      <c r="AD274" s="128">
        <f>AA274/AC274</f>
        <v>4.1398972477503113E-2</v>
      </c>
      <c r="AE274" s="149"/>
      <c r="AF274" s="149"/>
      <c r="AG274" s="206"/>
      <c r="AH274" s="149"/>
      <c r="AI274" s="128"/>
      <c r="AJ274" s="149"/>
      <c r="AK274" s="149"/>
      <c r="AL274" s="214"/>
      <c r="AM274" s="149"/>
      <c r="AN274" s="128"/>
      <c r="AO274" s="149"/>
      <c r="AP274" s="149"/>
      <c r="AQ274" s="57"/>
      <c r="AR274" s="149"/>
      <c r="AS274" s="128"/>
      <c r="AT274" s="149">
        <f>3600+1000</f>
        <v>4600</v>
      </c>
      <c r="AU274" s="149">
        <f>3600+1000</f>
        <v>4600</v>
      </c>
      <c r="AV274" s="214">
        <v>2011</v>
      </c>
      <c r="AW274" s="149">
        <v>86958.68</v>
      </c>
      <c r="AX274" s="128">
        <f>AU274/AW274</f>
        <v>5.2898687054587307E-2</v>
      </c>
      <c r="AY274" s="197" t="s">
        <v>2323</v>
      </c>
      <c r="AZ274" s="161" t="str">
        <f t="shared" si="179"/>
        <v>N</v>
      </c>
      <c r="BA274" s="161" t="str">
        <f t="shared" si="180"/>
        <v>N</v>
      </c>
      <c r="BB274" s="161" t="str">
        <f t="shared" si="181"/>
        <v>N</v>
      </c>
      <c r="BC274" s="161" t="str">
        <f t="shared" si="182"/>
        <v>N</v>
      </c>
      <c r="BD274" s="161" t="str">
        <f t="shared" si="183"/>
        <v>N</v>
      </c>
      <c r="BE274" s="161" t="str">
        <f t="shared" si="184"/>
        <v>N</v>
      </c>
      <c r="BF274" s="161" t="str">
        <f t="shared" si="185"/>
        <v>N</v>
      </c>
      <c r="BG274" s="161" t="str">
        <f t="shared" si="186"/>
        <v>N</v>
      </c>
      <c r="BH274" s="161" t="str">
        <f t="shared" si="187"/>
        <v>N</v>
      </c>
      <c r="BI274" s="161" t="str">
        <f t="shared" si="188"/>
        <v>N</v>
      </c>
      <c r="BJ274" s="161" t="str">
        <f t="shared" si="189"/>
        <v>N</v>
      </c>
      <c r="BK274" s="161" t="str">
        <f t="shared" si="190"/>
        <v>N</v>
      </c>
      <c r="BL274" s="161" t="str">
        <f t="shared" si="191"/>
        <v>N</v>
      </c>
      <c r="BM274" s="161" t="str">
        <f t="shared" si="192"/>
        <v>N</v>
      </c>
      <c r="BN274" s="176" t="str">
        <f t="shared" si="193"/>
        <v>N</v>
      </c>
      <c r="BO274" s="222" t="s">
        <v>2324</v>
      </c>
      <c r="BP274" s="174" t="s">
        <v>2293</v>
      </c>
      <c r="BQ274" s="219" t="s">
        <v>317</v>
      </c>
      <c r="BR274" s="173">
        <f t="shared" si="195"/>
        <v>37986</v>
      </c>
      <c r="BS274" s="171" t="str">
        <f t="shared" si="196"/>
        <v>N</v>
      </c>
    </row>
    <row r="275" spans="1:71" ht="15" customHeight="1" x14ac:dyDescent="0.25">
      <c r="A275" s="31">
        <v>26</v>
      </c>
      <c r="B275" s="57" t="s">
        <v>599</v>
      </c>
      <c r="C275" s="57" t="s">
        <v>2325</v>
      </c>
      <c r="D275" s="57" t="s">
        <v>809</v>
      </c>
      <c r="E275" s="57" t="s">
        <v>2326</v>
      </c>
      <c r="F275" s="32" t="s">
        <v>2327</v>
      </c>
      <c r="G275" s="57" t="s">
        <v>315</v>
      </c>
      <c r="H275" s="57" t="s">
        <v>327</v>
      </c>
      <c r="I275" s="78">
        <v>40416</v>
      </c>
      <c r="J275" s="78">
        <v>41122</v>
      </c>
      <c r="K275" s="78">
        <v>41122</v>
      </c>
      <c r="L275" s="239" t="s">
        <v>2328</v>
      </c>
      <c r="M275" s="32" t="s">
        <v>2329</v>
      </c>
      <c r="N275" s="32">
        <v>2.5</v>
      </c>
      <c r="O275" s="69" t="s">
        <v>1305</v>
      </c>
      <c r="P275" s="32" t="s">
        <v>2330</v>
      </c>
      <c r="Q275" s="238" t="s">
        <v>2037</v>
      </c>
      <c r="R275" s="78">
        <v>37560</v>
      </c>
      <c r="S275" s="32" t="s">
        <v>995</v>
      </c>
      <c r="T275" s="31" t="s">
        <v>317</v>
      </c>
      <c r="U275" s="69" t="str">
        <f t="shared" si="197"/>
        <v>Y</v>
      </c>
      <c r="V275" s="57" t="s">
        <v>2331</v>
      </c>
      <c r="W275" s="57" t="s">
        <v>2332</v>
      </c>
      <c r="X275" s="197" t="s">
        <v>320</v>
      </c>
      <c r="Y275" s="213">
        <v>30</v>
      </c>
      <c r="Z275" s="149">
        <f>35800000/10000</f>
        <v>3580</v>
      </c>
      <c r="AA275" s="149">
        <f>35800000/10000</f>
        <v>3580</v>
      </c>
      <c r="AB275" s="214">
        <v>2008</v>
      </c>
      <c r="AC275" s="149">
        <v>3129.85</v>
      </c>
      <c r="AD275" s="128">
        <f>AA275/AC275</f>
        <v>1.1438247839353324</v>
      </c>
      <c r="AE275" s="149"/>
      <c r="AF275" s="149"/>
      <c r="AG275" s="206"/>
      <c r="AH275" s="149"/>
      <c r="AI275" s="128"/>
      <c r="AJ275" s="149"/>
      <c r="AK275" s="149"/>
      <c r="AL275" s="214"/>
      <c r="AM275" s="149"/>
      <c r="AN275" s="128"/>
      <c r="AO275" s="149"/>
      <c r="AP275" s="149"/>
      <c r="AQ275" s="57"/>
      <c r="AR275" s="149"/>
      <c r="AS275" s="128"/>
      <c r="AT275" s="149">
        <f>(449225660+130410970+24900000)/10000</f>
        <v>60453.663</v>
      </c>
      <c r="AU275" s="149">
        <f>(449225660)/10000</f>
        <v>44922.565999999999</v>
      </c>
      <c r="AV275" s="214">
        <v>2008</v>
      </c>
      <c r="AW275" s="149">
        <v>3129.85</v>
      </c>
      <c r="AX275" s="128">
        <f>AU275/AW275</f>
        <v>14.352945348818633</v>
      </c>
      <c r="AY275" s="57" t="s">
        <v>2333</v>
      </c>
      <c r="AZ275" s="161" t="str">
        <f t="shared" si="179"/>
        <v>N</v>
      </c>
      <c r="BA275" s="161" t="str">
        <f t="shared" si="180"/>
        <v>Y</v>
      </c>
      <c r="BB275" s="161" t="str">
        <f t="shared" si="181"/>
        <v>N</v>
      </c>
      <c r="BC275" s="161" t="str">
        <f t="shared" si="182"/>
        <v>N</v>
      </c>
      <c r="BD275" s="161" t="str">
        <f t="shared" si="183"/>
        <v>N</v>
      </c>
      <c r="BE275" s="161" t="str">
        <f t="shared" si="184"/>
        <v>N</v>
      </c>
      <c r="BF275" s="161" t="str">
        <f t="shared" si="185"/>
        <v>N</v>
      </c>
      <c r="BG275" s="161" t="str">
        <f t="shared" si="186"/>
        <v>N</v>
      </c>
      <c r="BH275" s="161" t="str">
        <f t="shared" si="187"/>
        <v>N</v>
      </c>
      <c r="BI275" s="161" t="str">
        <f t="shared" si="188"/>
        <v>N</v>
      </c>
      <c r="BJ275" s="161" t="str">
        <f t="shared" si="189"/>
        <v>N</v>
      </c>
      <c r="BK275" s="161" t="str">
        <f t="shared" si="190"/>
        <v>Y</v>
      </c>
      <c r="BL275" s="161" t="str">
        <f t="shared" si="191"/>
        <v>N</v>
      </c>
      <c r="BM275" s="161" t="str">
        <f t="shared" si="192"/>
        <v>Y</v>
      </c>
      <c r="BN275" s="176" t="str">
        <f t="shared" si="193"/>
        <v>N</v>
      </c>
      <c r="BO275" s="222" t="s">
        <v>520</v>
      </c>
      <c r="BP275" s="174" t="s">
        <v>2293</v>
      </c>
      <c r="BQ275" s="219" t="s">
        <v>345</v>
      </c>
      <c r="BR275" s="173">
        <f t="shared" si="195"/>
        <v>38352</v>
      </c>
      <c r="BS275" s="171" t="str">
        <f t="shared" si="196"/>
        <v>N</v>
      </c>
    </row>
    <row r="276" spans="1:71" ht="15" customHeight="1" x14ac:dyDescent="0.25">
      <c r="A276" s="31">
        <v>25</v>
      </c>
      <c r="B276" s="57" t="s">
        <v>2334</v>
      </c>
      <c r="C276" s="57" t="s">
        <v>2335</v>
      </c>
      <c r="D276" s="57" t="s">
        <v>323</v>
      </c>
      <c r="E276" s="57" t="s">
        <v>324</v>
      </c>
      <c r="F276" s="32" t="s">
        <v>2336</v>
      </c>
      <c r="G276" s="57" t="s">
        <v>354</v>
      </c>
      <c r="H276" s="32" t="s">
        <v>602</v>
      </c>
      <c r="I276" s="78">
        <v>39864</v>
      </c>
      <c r="J276" s="245">
        <v>41073</v>
      </c>
      <c r="K276" s="245">
        <v>41073</v>
      </c>
      <c r="L276" s="226" t="s">
        <v>2337</v>
      </c>
      <c r="M276" s="32" t="s">
        <v>2338</v>
      </c>
      <c r="N276" s="32">
        <v>2</v>
      </c>
      <c r="O276" s="69" t="s">
        <v>1305</v>
      </c>
      <c r="P276" s="32" t="s">
        <v>2339</v>
      </c>
      <c r="Q276" s="32" t="s">
        <v>2340</v>
      </c>
      <c r="R276" s="78">
        <v>36322</v>
      </c>
      <c r="S276" s="32" t="s">
        <v>639</v>
      </c>
      <c r="T276" s="31" t="s">
        <v>317</v>
      </c>
      <c r="U276" s="69" t="str">
        <f t="shared" si="197"/>
        <v>Y</v>
      </c>
      <c r="V276" s="57" t="s">
        <v>2331</v>
      </c>
      <c r="W276" s="57" t="s">
        <v>444</v>
      </c>
      <c r="X276" s="197" t="s">
        <v>312</v>
      </c>
      <c r="Y276" s="213">
        <v>0</v>
      </c>
      <c r="Z276" s="149">
        <f>87372450/10000</f>
        <v>8737.2450000000008</v>
      </c>
      <c r="AA276" s="149">
        <f>87372450/10000</f>
        <v>8737.2450000000008</v>
      </c>
      <c r="AB276" s="214">
        <v>2008</v>
      </c>
      <c r="AC276" s="149">
        <v>2163.2800000000002</v>
      </c>
      <c r="AD276" s="128">
        <f>AA276/AC276</f>
        <v>4.0388877075551939</v>
      </c>
      <c r="AE276" s="149"/>
      <c r="AF276" s="149"/>
      <c r="AG276" s="206"/>
      <c r="AH276" s="149"/>
      <c r="AI276" s="128"/>
      <c r="AJ276" s="149"/>
      <c r="AK276" s="149"/>
      <c r="AL276" s="214"/>
      <c r="AM276" s="149"/>
      <c r="AN276" s="128"/>
      <c r="AO276" s="149"/>
      <c r="AP276" s="149"/>
      <c r="AQ276" s="57"/>
      <c r="AR276" s="149"/>
      <c r="AS276" s="128"/>
      <c r="AT276" s="149"/>
      <c r="AU276" s="149"/>
      <c r="AV276" s="214"/>
      <c r="AW276" s="149"/>
      <c r="AX276" s="128"/>
      <c r="AY276" s="57" t="s">
        <v>2341</v>
      </c>
      <c r="AZ276" s="161" t="str">
        <f t="shared" si="179"/>
        <v>N</v>
      </c>
      <c r="BA276" s="161" t="str">
        <f t="shared" si="180"/>
        <v>Y</v>
      </c>
      <c r="BB276" s="161" t="str">
        <f t="shared" si="181"/>
        <v>N</v>
      </c>
      <c r="BC276" s="161" t="str">
        <f t="shared" si="182"/>
        <v>N</v>
      </c>
      <c r="BD276" s="161" t="str">
        <f t="shared" si="183"/>
        <v>N</v>
      </c>
      <c r="BE276" s="161" t="str">
        <f t="shared" si="184"/>
        <v>N</v>
      </c>
      <c r="BF276" s="161" t="str">
        <f t="shared" si="185"/>
        <v>N</v>
      </c>
      <c r="BG276" s="161" t="str">
        <f t="shared" si="186"/>
        <v>N</v>
      </c>
      <c r="BH276" s="161" t="str">
        <f t="shared" si="187"/>
        <v>N</v>
      </c>
      <c r="BI276" s="161" t="str">
        <f t="shared" si="188"/>
        <v>N</v>
      </c>
      <c r="BJ276" s="161" t="str">
        <f t="shared" si="189"/>
        <v>N</v>
      </c>
      <c r="BK276" s="161" t="str">
        <f t="shared" si="190"/>
        <v>N</v>
      </c>
      <c r="BL276" s="161" t="str">
        <f t="shared" si="191"/>
        <v>N</v>
      </c>
      <c r="BM276" s="161" t="str">
        <f t="shared" si="192"/>
        <v>Y</v>
      </c>
      <c r="BN276" s="176" t="str">
        <f t="shared" si="193"/>
        <v>N</v>
      </c>
      <c r="BO276" s="222" t="s">
        <v>374</v>
      </c>
      <c r="BP276" s="174" t="s">
        <v>2293</v>
      </c>
      <c r="BQ276" s="219" t="s">
        <v>317</v>
      </c>
      <c r="BR276" s="173">
        <f t="shared" si="195"/>
        <v>37256</v>
      </c>
      <c r="BS276" s="171" t="str">
        <f t="shared" si="196"/>
        <v>N</v>
      </c>
    </row>
    <row r="277" spans="1:71" ht="15" customHeight="1" x14ac:dyDescent="0.25">
      <c r="A277" s="31">
        <v>24</v>
      </c>
      <c r="B277" s="57" t="s">
        <v>2318</v>
      </c>
      <c r="C277" s="57" t="s">
        <v>2319</v>
      </c>
      <c r="D277" s="57" t="s">
        <v>809</v>
      </c>
      <c r="E277" s="57" t="s">
        <v>2132</v>
      </c>
      <c r="F277" s="238" t="s">
        <v>2320</v>
      </c>
      <c r="G277" s="57" t="s">
        <v>354</v>
      </c>
      <c r="H277" s="57" t="s">
        <v>327</v>
      </c>
      <c r="I277" s="78">
        <v>40494</v>
      </c>
      <c r="J277" s="78">
        <v>41050</v>
      </c>
      <c r="K277" s="78">
        <v>41050</v>
      </c>
      <c r="L277" s="79" t="s">
        <v>2342</v>
      </c>
      <c r="M277" s="32" t="s">
        <v>2343</v>
      </c>
      <c r="N277" s="32">
        <v>1.5</v>
      </c>
      <c r="O277" s="69" t="s">
        <v>1258</v>
      </c>
      <c r="P277" s="32" t="s">
        <v>2344</v>
      </c>
      <c r="Q277" s="32" t="s">
        <v>2322</v>
      </c>
      <c r="R277" s="78">
        <v>36976</v>
      </c>
      <c r="S277" s="32" t="s">
        <v>995</v>
      </c>
      <c r="T277" s="31" t="s">
        <v>317</v>
      </c>
      <c r="U277" s="69" t="str">
        <f t="shared" si="197"/>
        <v>N</v>
      </c>
      <c r="V277" s="57" t="s">
        <v>2331</v>
      </c>
      <c r="W277" s="57" t="s">
        <v>2077</v>
      </c>
      <c r="X277" s="197" t="s">
        <v>320</v>
      </c>
      <c r="Y277" s="213">
        <v>50</v>
      </c>
      <c r="Z277" s="149">
        <v>67650</v>
      </c>
      <c r="AA277" s="149">
        <v>37350</v>
      </c>
      <c r="AB277" s="214">
        <v>2009</v>
      </c>
      <c r="AC277" s="149">
        <v>96713.600000000006</v>
      </c>
      <c r="AD277" s="128">
        <f>AA277/AC277</f>
        <v>0.38619180756377591</v>
      </c>
      <c r="AE277" s="149"/>
      <c r="AF277" s="149"/>
      <c r="AG277" s="206"/>
      <c r="AH277" s="149"/>
      <c r="AI277" s="128"/>
      <c r="AJ277" s="149"/>
      <c r="AK277" s="149"/>
      <c r="AL277" s="214"/>
      <c r="AM277" s="149"/>
      <c r="AN277" s="128"/>
      <c r="AO277" s="149"/>
      <c r="AP277" s="149"/>
      <c r="AQ277" s="57"/>
      <c r="AR277" s="149"/>
      <c r="AS277" s="128"/>
      <c r="AT277" s="149"/>
      <c r="AU277" s="149"/>
      <c r="AV277" s="214"/>
      <c r="AW277" s="149"/>
      <c r="AX277" s="128"/>
      <c r="AY277" s="57" t="s">
        <v>2345</v>
      </c>
      <c r="AZ277" s="161" t="str">
        <f t="shared" si="179"/>
        <v>N</v>
      </c>
      <c r="BA277" s="161" t="str">
        <f t="shared" si="180"/>
        <v>N</v>
      </c>
      <c r="BB277" s="161" t="str">
        <f t="shared" si="181"/>
        <v>N</v>
      </c>
      <c r="BC277" s="161" t="str">
        <f t="shared" si="182"/>
        <v>N</v>
      </c>
      <c r="BD277" s="161" t="str">
        <f t="shared" si="183"/>
        <v>N</v>
      </c>
      <c r="BE277" s="161" t="str">
        <f t="shared" si="184"/>
        <v>N</v>
      </c>
      <c r="BF277" s="161" t="str">
        <f t="shared" si="185"/>
        <v>N</v>
      </c>
      <c r="BG277" s="161" t="str">
        <f t="shared" si="186"/>
        <v>N</v>
      </c>
      <c r="BH277" s="161" t="str">
        <f t="shared" si="187"/>
        <v>N</v>
      </c>
      <c r="BI277" s="161" t="str">
        <f t="shared" si="188"/>
        <v>N</v>
      </c>
      <c r="BJ277" s="161" t="str">
        <f t="shared" si="189"/>
        <v>N</v>
      </c>
      <c r="BK277" s="161" t="str">
        <f t="shared" si="190"/>
        <v>N</v>
      </c>
      <c r="BL277" s="161" t="str">
        <f t="shared" si="191"/>
        <v>N</v>
      </c>
      <c r="BM277" s="161" t="str">
        <f t="shared" si="192"/>
        <v>N</v>
      </c>
      <c r="BN277" s="176" t="str">
        <f t="shared" si="193"/>
        <v>N</v>
      </c>
      <c r="BO277" s="222" t="s">
        <v>2324</v>
      </c>
      <c r="BP277" s="174" t="s">
        <v>2293</v>
      </c>
      <c r="BQ277" s="219" t="s">
        <v>317</v>
      </c>
      <c r="BR277" s="173">
        <f t="shared" si="195"/>
        <v>37986</v>
      </c>
      <c r="BS277" s="171" t="str">
        <f t="shared" si="196"/>
        <v>N</v>
      </c>
    </row>
    <row r="278" spans="1:71" ht="15" customHeight="1" x14ac:dyDescent="0.25">
      <c r="A278" s="31">
        <v>23</v>
      </c>
      <c r="B278" s="57" t="s">
        <v>2346</v>
      </c>
      <c r="C278" s="57" t="s">
        <v>2347</v>
      </c>
      <c r="D278" s="57" t="s">
        <v>809</v>
      </c>
      <c r="E278" s="244" t="s">
        <v>2348</v>
      </c>
      <c r="F278" s="32" t="s">
        <v>2349</v>
      </c>
      <c r="G278" s="57" t="s">
        <v>354</v>
      </c>
      <c r="H278" s="57" t="s">
        <v>327</v>
      </c>
      <c r="I278" s="78">
        <v>39976</v>
      </c>
      <c r="J278" s="78">
        <v>41025</v>
      </c>
      <c r="K278" s="78">
        <v>41025</v>
      </c>
      <c r="L278" s="239" t="s">
        <v>2350</v>
      </c>
      <c r="M278" s="32">
        <v>2007</v>
      </c>
      <c r="N278" s="32">
        <v>1</v>
      </c>
      <c r="O278" s="69" t="s">
        <v>1258</v>
      </c>
      <c r="P278" s="32" t="s">
        <v>2351</v>
      </c>
      <c r="Q278" s="238" t="s">
        <v>2352</v>
      </c>
      <c r="R278" s="78">
        <v>35248</v>
      </c>
      <c r="S278" s="32" t="s">
        <v>995</v>
      </c>
      <c r="T278" s="31" t="s">
        <v>317</v>
      </c>
      <c r="U278" s="69" t="str">
        <f t="shared" si="197"/>
        <v>N</v>
      </c>
      <c r="V278" s="57" t="s">
        <v>2331</v>
      </c>
      <c r="W278" s="57" t="s">
        <v>1771</v>
      </c>
      <c r="X278" s="197" t="s">
        <v>320</v>
      </c>
      <c r="Y278" s="213">
        <v>40</v>
      </c>
      <c r="Z278" s="149">
        <f>18400-14900</f>
        <v>3500</v>
      </c>
      <c r="AA278" s="149">
        <f>18400-14900</f>
        <v>3500</v>
      </c>
      <c r="AB278" s="214">
        <v>2007</v>
      </c>
      <c r="AC278" s="149">
        <v>216987</v>
      </c>
      <c r="AD278" s="128">
        <f>AA278/AC278</f>
        <v>1.6129998571342983E-2</v>
      </c>
      <c r="AE278" s="149"/>
      <c r="AF278" s="149"/>
      <c r="AG278" s="206"/>
      <c r="AH278" s="149"/>
      <c r="AI278" s="128"/>
      <c r="AJ278" s="149"/>
      <c r="AK278" s="149"/>
      <c r="AL278" s="214"/>
      <c r="AM278" s="149"/>
      <c r="AN278" s="128"/>
      <c r="AO278" s="149"/>
      <c r="AP278" s="149"/>
      <c r="AQ278" s="57"/>
      <c r="AR278" s="149"/>
      <c r="AS278" s="128"/>
      <c r="AT278" s="149"/>
      <c r="AU278" s="149"/>
      <c r="AV278" s="214"/>
      <c r="AW278" s="149"/>
      <c r="AX278" s="128"/>
      <c r="AY278" s="57" t="s">
        <v>2353</v>
      </c>
      <c r="AZ278" s="161" t="str">
        <f t="shared" si="179"/>
        <v>N</v>
      </c>
      <c r="BA278" s="161" t="str">
        <f t="shared" si="180"/>
        <v>N</v>
      </c>
      <c r="BB278" s="161" t="str">
        <f t="shared" si="181"/>
        <v>N</v>
      </c>
      <c r="BC278" s="161" t="str">
        <f t="shared" si="182"/>
        <v>N</v>
      </c>
      <c r="BD278" s="161" t="str">
        <f t="shared" si="183"/>
        <v>N</v>
      </c>
      <c r="BE278" s="161" t="str">
        <f t="shared" si="184"/>
        <v>N</v>
      </c>
      <c r="BF278" s="161" t="str">
        <f t="shared" si="185"/>
        <v>N</v>
      </c>
      <c r="BG278" s="161" t="str">
        <f t="shared" si="186"/>
        <v>N</v>
      </c>
      <c r="BH278" s="161" t="str">
        <f t="shared" si="187"/>
        <v>N</v>
      </c>
      <c r="BI278" s="161" t="str">
        <f t="shared" si="188"/>
        <v>N</v>
      </c>
      <c r="BJ278" s="161" t="str">
        <f t="shared" si="189"/>
        <v>N</v>
      </c>
      <c r="BK278" s="161" t="str">
        <f t="shared" si="190"/>
        <v>N</v>
      </c>
      <c r="BL278" s="161" t="str">
        <f t="shared" si="191"/>
        <v>N</v>
      </c>
      <c r="BM278" s="161" t="str">
        <f t="shared" si="192"/>
        <v>N</v>
      </c>
      <c r="BN278" s="176" t="str">
        <f t="shared" si="193"/>
        <v>N</v>
      </c>
      <c r="BO278" s="222" t="s">
        <v>481</v>
      </c>
      <c r="BP278" s="174" t="s">
        <v>2293</v>
      </c>
      <c r="BQ278" s="219" t="s">
        <v>317</v>
      </c>
      <c r="BR278" s="173">
        <f t="shared" si="195"/>
        <v>36160</v>
      </c>
      <c r="BS278" s="171" t="str">
        <f t="shared" si="196"/>
        <v>N</v>
      </c>
    </row>
    <row r="279" spans="1:71" ht="15" customHeight="1" x14ac:dyDescent="0.25">
      <c r="A279" s="31">
        <v>22</v>
      </c>
      <c r="B279" s="57" t="s">
        <v>2354</v>
      </c>
      <c r="C279" s="57" t="s">
        <v>2355</v>
      </c>
      <c r="D279" s="57" t="s">
        <v>574</v>
      </c>
      <c r="E279" s="57" t="s">
        <v>575</v>
      </c>
      <c r="F279" s="32" t="s">
        <v>2356</v>
      </c>
      <c r="G279" s="57" t="s">
        <v>315</v>
      </c>
      <c r="H279" s="57" t="s">
        <v>368</v>
      </c>
      <c r="I279" s="78">
        <v>39623</v>
      </c>
      <c r="J279" s="78">
        <v>40990</v>
      </c>
      <c r="K279" s="78">
        <v>40990</v>
      </c>
      <c r="L279" s="239" t="s">
        <v>2357</v>
      </c>
      <c r="M279" s="32" t="s">
        <v>2358</v>
      </c>
      <c r="N279" s="32">
        <v>2</v>
      </c>
      <c r="O279" s="69" t="s">
        <v>1305</v>
      </c>
      <c r="P279" s="32" t="s">
        <v>1315</v>
      </c>
      <c r="Q279" s="32" t="s">
        <v>2359</v>
      </c>
      <c r="R279" s="78">
        <v>34362</v>
      </c>
      <c r="S279" s="32" t="s">
        <v>639</v>
      </c>
      <c r="T279" s="31" t="s">
        <v>317</v>
      </c>
      <c r="U279" s="69" t="str">
        <f t="shared" si="197"/>
        <v>Y</v>
      </c>
      <c r="V279" s="57" t="s">
        <v>2331</v>
      </c>
      <c r="W279" s="57" t="s">
        <v>319</v>
      </c>
      <c r="X279" s="197" t="s">
        <v>312</v>
      </c>
      <c r="Y279" s="213">
        <v>0</v>
      </c>
      <c r="Z279" s="149"/>
      <c r="AA279" s="149"/>
      <c r="AB279" s="214"/>
      <c r="AC279" s="149"/>
      <c r="AD279" s="128"/>
      <c r="AE279" s="149">
        <f>485126547*7.8087/10000</f>
        <v>378820.76675588998</v>
      </c>
      <c r="AF279" s="149"/>
      <c r="AG279" s="206"/>
      <c r="AH279" s="149"/>
      <c r="AI279" s="128"/>
      <c r="AJ279" s="149"/>
      <c r="AK279" s="149"/>
      <c r="AL279" s="214"/>
      <c r="AM279" s="149"/>
      <c r="AN279" s="128"/>
      <c r="AO279" s="149"/>
      <c r="AP279" s="149"/>
      <c r="AQ279" s="57"/>
      <c r="AR279" s="149"/>
      <c r="AS279" s="128"/>
      <c r="AT279" s="149"/>
      <c r="AU279" s="149"/>
      <c r="AV279" s="214"/>
      <c r="AW279" s="149"/>
      <c r="AX279" s="128"/>
      <c r="AY279" s="57" t="s">
        <v>2360</v>
      </c>
      <c r="AZ279" s="161" t="str">
        <f t="shared" si="179"/>
        <v>N</v>
      </c>
      <c r="BA279" s="161" t="str">
        <f t="shared" si="180"/>
        <v>N</v>
      </c>
      <c r="BB279" s="161" t="str">
        <f t="shared" si="181"/>
        <v>Y</v>
      </c>
      <c r="BC279" s="161" t="str">
        <f t="shared" si="182"/>
        <v>N</v>
      </c>
      <c r="BD279" s="161" t="str">
        <f t="shared" si="183"/>
        <v>N</v>
      </c>
      <c r="BE279" s="161" t="str">
        <f t="shared" si="184"/>
        <v>N</v>
      </c>
      <c r="BF279" s="161" t="str">
        <f t="shared" si="185"/>
        <v>N</v>
      </c>
      <c r="BG279" s="161" t="str">
        <f t="shared" si="186"/>
        <v>N</v>
      </c>
      <c r="BH279" s="161" t="str">
        <f t="shared" si="187"/>
        <v>N</v>
      </c>
      <c r="BI279" s="161" t="str">
        <f t="shared" si="188"/>
        <v>N</v>
      </c>
      <c r="BJ279" s="161" t="str">
        <f t="shared" si="189"/>
        <v>N</v>
      </c>
      <c r="BK279" s="161" t="str">
        <f t="shared" si="190"/>
        <v>N</v>
      </c>
      <c r="BL279" s="161" t="str">
        <f t="shared" si="191"/>
        <v>Y</v>
      </c>
      <c r="BM279" s="161" t="str">
        <f t="shared" si="192"/>
        <v>N</v>
      </c>
      <c r="BN279" s="176" t="str">
        <f t="shared" si="193"/>
        <v>N</v>
      </c>
      <c r="BO279" s="222" t="s">
        <v>2361</v>
      </c>
      <c r="BP279" s="174" t="s">
        <v>2293</v>
      </c>
      <c r="BQ279" s="219" t="s">
        <v>345</v>
      </c>
      <c r="BR279" s="173">
        <f t="shared" si="195"/>
        <v>35430</v>
      </c>
      <c r="BS279" s="171" t="str">
        <f t="shared" si="196"/>
        <v>N</v>
      </c>
    </row>
    <row r="280" spans="1:71" ht="15" customHeight="1" x14ac:dyDescent="0.25">
      <c r="A280" s="31">
        <v>21</v>
      </c>
      <c r="B280" s="57" t="s">
        <v>1202</v>
      </c>
      <c r="C280" s="57" t="s">
        <v>1203</v>
      </c>
      <c r="D280" s="57" t="s">
        <v>686</v>
      </c>
      <c r="E280" s="57" t="s">
        <v>1204</v>
      </c>
      <c r="F280" s="32" t="s">
        <v>1205</v>
      </c>
      <c r="G280" s="57" t="s">
        <v>315</v>
      </c>
      <c r="H280" s="57" t="s">
        <v>1792</v>
      </c>
      <c r="I280" s="78">
        <v>40230</v>
      </c>
      <c r="J280" s="78">
        <v>40795</v>
      </c>
      <c r="K280" s="78">
        <v>40795</v>
      </c>
      <c r="L280" s="239" t="s">
        <v>2362</v>
      </c>
      <c r="M280" s="32">
        <v>2008</v>
      </c>
      <c r="N280" s="32">
        <v>1</v>
      </c>
      <c r="O280" s="69" t="s">
        <v>1258</v>
      </c>
      <c r="P280" s="32" t="s">
        <v>1315</v>
      </c>
      <c r="Q280" s="32" t="s">
        <v>2363</v>
      </c>
      <c r="R280" s="78">
        <v>39584</v>
      </c>
      <c r="S280" s="32" t="s">
        <v>1079</v>
      </c>
      <c r="T280" s="31" t="s">
        <v>317</v>
      </c>
      <c r="U280" s="69" t="str">
        <f t="shared" si="197"/>
        <v>N</v>
      </c>
      <c r="V280" s="57" t="s">
        <v>2331</v>
      </c>
      <c r="W280" s="57" t="s">
        <v>346</v>
      </c>
      <c r="X280" s="197" t="s">
        <v>320</v>
      </c>
      <c r="Y280" s="213">
        <v>50</v>
      </c>
      <c r="Z280" s="149"/>
      <c r="AA280" s="149"/>
      <c r="AB280" s="214"/>
      <c r="AC280" s="149"/>
      <c r="AD280" s="128"/>
      <c r="AE280" s="149">
        <v>6900.7</v>
      </c>
      <c r="AF280" s="149">
        <v>6900.7</v>
      </c>
      <c r="AG280" s="206">
        <v>2008</v>
      </c>
      <c r="AH280" s="149">
        <v>48801.88</v>
      </c>
      <c r="AI280" s="128">
        <f>AF280/AH280</f>
        <v>0.14140233941807159</v>
      </c>
      <c r="AJ280" s="149">
        <v>1609</v>
      </c>
      <c r="AK280" s="149">
        <v>1609</v>
      </c>
      <c r="AL280" s="214">
        <v>2008</v>
      </c>
      <c r="AM280" s="149">
        <v>5998.55</v>
      </c>
      <c r="AN280" s="128">
        <f>AK280/AM280</f>
        <v>0.26823148927657514</v>
      </c>
      <c r="AO280" s="149"/>
      <c r="AP280" s="149"/>
      <c r="AQ280" s="57"/>
      <c r="AR280" s="149"/>
      <c r="AS280" s="128"/>
      <c r="AT280" s="149"/>
      <c r="AU280" s="149"/>
      <c r="AV280" s="214"/>
      <c r="AW280" s="149"/>
      <c r="AX280" s="128"/>
      <c r="AY280" s="57" t="s">
        <v>2364</v>
      </c>
      <c r="AZ280" s="161" t="str">
        <f t="shared" si="179"/>
        <v>N</v>
      </c>
      <c r="BA280" s="161" t="str">
        <f t="shared" si="180"/>
        <v>N</v>
      </c>
      <c r="BB280" s="161" t="str">
        <f t="shared" si="181"/>
        <v>N</v>
      </c>
      <c r="BC280" s="161" t="str">
        <f t="shared" si="182"/>
        <v>N</v>
      </c>
      <c r="BD280" s="161" t="str">
        <f t="shared" si="183"/>
        <v>N</v>
      </c>
      <c r="BE280" s="161" t="str">
        <f t="shared" si="184"/>
        <v>N</v>
      </c>
      <c r="BF280" s="161" t="str">
        <f t="shared" si="185"/>
        <v>N</v>
      </c>
      <c r="BG280" s="161" t="str">
        <f t="shared" si="186"/>
        <v>N</v>
      </c>
      <c r="BH280" s="161" t="str">
        <f t="shared" si="187"/>
        <v>N</v>
      </c>
      <c r="BI280" s="161" t="str">
        <f t="shared" si="188"/>
        <v>N</v>
      </c>
      <c r="BJ280" s="161" t="str">
        <f t="shared" si="189"/>
        <v>N</v>
      </c>
      <c r="BK280" s="161" t="str">
        <f t="shared" si="190"/>
        <v>N</v>
      </c>
      <c r="BL280" s="161" t="str">
        <f t="shared" si="191"/>
        <v>N</v>
      </c>
      <c r="BM280" s="161" t="str">
        <f t="shared" si="192"/>
        <v>N</v>
      </c>
      <c r="BN280" s="176" t="str">
        <f t="shared" si="193"/>
        <v>N</v>
      </c>
      <c r="BO280" s="222" t="s">
        <v>520</v>
      </c>
      <c r="BP280" s="174" t="s">
        <v>2257</v>
      </c>
      <c r="BQ280" s="219" t="s">
        <v>317</v>
      </c>
      <c r="BR280" s="173">
        <f t="shared" si="195"/>
        <v>40543</v>
      </c>
      <c r="BS280" s="171" t="str">
        <f t="shared" si="196"/>
        <v>Y</v>
      </c>
    </row>
    <row r="281" spans="1:71" ht="15" customHeight="1" x14ac:dyDescent="0.25">
      <c r="A281" s="31">
        <v>20</v>
      </c>
      <c r="B281" s="57" t="s">
        <v>2365</v>
      </c>
      <c r="C281" s="57" t="s">
        <v>2366</v>
      </c>
      <c r="D281" s="57" t="s">
        <v>809</v>
      </c>
      <c r="E281" s="57" t="s">
        <v>2367</v>
      </c>
      <c r="F281" s="238" t="s">
        <v>2368</v>
      </c>
      <c r="G281" s="57" t="s">
        <v>380</v>
      </c>
      <c r="H281" s="57" t="s">
        <v>327</v>
      </c>
      <c r="I281" s="78">
        <v>40010</v>
      </c>
      <c r="J281" s="78">
        <v>40794</v>
      </c>
      <c r="K281" s="78">
        <v>40794</v>
      </c>
      <c r="L281" s="239" t="s">
        <v>2369</v>
      </c>
      <c r="M281" s="32" t="s">
        <v>2370</v>
      </c>
      <c r="N281" s="32">
        <v>3</v>
      </c>
      <c r="O281" s="69" t="s">
        <v>1314</v>
      </c>
      <c r="P281" s="32" t="s">
        <v>1315</v>
      </c>
      <c r="Q281" s="32" t="s">
        <v>2371</v>
      </c>
      <c r="R281" s="78">
        <v>38103</v>
      </c>
      <c r="S281" s="32" t="s">
        <v>384</v>
      </c>
      <c r="T281" s="31" t="s">
        <v>317</v>
      </c>
      <c r="U281" s="69" t="str">
        <f t="shared" si="197"/>
        <v>Y</v>
      </c>
      <c r="V281" s="57" t="s">
        <v>2331</v>
      </c>
      <c r="W281" s="57" t="s">
        <v>2372</v>
      </c>
      <c r="X281" s="197" t="s">
        <v>320</v>
      </c>
      <c r="Y281" s="213">
        <v>60</v>
      </c>
      <c r="Z281" s="149">
        <f>(8917410.95+46712400+8751658.42+5864210.51)/10000</f>
        <v>7024.5679880000007</v>
      </c>
      <c r="AA281" s="149">
        <f>(8917410.95+46712400)/10000</f>
        <v>5562.9810950000001</v>
      </c>
      <c r="AB281" s="214">
        <v>2006</v>
      </c>
      <c r="AC281" s="149">
        <v>55878</v>
      </c>
      <c r="AD281" s="128">
        <f>AA281/AC281</f>
        <v>9.9555837628404739E-2</v>
      </c>
      <c r="AE281" s="149">
        <f>46712400/10000</f>
        <v>4671.24</v>
      </c>
      <c r="AF281" s="149">
        <f>46712400/10000</f>
        <v>4671.24</v>
      </c>
      <c r="AG281" s="206">
        <v>2008</v>
      </c>
      <c r="AH281" s="149">
        <v>47684</v>
      </c>
      <c r="AI281" s="128">
        <f>AF281/AH281</f>
        <v>9.7962419260129177E-2</v>
      </c>
      <c r="AJ281" s="149">
        <f>(31357936.54+165752.53)/10000</f>
        <v>3152.368907</v>
      </c>
      <c r="AK281" s="149">
        <f>31357936.54/10000</f>
        <v>3135.7936540000001</v>
      </c>
      <c r="AL281" s="214">
        <v>2006</v>
      </c>
      <c r="AM281" s="149">
        <v>2042</v>
      </c>
      <c r="AN281" s="128">
        <f>AK281/AM281</f>
        <v>1.5356482144955925</v>
      </c>
      <c r="AO281" s="149"/>
      <c r="AP281" s="149"/>
      <c r="AQ281" s="57"/>
      <c r="AR281" s="149"/>
      <c r="AS281" s="128"/>
      <c r="AT281" s="149">
        <f>(785650000+883316031.73+52220000)/10000</f>
        <v>172118.60317300001</v>
      </c>
      <c r="AU281" s="149">
        <f>883316031.73/10000</f>
        <v>88331.603172999996</v>
      </c>
      <c r="AV281" s="214">
        <v>2008</v>
      </c>
      <c r="AW281" s="149">
        <f>587435342.94/10000</f>
        <v>58743.534294000005</v>
      </c>
      <c r="AX281" s="128">
        <f>AU281/AW281</f>
        <v>1.5036821368444984</v>
      </c>
      <c r="AY281" s="57" t="s">
        <v>2373</v>
      </c>
      <c r="AZ281" s="161" t="str">
        <f t="shared" si="179"/>
        <v>N</v>
      </c>
      <c r="BA281" s="161" t="str">
        <f t="shared" si="180"/>
        <v>N</v>
      </c>
      <c r="BB281" s="161" t="str">
        <f t="shared" si="181"/>
        <v>N</v>
      </c>
      <c r="BC281" s="161" t="str">
        <f t="shared" si="182"/>
        <v>N</v>
      </c>
      <c r="BD281" s="161" t="str">
        <f t="shared" si="183"/>
        <v>N</v>
      </c>
      <c r="BE281" s="161" t="str">
        <f t="shared" si="184"/>
        <v>Y</v>
      </c>
      <c r="BF281" s="161" t="str">
        <f t="shared" si="185"/>
        <v>Y</v>
      </c>
      <c r="BG281" s="161" t="str">
        <f t="shared" si="186"/>
        <v>N</v>
      </c>
      <c r="BH281" s="161" t="str">
        <f t="shared" si="187"/>
        <v>N</v>
      </c>
      <c r="BI281" s="161" t="str">
        <f t="shared" si="188"/>
        <v>N</v>
      </c>
      <c r="BJ281" s="161" t="str">
        <f t="shared" si="189"/>
        <v>Y</v>
      </c>
      <c r="BK281" s="161" t="str">
        <f t="shared" si="190"/>
        <v>Y</v>
      </c>
      <c r="BL281" s="161" t="str">
        <f t="shared" si="191"/>
        <v>Y</v>
      </c>
      <c r="BM281" s="161" t="str">
        <f t="shared" si="192"/>
        <v>Y</v>
      </c>
      <c r="BN281" s="176" t="str">
        <f t="shared" si="193"/>
        <v>Y</v>
      </c>
      <c r="BO281" s="222" t="s">
        <v>562</v>
      </c>
      <c r="BP281" s="174" t="s">
        <v>2293</v>
      </c>
      <c r="BQ281" s="219" t="s">
        <v>317</v>
      </c>
      <c r="BR281" s="173">
        <f t="shared" si="195"/>
        <v>39082</v>
      </c>
      <c r="BS281" s="171" t="str">
        <f t="shared" si="196"/>
        <v>Y</v>
      </c>
    </row>
    <row r="282" spans="1:71" ht="15" customHeight="1" x14ac:dyDescent="0.25">
      <c r="A282" s="31">
        <v>19</v>
      </c>
      <c r="B282" s="57" t="s">
        <v>2374</v>
      </c>
      <c r="C282" s="57" t="s">
        <v>2375</v>
      </c>
      <c r="D282" s="57" t="s">
        <v>351</v>
      </c>
      <c r="E282" s="57" t="s">
        <v>2376</v>
      </c>
      <c r="F282" s="57" t="s">
        <v>2377</v>
      </c>
      <c r="G282" s="57" t="s">
        <v>315</v>
      </c>
      <c r="H282" s="32" t="s">
        <v>327</v>
      </c>
      <c r="I282" s="78">
        <v>39897</v>
      </c>
      <c r="J282" s="78">
        <v>40763</v>
      </c>
      <c r="K282" s="78">
        <v>41246</v>
      </c>
      <c r="L282" s="239" t="s">
        <v>2378</v>
      </c>
      <c r="M282" s="69">
        <v>2006</v>
      </c>
      <c r="N282" s="69">
        <v>1</v>
      </c>
      <c r="O282" s="69" t="s">
        <v>1258</v>
      </c>
      <c r="P282" s="69" t="s">
        <v>1315</v>
      </c>
      <c r="Q282" s="32" t="s">
        <v>2379</v>
      </c>
      <c r="R282" s="85">
        <v>35944</v>
      </c>
      <c r="S282" s="69" t="s">
        <v>2380</v>
      </c>
      <c r="T282" s="161" t="s">
        <v>317</v>
      </c>
      <c r="U282" s="69" t="str">
        <f t="shared" si="197"/>
        <v>Y</v>
      </c>
      <c r="V282" s="57" t="s">
        <v>333</v>
      </c>
      <c r="W282" s="197" t="s">
        <v>1023</v>
      </c>
      <c r="X282" s="197" t="s">
        <v>320</v>
      </c>
      <c r="Y282" s="213">
        <v>30</v>
      </c>
      <c r="Z282" s="149"/>
      <c r="AA282" s="149"/>
      <c r="AB282" s="214"/>
      <c r="AC282" s="149"/>
      <c r="AD282" s="128"/>
      <c r="AE282" s="149">
        <v>70</v>
      </c>
      <c r="AF282" s="149">
        <v>70</v>
      </c>
      <c r="AG282" s="206">
        <v>2006</v>
      </c>
      <c r="AH282" s="149">
        <v>252.54</v>
      </c>
      <c r="AI282" s="128">
        <f>AF282/AH282</f>
        <v>0.27718381246535201</v>
      </c>
      <c r="AJ282" s="149">
        <f>70+179.85</f>
        <v>249.85</v>
      </c>
      <c r="AK282" s="149">
        <f>70+179.85</f>
        <v>249.85</v>
      </c>
      <c r="AL282" s="214">
        <v>2006</v>
      </c>
      <c r="AM282" s="149">
        <v>65.78</v>
      </c>
      <c r="AN282" s="128">
        <f>AK282/AM282</f>
        <v>3.7982669504408633</v>
      </c>
      <c r="AO282" s="149"/>
      <c r="AP282" s="149"/>
      <c r="AQ282" s="57"/>
      <c r="AR282" s="149"/>
      <c r="AS282" s="128"/>
      <c r="AT282" s="149"/>
      <c r="AU282" s="149"/>
      <c r="AV282" s="214"/>
      <c r="AW282" s="149"/>
      <c r="AX282" s="128"/>
      <c r="AY282" s="197" t="s">
        <v>2381</v>
      </c>
      <c r="AZ282" s="161" t="str">
        <f t="shared" si="179"/>
        <v>N</v>
      </c>
      <c r="BA282" s="161" t="str">
        <f t="shared" si="180"/>
        <v>N</v>
      </c>
      <c r="BB282" s="161" t="str">
        <f t="shared" si="181"/>
        <v>N</v>
      </c>
      <c r="BC282" s="161" t="str">
        <f t="shared" si="182"/>
        <v>N</v>
      </c>
      <c r="BD282" s="161" t="str">
        <f t="shared" si="183"/>
        <v>N</v>
      </c>
      <c r="BE282" s="161" t="str">
        <f t="shared" si="184"/>
        <v>Y</v>
      </c>
      <c r="BF282" s="161" t="str">
        <f t="shared" si="185"/>
        <v>Y</v>
      </c>
      <c r="BG282" s="161" t="str">
        <f t="shared" si="186"/>
        <v>N</v>
      </c>
      <c r="BH282" s="161" t="str">
        <f t="shared" si="187"/>
        <v>N</v>
      </c>
      <c r="BI282" s="161" t="str">
        <f t="shared" si="188"/>
        <v>N</v>
      </c>
      <c r="BJ282" s="161" t="str">
        <f t="shared" si="189"/>
        <v>N</v>
      </c>
      <c r="BK282" s="161" t="str">
        <f t="shared" si="190"/>
        <v>N</v>
      </c>
      <c r="BL282" s="161" t="str">
        <f t="shared" si="191"/>
        <v>N</v>
      </c>
      <c r="BM282" s="161" t="str">
        <f t="shared" si="192"/>
        <v>Y</v>
      </c>
      <c r="BN282" s="176" t="str">
        <f t="shared" si="193"/>
        <v>Y</v>
      </c>
      <c r="BO282" s="222" t="s">
        <v>2382</v>
      </c>
      <c r="BP282" s="174" t="s">
        <v>2257</v>
      </c>
      <c r="BQ282" s="219" t="s">
        <v>317</v>
      </c>
      <c r="BR282" s="173">
        <f t="shared" si="195"/>
        <v>36891</v>
      </c>
      <c r="BS282" s="171" t="str">
        <f t="shared" si="196"/>
        <v>N</v>
      </c>
    </row>
    <row r="283" spans="1:71" ht="15" customHeight="1" x14ac:dyDescent="0.25">
      <c r="A283" s="31">
        <v>18</v>
      </c>
      <c r="B283" s="57" t="s">
        <v>1435</v>
      </c>
      <c r="C283" s="57" t="s">
        <v>2383</v>
      </c>
      <c r="D283" s="57" t="s">
        <v>448</v>
      </c>
      <c r="E283" s="244" t="s">
        <v>1437</v>
      </c>
      <c r="F283" s="238" t="s">
        <v>2384</v>
      </c>
      <c r="G283" s="57" t="s">
        <v>315</v>
      </c>
      <c r="H283" s="57" t="s">
        <v>368</v>
      </c>
      <c r="I283" s="78">
        <v>39638</v>
      </c>
      <c r="J283" s="78">
        <v>40703</v>
      </c>
      <c r="K283" s="78">
        <v>40703</v>
      </c>
      <c r="L283" s="79" t="s">
        <v>2385</v>
      </c>
      <c r="M283" s="32" t="s">
        <v>2386</v>
      </c>
      <c r="N283" s="32">
        <v>2</v>
      </c>
      <c r="O283" s="69" t="s">
        <v>1305</v>
      </c>
      <c r="P283" s="32" t="s">
        <v>1315</v>
      </c>
      <c r="Q283" s="32" t="s">
        <v>2387</v>
      </c>
      <c r="R283" s="78">
        <v>35587</v>
      </c>
      <c r="S283" s="69" t="s">
        <v>570</v>
      </c>
      <c r="T283" s="31" t="s">
        <v>317</v>
      </c>
      <c r="U283" s="69" t="str">
        <f t="shared" si="197"/>
        <v>Y</v>
      </c>
      <c r="V283" s="57" t="s">
        <v>2331</v>
      </c>
      <c r="W283" s="57" t="s">
        <v>319</v>
      </c>
      <c r="X283" s="197" t="s">
        <v>312</v>
      </c>
      <c r="Y283" s="213">
        <v>0</v>
      </c>
      <c r="Z283" s="149"/>
      <c r="AA283" s="149"/>
      <c r="AB283" s="214"/>
      <c r="AC283" s="149"/>
      <c r="AD283" s="128"/>
      <c r="AE283" s="149">
        <v>9921.33</v>
      </c>
      <c r="AF283" s="149">
        <v>6844.93</v>
      </c>
      <c r="AG283" s="206">
        <v>2002</v>
      </c>
      <c r="AH283" s="149">
        <v>9328.6</v>
      </c>
      <c r="AI283" s="128">
        <f>AF283/AH283</f>
        <v>0.73375747700619598</v>
      </c>
      <c r="AJ283" s="149"/>
      <c r="AK283" s="149"/>
      <c r="AL283" s="214"/>
      <c r="AM283" s="149"/>
      <c r="AN283" s="128"/>
      <c r="AO283" s="149"/>
      <c r="AP283" s="149"/>
      <c r="AQ283" s="57"/>
      <c r="AR283" s="149"/>
      <c r="AS283" s="128"/>
      <c r="AT283" s="149"/>
      <c r="AU283" s="149"/>
      <c r="AV283" s="214"/>
      <c r="AW283" s="149"/>
      <c r="AX283" s="128"/>
      <c r="AY283" s="57" t="s">
        <v>2388</v>
      </c>
      <c r="AZ283" s="161" t="str">
        <f t="shared" si="179"/>
        <v>N</v>
      </c>
      <c r="BA283" s="161" t="str">
        <f t="shared" si="180"/>
        <v>N</v>
      </c>
      <c r="BB283" s="161" t="str">
        <f t="shared" si="181"/>
        <v>N</v>
      </c>
      <c r="BC283" s="161" t="str">
        <f t="shared" si="182"/>
        <v>Y</v>
      </c>
      <c r="BD283" s="161" t="str">
        <f t="shared" si="183"/>
        <v>N</v>
      </c>
      <c r="BE283" s="161" t="str">
        <f t="shared" si="184"/>
        <v>N</v>
      </c>
      <c r="BF283" s="161" t="str">
        <f t="shared" si="185"/>
        <v>N</v>
      </c>
      <c r="BG283" s="161" t="str">
        <f t="shared" si="186"/>
        <v>N</v>
      </c>
      <c r="BH283" s="161" t="str">
        <f t="shared" si="187"/>
        <v>N</v>
      </c>
      <c r="BI283" s="161" t="str">
        <f t="shared" si="188"/>
        <v>N</v>
      </c>
      <c r="BJ283" s="161" t="str">
        <f t="shared" si="189"/>
        <v>N</v>
      </c>
      <c r="BK283" s="161" t="str">
        <f t="shared" si="190"/>
        <v>N</v>
      </c>
      <c r="BL283" s="161" t="str">
        <f t="shared" si="191"/>
        <v>N</v>
      </c>
      <c r="BM283" s="161" t="str">
        <f t="shared" si="192"/>
        <v>Y</v>
      </c>
      <c r="BN283" s="176" t="str">
        <f t="shared" si="193"/>
        <v>N</v>
      </c>
      <c r="BO283" s="222" t="s">
        <v>1442</v>
      </c>
      <c r="BP283" s="174" t="s">
        <v>2293</v>
      </c>
      <c r="BQ283" s="219" t="s">
        <v>317</v>
      </c>
      <c r="BR283" s="173">
        <f t="shared" si="195"/>
        <v>36525</v>
      </c>
      <c r="BS283" s="171" t="str">
        <f t="shared" si="196"/>
        <v>N</v>
      </c>
    </row>
    <row r="284" spans="1:71" ht="15" customHeight="1" x14ac:dyDescent="0.25">
      <c r="A284" s="31">
        <v>17</v>
      </c>
      <c r="B284" s="57" t="s">
        <v>1559</v>
      </c>
      <c r="C284" s="57" t="s">
        <v>2389</v>
      </c>
      <c r="D284" s="57" t="s">
        <v>2390</v>
      </c>
      <c r="E284" s="244" t="s">
        <v>1561</v>
      </c>
      <c r="F284" s="238" t="s">
        <v>2391</v>
      </c>
      <c r="G284" s="57" t="s">
        <v>315</v>
      </c>
      <c r="H284" s="57" t="s">
        <v>602</v>
      </c>
      <c r="I284" s="78">
        <v>38945</v>
      </c>
      <c r="J284" s="78">
        <v>40688</v>
      </c>
      <c r="K284" s="78">
        <v>40688</v>
      </c>
      <c r="L284" s="239" t="s">
        <v>2392</v>
      </c>
      <c r="M284" s="32" t="s">
        <v>2393</v>
      </c>
      <c r="N284" s="32">
        <v>2</v>
      </c>
      <c r="O284" s="69" t="s">
        <v>1305</v>
      </c>
      <c r="P284" s="32" t="s">
        <v>1315</v>
      </c>
      <c r="Q284" s="32" t="s">
        <v>2394</v>
      </c>
      <c r="R284" s="78">
        <v>35901</v>
      </c>
      <c r="S284" s="32" t="s">
        <v>863</v>
      </c>
      <c r="T284" s="31" t="s">
        <v>317</v>
      </c>
      <c r="U284" s="69" t="str">
        <f t="shared" si="197"/>
        <v>N</v>
      </c>
      <c r="V284" s="57" t="s">
        <v>2331</v>
      </c>
      <c r="W284" s="57" t="s">
        <v>499</v>
      </c>
      <c r="X284" s="197" t="s">
        <v>320</v>
      </c>
      <c r="Y284" s="213">
        <v>50</v>
      </c>
      <c r="Z284" s="149"/>
      <c r="AA284" s="149"/>
      <c r="AB284" s="214"/>
      <c r="AC284" s="149"/>
      <c r="AD284" s="128"/>
      <c r="AE284" s="149">
        <f>17942.7+3475.76</f>
        <v>21418.46</v>
      </c>
      <c r="AF284" s="149">
        <v>17942.7</v>
      </c>
      <c r="AG284" s="206">
        <v>2004</v>
      </c>
      <c r="AH284" s="149">
        <v>118228.5</v>
      </c>
      <c r="AI284" s="128">
        <f>AF284/AH284</f>
        <v>0.15176289980842184</v>
      </c>
      <c r="AJ284" s="149">
        <f>6931.87+795.16</f>
        <v>7727.03</v>
      </c>
      <c r="AK284" s="149">
        <f>6931.87</f>
        <v>6931.87</v>
      </c>
      <c r="AL284" s="214">
        <v>2004</v>
      </c>
      <c r="AM284" s="149">
        <v>15337.26</v>
      </c>
      <c r="AN284" s="128">
        <f>AK284/AM284</f>
        <v>0.45196273649921825</v>
      </c>
      <c r="AO284" s="149"/>
      <c r="AP284" s="149"/>
      <c r="AQ284" s="57"/>
      <c r="AR284" s="149"/>
      <c r="AS284" s="128"/>
      <c r="AT284" s="149">
        <f>(5.44+3.85)*10000</f>
        <v>92900.000000000015</v>
      </c>
      <c r="AU284" s="149">
        <f>(5.44)*10000</f>
        <v>54400.000000000007</v>
      </c>
      <c r="AV284" s="214">
        <v>2004</v>
      </c>
      <c r="AW284" s="149">
        <f>1360407074.66/10000</f>
        <v>136040.70746600002</v>
      </c>
      <c r="AX284" s="128">
        <f>AU284/AW284</f>
        <v>0.39988030798498991</v>
      </c>
      <c r="AY284" s="57" t="s">
        <v>2395</v>
      </c>
      <c r="AZ284" s="161" t="str">
        <f t="shared" si="179"/>
        <v>N</v>
      </c>
      <c r="BA284" s="161" t="str">
        <f t="shared" si="180"/>
        <v>N</v>
      </c>
      <c r="BB284" s="161" t="str">
        <f t="shared" si="181"/>
        <v>N</v>
      </c>
      <c r="BC284" s="161" t="str">
        <f t="shared" si="182"/>
        <v>N</v>
      </c>
      <c r="BD284" s="161" t="str">
        <f t="shared" si="183"/>
        <v>N</v>
      </c>
      <c r="BE284" s="161" t="str">
        <f t="shared" si="184"/>
        <v>N</v>
      </c>
      <c r="BF284" s="161" t="str">
        <f t="shared" si="185"/>
        <v>N</v>
      </c>
      <c r="BG284" s="161" t="str">
        <f t="shared" si="186"/>
        <v>N</v>
      </c>
      <c r="BH284" s="161" t="str">
        <f t="shared" si="187"/>
        <v>N</v>
      </c>
      <c r="BI284" s="161" t="str">
        <f t="shared" si="188"/>
        <v>N</v>
      </c>
      <c r="BJ284" s="161" t="str">
        <f t="shared" si="189"/>
        <v>N</v>
      </c>
      <c r="BK284" s="161" t="str">
        <f t="shared" si="190"/>
        <v>N</v>
      </c>
      <c r="BL284" s="161" t="str">
        <f t="shared" si="191"/>
        <v>N</v>
      </c>
      <c r="BM284" s="161" t="str">
        <f t="shared" si="192"/>
        <v>N</v>
      </c>
      <c r="BN284" s="176" t="str">
        <f t="shared" si="193"/>
        <v>N</v>
      </c>
      <c r="BO284" s="222" t="s">
        <v>1566</v>
      </c>
      <c r="BP284" s="174" t="s">
        <v>2257</v>
      </c>
      <c r="BQ284" s="219" t="s">
        <v>317</v>
      </c>
      <c r="BR284" s="173">
        <f t="shared" si="195"/>
        <v>36891</v>
      </c>
      <c r="BS284" s="171" t="str">
        <f t="shared" si="196"/>
        <v>N</v>
      </c>
    </row>
    <row r="285" spans="1:71" ht="15" customHeight="1" x14ac:dyDescent="0.25">
      <c r="A285" s="31">
        <v>16</v>
      </c>
      <c r="B285" s="57" t="s">
        <v>2396</v>
      </c>
      <c r="C285" s="57" t="s">
        <v>2397</v>
      </c>
      <c r="D285" s="57" t="s">
        <v>426</v>
      </c>
      <c r="E285" s="57" t="s">
        <v>2094</v>
      </c>
      <c r="F285" s="238" t="s">
        <v>2398</v>
      </c>
      <c r="G285" s="57" t="s">
        <v>380</v>
      </c>
      <c r="H285" s="57" t="s">
        <v>602</v>
      </c>
      <c r="I285" s="78">
        <v>40002</v>
      </c>
      <c r="J285" s="78">
        <v>40679</v>
      </c>
      <c r="K285" s="78">
        <v>40784</v>
      </c>
      <c r="L285" s="239" t="s">
        <v>2399</v>
      </c>
      <c r="M285" s="32" t="s">
        <v>2226</v>
      </c>
      <c r="N285" s="32">
        <v>2.5</v>
      </c>
      <c r="O285" s="69" t="s">
        <v>1305</v>
      </c>
      <c r="P285" s="32" t="s">
        <v>2344</v>
      </c>
      <c r="Q285" s="32" t="s">
        <v>2400</v>
      </c>
      <c r="R285" s="78">
        <v>33226</v>
      </c>
      <c r="S285" s="32" t="s">
        <v>995</v>
      </c>
      <c r="T285" s="31" t="s">
        <v>317</v>
      </c>
      <c r="U285" s="69" t="str">
        <f t="shared" si="197"/>
        <v>Y</v>
      </c>
      <c r="V285" s="57" t="s">
        <v>2331</v>
      </c>
      <c r="W285" s="57" t="s">
        <v>1049</v>
      </c>
      <c r="X285" s="197" t="s">
        <v>320</v>
      </c>
      <c r="Y285" s="213">
        <v>40</v>
      </c>
      <c r="Z285" s="149">
        <f>(64398301.72+64759952.63)/10000</f>
        <v>12915.825434999999</v>
      </c>
      <c r="AA285" s="149">
        <f>64759952.63/10000</f>
        <v>6475.9952630000007</v>
      </c>
      <c r="AB285" s="214">
        <v>2008</v>
      </c>
      <c r="AC285" s="149">
        <v>7964.9</v>
      </c>
      <c r="AD285" s="128">
        <f>AA285/AC285</f>
        <v>0.81306673818880348</v>
      </c>
      <c r="AE285" s="149"/>
      <c r="AF285" s="149"/>
      <c r="AG285" s="206"/>
      <c r="AH285" s="149"/>
      <c r="AI285" s="128"/>
      <c r="AJ285" s="149"/>
      <c r="AK285" s="149"/>
      <c r="AL285" s="214"/>
      <c r="AM285" s="149"/>
      <c r="AN285" s="128"/>
      <c r="AO285" s="149"/>
      <c r="AP285" s="149"/>
      <c r="AQ285" s="57"/>
      <c r="AR285" s="149"/>
      <c r="AS285" s="128"/>
      <c r="AT285" s="149"/>
      <c r="AU285" s="149"/>
      <c r="AV285" s="214"/>
      <c r="AW285" s="149"/>
      <c r="AX285" s="128"/>
      <c r="AY285" s="57" t="s">
        <v>2401</v>
      </c>
      <c r="AZ285" s="161" t="str">
        <f t="shared" si="179"/>
        <v>N</v>
      </c>
      <c r="BA285" s="161" t="str">
        <f t="shared" si="180"/>
        <v>Y</v>
      </c>
      <c r="BB285" s="161" t="str">
        <f t="shared" si="181"/>
        <v>N</v>
      </c>
      <c r="BC285" s="161" t="str">
        <f t="shared" si="182"/>
        <v>N</v>
      </c>
      <c r="BD285" s="161" t="str">
        <f t="shared" si="183"/>
        <v>N</v>
      </c>
      <c r="BE285" s="161" t="str">
        <f t="shared" si="184"/>
        <v>N</v>
      </c>
      <c r="BF285" s="161" t="str">
        <f t="shared" si="185"/>
        <v>N</v>
      </c>
      <c r="BG285" s="161" t="str">
        <f t="shared" si="186"/>
        <v>N</v>
      </c>
      <c r="BH285" s="161" t="str">
        <f t="shared" si="187"/>
        <v>N</v>
      </c>
      <c r="BI285" s="161" t="str">
        <f t="shared" si="188"/>
        <v>N</v>
      </c>
      <c r="BJ285" s="161" t="str">
        <f t="shared" si="189"/>
        <v>N</v>
      </c>
      <c r="BK285" s="161" t="str">
        <f t="shared" si="190"/>
        <v>N</v>
      </c>
      <c r="BL285" s="161" t="str">
        <f t="shared" si="191"/>
        <v>N</v>
      </c>
      <c r="BM285" s="161" t="str">
        <f t="shared" si="192"/>
        <v>Y</v>
      </c>
      <c r="BN285" s="176" t="str">
        <f t="shared" si="193"/>
        <v>N</v>
      </c>
      <c r="BO285" s="222" t="s">
        <v>2402</v>
      </c>
      <c r="BP285" s="174" t="s">
        <v>2293</v>
      </c>
      <c r="BQ285" s="219" t="s">
        <v>317</v>
      </c>
      <c r="BR285" s="173">
        <f t="shared" si="195"/>
        <v>33969</v>
      </c>
      <c r="BS285" s="171" t="str">
        <f t="shared" si="196"/>
        <v>N</v>
      </c>
    </row>
    <row r="286" spans="1:71" ht="15" customHeight="1" x14ac:dyDescent="0.25">
      <c r="A286" s="31">
        <v>15</v>
      </c>
      <c r="B286" s="57" t="s">
        <v>2403</v>
      </c>
      <c r="C286" s="57" t="s">
        <v>2404</v>
      </c>
      <c r="D286" s="57" t="s">
        <v>439</v>
      </c>
      <c r="E286" s="57" t="s">
        <v>440</v>
      </c>
      <c r="F286" s="238" t="s">
        <v>2405</v>
      </c>
      <c r="G286" s="57" t="s">
        <v>354</v>
      </c>
      <c r="H286" s="57" t="s">
        <v>327</v>
      </c>
      <c r="I286" s="78">
        <v>40065</v>
      </c>
      <c r="J286" s="78">
        <v>40662</v>
      </c>
      <c r="K286" s="78">
        <v>40662</v>
      </c>
      <c r="L286" s="239" t="s">
        <v>2406</v>
      </c>
      <c r="M286" s="32">
        <v>2007</v>
      </c>
      <c r="N286" s="32">
        <v>1</v>
      </c>
      <c r="O286" s="69" t="s">
        <v>1258</v>
      </c>
      <c r="P286" s="32" t="s">
        <v>1315</v>
      </c>
      <c r="Q286" s="32" t="s">
        <v>2407</v>
      </c>
      <c r="R286" s="78">
        <v>35912</v>
      </c>
      <c r="S286" s="32" t="s">
        <v>1041</v>
      </c>
      <c r="T286" s="31" t="s">
        <v>317</v>
      </c>
      <c r="U286" s="69" t="str">
        <f t="shared" si="197"/>
        <v>N</v>
      </c>
      <c r="V286" s="57" t="s">
        <v>2408</v>
      </c>
      <c r="W286" s="57" t="s">
        <v>319</v>
      </c>
      <c r="X286" s="197" t="s">
        <v>320</v>
      </c>
      <c r="Y286" s="213">
        <v>60</v>
      </c>
      <c r="Z286" s="149"/>
      <c r="AA286" s="149"/>
      <c r="AB286" s="214"/>
      <c r="AC286" s="149"/>
      <c r="AD286" s="128"/>
      <c r="AE286" s="149">
        <v>100000</v>
      </c>
      <c r="AF286" s="149">
        <v>100000</v>
      </c>
      <c r="AG286" s="206">
        <v>2007</v>
      </c>
      <c r="AH286" s="149">
        <v>825066.15</v>
      </c>
      <c r="AI286" s="128">
        <f>AF286/AH286</f>
        <v>0.12120240298308202</v>
      </c>
      <c r="AJ286" s="149"/>
      <c r="AK286" s="149"/>
      <c r="AL286" s="214"/>
      <c r="AM286" s="149">
        <v>217834.6</v>
      </c>
      <c r="AN286" s="128"/>
      <c r="AO286" s="149"/>
      <c r="AP286" s="149"/>
      <c r="AQ286" s="57"/>
      <c r="AR286" s="149"/>
      <c r="AS286" s="128"/>
      <c r="AT286" s="149"/>
      <c r="AU286" s="149"/>
      <c r="AV286" s="214"/>
      <c r="AW286" s="149">
        <v>962623.7</v>
      </c>
      <c r="AX286" s="128"/>
      <c r="AY286" s="57" t="s">
        <v>2409</v>
      </c>
      <c r="AZ286" s="161" t="str">
        <f t="shared" si="179"/>
        <v>N</v>
      </c>
      <c r="BA286" s="161" t="str">
        <f t="shared" si="180"/>
        <v>N</v>
      </c>
      <c r="BB286" s="161" t="str">
        <f t="shared" si="181"/>
        <v>N</v>
      </c>
      <c r="BC286" s="161" t="str">
        <f t="shared" si="182"/>
        <v>N</v>
      </c>
      <c r="BD286" s="161" t="str">
        <f t="shared" si="183"/>
        <v>N</v>
      </c>
      <c r="BE286" s="161" t="str">
        <f t="shared" si="184"/>
        <v>N</v>
      </c>
      <c r="BF286" s="161" t="str">
        <f t="shared" si="185"/>
        <v>N</v>
      </c>
      <c r="BG286" s="161" t="str">
        <f t="shared" si="186"/>
        <v>N</v>
      </c>
      <c r="BH286" s="161" t="str">
        <f t="shared" si="187"/>
        <v>N</v>
      </c>
      <c r="BI286" s="161" t="str">
        <f t="shared" si="188"/>
        <v>N</v>
      </c>
      <c r="BJ286" s="161" t="str">
        <f t="shared" si="189"/>
        <v>N</v>
      </c>
      <c r="BK286" s="161" t="str">
        <f t="shared" si="190"/>
        <v>N</v>
      </c>
      <c r="BL286" s="161" t="str">
        <f t="shared" si="191"/>
        <v>N</v>
      </c>
      <c r="BM286" s="161" t="str">
        <f t="shared" si="192"/>
        <v>N</v>
      </c>
      <c r="BN286" s="176" t="str">
        <f t="shared" si="193"/>
        <v>N</v>
      </c>
      <c r="BO286" s="222" t="s">
        <v>1057</v>
      </c>
      <c r="BP286" s="174" t="s">
        <v>2257</v>
      </c>
      <c r="BQ286" s="219" t="s">
        <v>317</v>
      </c>
      <c r="BR286" s="173">
        <f t="shared" si="195"/>
        <v>36891</v>
      </c>
      <c r="BS286" s="171" t="str">
        <f t="shared" si="196"/>
        <v>N</v>
      </c>
    </row>
    <row r="287" spans="1:71" ht="15" customHeight="1" x14ac:dyDescent="0.25">
      <c r="A287" s="31">
        <v>14</v>
      </c>
      <c r="B287" s="57" t="s">
        <v>982</v>
      </c>
      <c r="C287" s="57" t="s">
        <v>2055</v>
      </c>
      <c r="D287" s="32" t="s">
        <v>313</v>
      </c>
      <c r="E287" s="57" t="s">
        <v>1185</v>
      </c>
      <c r="F287" s="57" t="s">
        <v>984</v>
      </c>
      <c r="G287" s="57" t="s">
        <v>380</v>
      </c>
      <c r="H287" s="192" t="s">
        <v>2298</v>
      </c>
      <c r="I287" s="78">
        <v>39932</v>
      </c>
      <c r="J287" s="85">
        <v>40549</v>
      </c>
      <c r="K287" s="85">
        <v>40549</v>
      </c>
      <c r="L287" s="239" t="s">
        <v>2410</v>
      </c>
      <c r="M287" s="196" t="s">
        <v>2226</v>
      </c>
      <c r="N287" s="32">
        <v>2.5</v>
      </c>
      <c r="O287" s="196" t="s">
        <v>1305</v>
      </c>
      <c r="P287" s="246" t="s">
        <v>2411</v>
      </c>
      <c r="Q287" s="209" t="s">
        <v>371</v>
      </c>
      <c r="R287" s="85">
        <v>34204</v>
      </c>
      <c r="S287" s="246" t="s">
        <v>421</v>
      </c>
      <c r="T287" s="247" t="s">
        <v>317</v>
      </c>
      <c r="U287" s="69" t="str">
        <f t="shared" si="197"/>
        <v>N</v>
      </c>
      <c r="V287" s="102" t="s">
        <v>361</v>
      </c>
      <c r="W287" s="206" t="s">
        <v>361</v>
      </c>
      <c r="X287" s="197" t="s">
        <v>334</v>
      </c>
      <c r="Y287" s="213">
        <v>40</v>
      </c>
      <c r="Z287" s="149"/>
      <c r="AA287" s="149"/>
      <c r="AB287" s="214"/>
      <c r="AC287" s="149"/>
      <c r="AD287" s="128"/>
      <c r="AE287" s="149"/>
      <c r="AF287" s="149"/>
      <c r="AG287" s="206"/>
      <c r="AH287" s="149"/>
      <c r="AI287" s="128"/>
      <c r="AJ287" s="149"/>
      <c r="AK287" s="149"/>
      <c r="AL287" s="214"/>
      <c r="AM287" s="149"/>
      <c r="AN287" s="128"/>
      <c r="AO287" s="149"/>
      <c r="AP287" s="149"/>
      <c r="AQ287" s="57"/>
      <c r="AR287" s="149"/>
      <c r="AS287" s="128"/>
      <c r="AT287" s="149">
        <f>1979.5+2182+229+220</f>
        <v>4610.5</v>
      </c>
      <c r="AU287" s="149">
        <f>1719.5+2182</f>
        <v>3901.5</v>
      </c>
      <c r="AV287" s="214">
        <v>2009</v>
      </c>
      <c r="AW287" s="149">
        <v>17259.47</v>
      </c>
      <c r="AX287" s="128">
        <f>AU287/AW287</f>
        <v>0.22604981497114338</v>
      </c>
      <c r="AY287" s="69" t="s">
        <v>2412</v>
      </c>
      <c r="AZ287" s="161" t="str">
        <f t="shared" si="179"/>
        <v>N</v>
      </c>
      <c r="BA287" s="161" t="str">
        <f t="shared" si="180"/>
        <v>N</v>
      </c>
      <c r="BB287" s="161" t="str">
        <f t="shared" si="181"/>
        <v>N</v>
      </c>
      <c r="BC287" s="161" t="str">
        <f t="shared" si="182"/>
        <v>N</v>
      </c>
      <c r="BD287" s="161" t="str">
        <f t="shared" si="183"/>
        <v>N</v>
      </c>
      <c r="BE287" s="161" t="str">
        <f t="shared" si="184"/>
        <v>N</v>
      </c>
      <c r="BF287" s="161" t="str">
        <f t="shared" si="185"/>
        <v>N</v>
      </c>
      <c r="BG287" s="161" t="str">
        <f t="shared" si="186"/>
        <v>N</v>
      </c>
      <c r="BH287" s="161" t="str">
        <f t="shared" si="187"/>
        <v>N</v>
      </c>
      <c r="BI287" s="161" t="str">
        <f t="shared" si="188"/>
        <v>N</v>
      </c>
      <c r="BJ287" s="161" t="str">
        <f t="shared" si="189"/>
        <v>N</v>
      </c>
      <c r="BK287" s="161" t="str">
        <f t="shared" si="190"/>
        <v>N</v>
      </c>
      <c r="BL287" s="161" t="str">
        <f t="shared" si="191"/>
        <v>N</v>
      </c>
      <c r="BM287" s="161" t="str">
        <f t="shared" si="192"/>
        <v>N</v>
      </c>
      <c r="BN287" s="176" t="str">
        <f t="shared" si="193"/>
        <v>N</v>
      </c>
      <c r="BO287" s="222" t="s">
        <v>990</v>
      </c>
      <c r="BP287" s="174" t="s">
        <v>2293</v>
      </c>
      <c r="BQ287" s="219" t="s">
        <v>317</v>
      </c>
      <c r="BR287" s="173">
        <f t="shared" si="195"/>
        <v>35064</v>
      </c>
      <c r="BS287" s="171" t="str">
        <f t="shared" si="196"/>
        <v>N</v>
      </c>
    </row>
    <row r="288" spans="1:71" ht="15" customHeight="1" x14ac:dyDescent="0.25">
      <c r="A288" s="31">
        <v>13</v>
      </c>
      <c r="B288" s="57" t="s">
        <v>2413</v>
      </c>
      <c r="C288" s="55" t="s">
        <v>2414</v>
      </c>
      <c r="D288" s="57" t="s">
        <v>439</v>
      </c>
      <c r="E288" s="57" t="s">
        <v>2415</v>
      </c>
      <c r="F288" s="57" t="s">
        <v>2416</v>
      </c>
      <c r="G288" s="57" t="s">
        <v>315</v>
      </c>
      <c r="H288" s="57" t="s">
        <v>327</v>
      </c>
      <c r="I288" s="78">
        <v>39946</v>
      </c>
      <c r="J288" s="78">
        <v>40515</v>
      </c>
      <c r="K288" s="78">
        <v>40515</v>
      </c>
      <c r="L288" s="239" t="s">
        <v>2417</v>
      </c>
      <c r="M288" s="69">
        <v>2008</v>
      </c>
      <c r="N288" s="69">
        <v>1</v>
      </c>
      <c r="O288" s="69" t="s">
        <v>1258</v>
      </c>
      <c r="P288" s="69" t="s">
        <v>1315</v>
      </c>
      <c r="Q288" s="32" t="s">
        <v>2418</v>
      </c>
      <c r="R288" s="85">
        <v>34250</v>
      </c>
      <c r="S288" s="69" t="s">
        <v>1472</v>
      </c>
      <c r="T288" s="161" t="s">
        <v>317</v>
      </c>
      <c r="U288" s="69" t="str">
        <f t="shared" si="197"/>
        <v>N</v>
      </c>
      <c r="V288" s="57" t="s">
        <v>318</v>
      </c>
      <c r="W288" s="197" t="s">
        <v>1771</v>
      </c>
      <c r="X288" s="197" t="s">
        <v>320</v>
      </c>
      <c r="Y288" s="213">
        <v>30</v>
      </c>
      <c r="Z288" s="149">
        <v>6219</v>
      </c>
      <c r="AA288" s="149">
        <v>6219</v>
      </c>
      <c r="AB288" s="214">
        <v>2008</v>
      </c>
      <c r="AC288" s="149">
        <v>67947.240000000005</v>
      </c>
      <c r="AD288" s="128">
        <f>AA288/AC288</f>
        <v>9.1526896456721407E-2</v>
      </c>
      <c r="AE288" s="149"/>
      <c r="AF288" s="149"/>
      <c r="AG288" s="206"/>
      <c r="AH288" s="149"/>
      <c r="AI288" s="128"/>
      <c r="AJ288" s="149"/>
      <c r="AK288" s="149"/>
      <c r="AL288" s="214"/>
      <c r="AM288" s="149"/>
      <c r="AN288" s="128"/>
      <c r="AO288" s="149"/>
      <c r="AP288" s="149"/>
      <c r="AQ288" s="57"/>
      <c r="AR288" s="149"/>
      <c r="AS288" s="128"/>
      <c r="AT288" s="149"/>
      <c r="AU288" s="149"/>
      <c r="AV288" s="214"/>
      <c r="AW288" s="149"/>
      <c r="AX288" s="128"/>
      <c r="AY288" s="197" t="s">
        <v>2419</v>
      </c>
      <c r="AZ288" s="161" t="str">
        <f t="shared" si="179"/>
        <v>N</v>
      </c>
      <c r="BA288" s="161" t="str">
        <f t="shared" si="180"/>
        <v>N</v>
      </c>
      <c r="BB288" s="161" t="str">
        <f t="shared" si="181"/>
        <v>N</v>
      </c>
      <c r="BC288" s="161" t="str">
        <f t="shared" si="182"/>
        <v>N</v>
      </c>
      <c r="BD288" s="161" t="str">
        <f t="shared" si="183"/>
        <v>N</v>
      </c>
      <c r="BE288" s="161" t="str">
        <f t="shared" si="184"/>
        <v>N</v>
      </c>
      <c r="BF288" s="161" t="str">
        <f t="shared" si="185"/>
        <v>N</v>
      </c>
      <c r="BG288" s="161" t="str">
        <f t="shared" si="186"/>
        <v>N</v>
      </c>
      <c r="BH288" s="161" t="str">
        <f t="shared" si="187"/>
        <v>N</v>
      </c>
      <c r="BI288" s="161" t="str">
        <f t="shared" si="188"/>
        <v>N</v>
      </c>
      <c r="BJ288" s="161" t="str">
        <f t="shared" si="189"/>
        <v>N</v>
      </c>
      <c r="BK288" s="161" t="str">
        <f t="shared" si="190"/>
        <v>N</v>
      </c>
      <c r="BL288" s="161" t="str">
        <f t="shared" si="191"/>
        <v>N</v>
      </c>
      <c r="BM288" s="161" t="str">
        <f t="shared" si="192"/>
        <v>N</v>
      </c>
      <c r="BN288" s="176" t="str">
        <f t="shared" si="193"/>
        <v>N</v>
      </c>
      <c r="BO288" s="222" t="s">
        <v>1189</v>
      </c>
      <c r="BP288" s="174" t="s">
        <v>2293</v>
      </c>
      <c r="BQ288" s="219" t="s">
        <v>317</v>
      </c>
      <c r="BR288" s="173">
        <f t="shared" si="195"/>
        <v>35064</v>
      </c>
      <c r="BS288" s="171" t="str">
        <f t="shared" si="196"/>
        <v>N</v>
      </c>
    </row>
    <row r="289" spans="1:71" ht="15" customHeight="1" x14ac:dyDescent="0.25">
      <c r="A289" s="31">
        <v>12</v>
      </c>
      <c r="B289" s="57" t="s">
        <v>2420</v>
      </c>
      <c r="C289" s="57" t="s">
        <v>2421</v>
      </c>
      <c r="D289" s="57" t="s">
        <v>2390</v>
      </c>
      <c r="E289" s="57" t="s">
        <v>2422</v>
      </c>
      <c r="F289" s="57" t="s">
        <v>2423</v>
      </c>
      <c r="G289" s="57" t="s">
        <v>354</v>
      </c>
      <c r="H289" s="57" t="s">
        <v>368</v>
      </c>
      <c r="I289" s="78">
        <v>39127</v>
      </c>
      <c r="J289" s="78">
        <v>40324</v>
      </c>
      <c r="K289" s="78">
        <v>40324</v>
      </c>
      <c r="L289" s="79" t="s">
        <v>2424</v>
      </c>
      <c r="M289" s="69" t="s">
        <v>2425</v>
      </c>
      <c r="N289" s="69">
        <v>3</v>
      </c>
      <c r="O289" s="69" t="s">
        <v>1314</v>
      </c>
      <c r="P289" s="69" t="s">
        <v>1315</v>
      </c>
      <c r="Q289" s="32" t="s">
        <v>2426</v>
      </c>
      <c r="R289" s="85">
        <v>38016</v>
      </c>
      <c r="S289" s="69" t="s">
        <v>995</v>
      </c>
      <c r="T289" s="161" t="s">
        <v>345</v>
      </c>
      <c r="U289" s="69" t="str">
        <f t="shared" si="197"/>
        <v>Y</v>
      </c>
      <c r="V289" s="57" t="s">
        <v>1022</v>
      </c>
      <c r="W289" s="197" t="s">
        <v>1993</v>
      </c>
      <c r="X289" s="197" t="s">
        <v>320</v>
      </c>
      <c r="Y289" s="213">
        <v>60</v>
      </c>
      <c r="Z289" s="149"/>
      <c r="AA289" s="149"/>
      <c r="AB289" s="214"/>
      <c r="AC289" s="149"/>
      <c r="AD289" s="128"/>
      <c r="AE289" s="149">
        <v>10697.8</v>
      </c>
      <c r="AF289" s="149">
        <v>10697.8</v>
      </c>
      <c r="AG289" s="206">
        <v>2003</v>
      </c>
      <c r="AH289" s="149">
        <v>58590.61</v>
      </c>
      <c r="AI289" s="128">
        <f>AF289/AH289</f>
        <v>0.18258557130570921</v>
      </c>
      <c r="AJ289" s="149">
        <f>10697.8-5233.1+16190.89+2400</f>
        <v>24055.589999999997</v>
      </c>
      <c r="AK289" s="149">
        <f>6971.35+2400</f>
        <v>9371.35</v>
      </c>
      <c r="AL289" s="214">
        <v>2004</v>
      </c>
      <c r="AM289" s="149">
        <v>5172.1899999999996</v>
      </c>
      <c r="AN289" s="128">
        <f>AK289/AM289</f>
        <v>1.8118727270266561</v>
      </c>
      <c r="AO289" s="149"/>
      <c r="AP289" s="149"/>
      <c r="AQ289" s="57"/>
      <c r="AR289" s="149"/>
      <c r="AS289" s="128"/>
      <c r="AT289" s="149"/>
      <c r="AU289" s="149"/>
      <c r="AV289" s="214"/>
      <c r="AW289" s="149"/>
      <c r="AX289" s="128"/>
      <c r="AY289" s="197" t="s">
        <v>2427</v>
      </c>
      <c r="AZ289" s="161" t="str">
        <f t="shared" si="179"/>
        <v>N</v>
      </c>
      <c r="BA289" s="161" t="str">
        <f t="shared" si="180"/>
        <v>N</v>
      </c>
      <c r="BB289" s="161" t="str">
        <f t="shared" si="181"/>
        <v>N</v>
      </c>
      <c r="BC289" s="161" t="str">
        <f t="shared" si="182"/>
        <v>N</v>
      </c>
      <c r="BD289" s="161" t="str">
        <f t="shared" si="183"/>
        <v>N</v>
      </c>
      <c r="BE289" s="161" t="str">
        <f t="shared" si="184"/>
        <v>Y</v>
      </c>
      <c r="BF289" s="161" t="str">
        <f t="shared" si="185"/>
        <v>Y</v>
      </c>
      <c r="BG289" s="161" t="str">
        <f t="shared" si="186"/>
        <v>N</v>
      </c>
      <c r="BH289" s="161" t="str">
        <f t="shared" si="187"/>
        <v>N</v>
      </c>
      <c r="BI289" s="161" t="str">
        <f t="shared" si="188"/>
        <v>N</v>
      </c>
      <c r="BJ289" s="161" t="str">
        <f t="shared" si="189"/>
        <v>N</v>
      </c>
      <c r="BK289" s="161" t="str">
        <f t="shared" si="190"/>
        <v>N</v>
      </c>
      <c r="BL289" s="161" t="str">
        <f t="shared" si="191"/>
        <v>N</v>
      </c>
      <c r="BM289" s="161" t="str">
        <f t="shared" si="192"/>
        <v>Y</v>
      </c>
      <c r="BN289" s="176" t="str">
        <f t="shared" si="193"/>
        <v>Y</v>
      </c>
      <c r="BO289" s="222" t="s">
        <v>2428</v>
      </c>
      <c r="BP289" s="174" t="s">
        <v>2293</v>
      </c>
      <c r="BQ289" s="219" t="s">
        <v>317</v>
      </c>
      <c r="BR289" s="173">
        <f t="shared" si="195"/>
        <v>39082</v>
      </c>
      <c r="BS289" s="171" t="str">
        <f t="shared" si="196"/>
        <v>Y</v>
      </c>
    </row>
    <row r="290" spans="1:71" ht="15" customHeight="1" x14ac:dyDescent="0.25">
      <c r="A290" s="31">
        <v>11</v>
      </c>
      <c r="B290" s="57" t="s">
        <v>2429</v>
      </c>
      <c r="C290" s="57" t="s">
        <v>2430</v>
      </c>
      <c r="D290" s="57" t="s">
        <v>1553</v>
      </c>
      <c r="E290" s="57" t="s">
        <v>2239</v>
      </c>
      <c r="F290" s="57" t="s">
        <v>2431</v>
      </c>
      <c r="G290" s="57" t="s">
        <v>354</v>
      </c>
      <c r="H290" s="57" t="s">
        <v>602</v>
      </c>
      <c r="I290" s="78">
        <v>39024</v>
      </c>
      <c r="J290" s="78">
        <v>40281</v>
      </c>
      <c r="K290" s="78">
        <v>40281</v>
      </c>
      <c r="L290" s="239" t="s">
        <v>2432</v>
      </c>
      <c r="M290" s="69" t="s">
        <v>2433</v>
      </c>
      <c r="N290" s="69">
        <v>7</v>
      </c>
      <c r="O290" s="69" t="s">
        <v>1391</v>
      </c>
      <c r="P290" s="69" t="s">
        <v>2434</v>
      </c>
      <c r="Q290" s="32" t="s">
        <v>2435</v>
      </c>
      <c r="R290" s="85">
        <v>35374</v>
      </c>
      <c r="S290" s="69" t="s">
        <v>421</v>
      </c>
      <c r="T290" s="161" t="s">
        <v>317</v>
      </c>
      <c r="U290" s="69" t="str">
        <f t="shared" si="197"/>
        <v>Y</v>
      </c>
      <c r="V290" s="57" t="s">
        <v>607</v>
      </c>
      <c r="W290" s="197" t="s">
        <v>1593</v>
      </c>
      <c r="X290" s="197" t="s">
        <v>334</v>
      </c>
      <c r="Y290" s="213">
        <v>60</v>
      </c>
      <c r="Z290" s="149">
        <v>235230</v>
      </c>
      <c r="AA290" s="149">
        <v>76380</v>
      </c>
      <c r="AB290" s="214">
        <v>2004</v>
      </c>
      <c r="AC290" s="149">
        <v>40419.94</v>
      </c>
      <c r="AD290" s="128">
        <f>AA290/AC290</f>
        <v>1.889661389898154</v>
      </c>
      <c r="AE290" s="149"/>
      <c r="AF290" s="149"/>
      <c r="AG290" s="206"/>
      <c r="AH290" s="149"/>
      <c r="AI290" s="128"/>
      <c r="AJ290" s="149"/>
      <c r="AK290" s="149"/>
      <c r="AL290" s="214"/>
      <c r="AM290" s="149"/>
      <c r="AN290" s="128"/>
      <c r="AO290" s="149"/>
      <c r="AP290" s="149"/>
      <c r="AQ290" s="57"/>
      <c r="AR290" s="149"/>
      <c r="AS290" s="128"/>
      <c r="AT290" s="149">
        <v>165784.15</v>
      </c>
      <c r="AU290" s="149">
        <v>73100</v>
      </c>
      <c r="AV290" s="214">
        <v>2003</v>
      </c>
      <c r="AW290" s="149">
        <v>40150.379999999997</v>
      </c>
      <c r="AX290" s="128">
        <f>AU290/AW290</f>
        <v>1.8206552466004058</v>
      </c>
      <c r="AY290" s="197" t="s">
        <v>2436</v>
      </c>
      <c r="AZ290" s="161" t="str">
        <f t="shared" ref="AZ290:AZ300" si="198">IFERROR(IF(Z290&gt;100000,"Y","N"),"N")</f>
        <v>Y</v>
      </c>
      <c r="BA290" s="161" t="str">
        <f t="shared" ref="BA290:BA300" si="199">IFERROR(IF(AD290&gt;0.5,"Y","N"),"N")</f>
        <v>Y</v>
      </c>
      <c r="BB290" s="161" t="str">
        <f t="shared" ref="BB290:BB300" si="200">IFERROR(IF(AE290&gt;100000,"Y","N"),"N")</f>
        <v>N</v>
      </c>
      <c r="BC290" s="161" t="str">
        <f t="shared" ref="BC290:BC300" si="201">IFERROR(IF(AI290&gt;0.5,"Y","N"),"N")</f>
        <v>N</v>
      </c>
      <c r="BD290" s="161" t="str">
        <f t="shared" ref="BD290:BD300" si="202">IFERROR(IF(AJ290&gt;100000,"Y","N"),"N")</f>
        <v>N</v>
      </c>
      <c r="BE290" s="161" t="str">
        <f t="shared" ref="BE290:BE300" si="203">IFERROR(IF(AN290&gt;0.5,"Y","N"),"N")</f>
        <v>N</v>
      </c>
      <c r="BF290" s="161" t="str">
        <f t="shared" ref="BF290:BF300" si="204">IFERROR(IF(AND(AM290-AK290&lt;0,AM290&gt;0),"Y","N"),"N")</f>
        <v>N</v>
      </c>
      <c r="BG290" s="161" t="str">
        <f t="shared" ref="BG290:BG300" si="205">IFERROR(IF(AO290&gt;100000,"Y","N"),"N")</f>
        <v>N</v>
      </c>
      <c r="BH290" s="161" t="str">
        <f t="shared" ref="BH290:BH300" si="206">IFERROR(IF(AS290&gt;0.5,"Y","N"),"N")</f>
        <v>N</v>
      </c>
      <c r="BI290" s="161" t="str">
        <f t="shared" ref="BI290:BI300" si="207">IFERROR(IF(AND(AR290-AP290&lt;0,AR290&gt;0),"Y","N"),"N")</f>
        <v>N</v>
      </c>
      <c r="BJ290" s="161" t="str">
        <f t="shared" ref="BJ290:BJ300" si="208">IFERROR(IF(AT290&gt;100000,"Y","N"),"N")</f>
        <v>Y</v>
      </c>
      <c r="BK290" s="161" t="str">
        <f t="shared" ref="BK290:BK300" si="209">IFERROR(IF(AX290&gt;0.5,"Y","N"),"N")</f>
        <v>Y</v>
      </c>
      <c r="BL290" s="161" t="str">
        <f t="shared" ref="BL290:BL300" si="210">IF(OR(AZ290="Y",BB290="Y",BD290="Y",BG290="Y",BJ290="Y"),"Y","N")</f>
        <v>Y</v>
      </c>
      <c r="BM290" s="161" t="str">
        <f t="shared" ref="BM290:BM300" si="211">IF(OR(BA290="Y",BC290="Y",BE290="Y",BH290="Y",BK290="Y"),"Y","N")</f>
        <v>Y</v>
      </c>
      <c r="BN290" s="176" t="str">
        <f t="shared" ref="BN290:BN300" si="212">IF(OR(BF290="Y",BI290="Y"),"Y","N")</f>
        <v>N</v>
      </c>
      <c r="BO290" s="222" t="s">
        <v>363</v>
      </c>
      <c r="BP290" s="174" t="s">
        <v>2293</v>
      </c>
      <c r="BQ290" s="219" t="s">
        <v>317</v>
      </c>
      <c r="BR290" s="173">
        <f t="shared" ref="BR290:BR300" si="213">IF(OR(BP290="上交所主板",BP290="深交所主板"),DATE(YEAR(R290)+2,12,31),IF(OR(BP290="上交所科创板",BP290="深交所创业板",,BP290="北交所"),DATE(YEAR(R290)+3,12,31),""))</f>
        <v>36160</v>
      </c>
      <c r="BS290" s="171" t="str">
        <f t="shared" ref="BS290:BS300" si="214">IF(BQ290="是","N",IF(OR(R290="-",LEFT(R290)="A"),"Y",IF(OR(LEFT(M290,4)-YEAR(BR290)&gt;0,RIGHT(M290,4)-(YEAR(R290)-3)&lt;0),"N","Y")))</f>
        <v>N</v>
      </c>
    </row>
    <row r="291" spans="1:71" ht="15" customHeight="1" x14ac:dyDescent="0.25">
      <c r="A291" s="31">
        <v>10</v>
      </c>
      <c r="B291" s="57" t="s">
        <v>2437</v>
      </c>
      <c r="C291" s="57" t="s">
        <v>2438</v>
      </c>
      <c r="D291" s="57" t="s">
        <v>574</v>
      </c>
      <c r="E291" s="57" t="s">
        <v>575</v>
      </c>
      <c r="F291" s="57" t="s">
        <v>2439</v>
      </c>
      <c r="G291" s="57" t="s">
        <v>354</v>
      </c>
      <c r="H291" s="57" t="s">
        <v>2440</v>
      </c>
      <c r="I291" s="78">
        <v>38700</v>
      </c>
      <c r="J291" s="78">
        <v>40274</v>
      </c>
      <c r="K291" s="78">
        <v>40274</v>
      </c>
      <c r="L291" s="239" t="s">
        <v>2441</v>
      </c>
      <c r="M291" s="69" t="s">
        <v>2393</v>
      </c>
      <c r="N291" s="69">
        <v>2</v>
      </c>
      <c r="O291" s="69" t="s">
        <v>1305</v>
      </c>
      <c r="P291" s="69" t="s">
        <v>2442</v>
      </c>
      <c r="Q291" s="32" t="s">
        <v>2443</v>
      </c>
      <c r="R291" s="85">
        <v>33690</v>
      </c>
      <c r="S291" s="69" t="s">
        <v>660</v>
      </c>
      <c r="T291" s="161" t="s">
        <v>317</v>
      </c>
      <c r="U291" s="69" t="str">
        <f t="shared" si="197"/>
        <v>Y</v>
      </c>
      <c r="V291" s="57" t="s">
        <v>978</v>
      </c>
      <c r="W291" s="197" t="s">
        <v>2444</v>
      </c>
      <c r="X291" s="197" t="s">
        <v>334</v>
      </c>
      <c r="Y291" s="213">
        <v>40</v>
      </c>
      <c r="Z291" s="149">
        <f>19500+25000</f>
        <v>44500</v>
      </c>
      <c r="AA291" s="149">
        <f>19500+25000</f>
        <v>44500</v>
      </c>
      <c r="AB291" s="214">
        <v>2004</v>
      </c>
      <c r="AC291" s="149">
        <v>68938.960000000006</v>
      </c>
      <c r="AD291" s="128">
        <f>AA291/AC291</f>
        <v>0.64549856858879207</v>
      </c>
      <c r="AE291" s="149"/>
      <c r="AF291" s="149"/>
      <c r="AG291" s="206"/>
      <c r="AH291" s="149"/>
      <c r="AI291" s="128"/>
      <c r="AJ291" s="149"/>
      <c r="AK291" s="149"/>
      <c r="AL291" s="214"/>
      <c r="AM291" s="149"/>
      <c r="AN291" s="128"/>
      <c r="AO291" s="149"/>
      <c r="AP291" s="149"/>
      <c r="AQ291" s="57"/>
      <c r="AR291" s="149"/>
      <c r="AS291" s="128"/>
      <c r="AT291" s="149">
        <f>15442+15000+5600+19500+25000-5000</f>
        <v>75542</v>
      </c>
      <c r="AU291" s="149">
        <f>15442+19500+25000-5000</f>
        <v>54942</v>
      </c>
      <c r="AV291" s="214">
        <v>2004</v>
      </c>
      <c r="AW291" s="149">
        <v>68938.960000000006</v>
      </c>
      <c r="AX291" s="128">
        <f>AU291/AW291</f>
        <v>0.79696589562708797</v>
      </c>
      <c r="AY291" s="197" t="s">
        <v>2445</v>
      </c>
      <c r="AZ291" s="161" t="str">
        <f t="shared" si="198"/>
        <v>N</v>
      </c>
      <c r="BA291" s="161" t="str">
        <f t="shared" si="199"/>
        <v>Y</v>
      </c>
      <c r="BB291" s="161" t="str">
        <f t="shared" si="200"/>
        <v>N</v>
      </c>
      <c r="BC291" s="161" t="str">
        <f t="shared" si="201"/>
        <v>N</v>
      </c>
      <c r="BD291" s="161" t="str">
        <f t="shared" si="202"/>
        <v>N</v>
      </c>
      <c r="BE291" s="161" t="str">
        <f t="shared" si="203"/>
        <v>N</v>
      </c>
      <c r="BF291" s="161" t="str">
        <f t="shared" si="204"/>
        <v>N</v>
      </c>
      <c r="BG291" s="161" t="str">
        <f t="shared" si="205"/>
        <v>N</v>
      </c>
      <c r="BH291" s="161" t="str">
        <f t="shared" si="206"/>
        <v>N</v>
      </c>
      <c r="BI291" s="161" t="str">
        <f t="shared" si="207"/>
        <v>N</v>
      </c>
      <c r="BJ291" s="161" t="str">
        <f t="shared" si="208"/>
        <v>N</v>
      </c>
      <c r="BK291" s="161" t="str">
        <f t="shared" si="209"/>
        <v>Y</v>
      </c>
      <c r="BL291" s="161" t="str">
        <f t="shared" si="210"/>
        <v>N</v>
      </c>
      <c r="BM291" s="161" t="str">
        <f t="shared" si="211"/>
        <v>Y</v>
      </c>
      <c r="BN291" s="176" t="str">
        <f t="shared" si="212"/>
        <v>N</v>
      </c>
      <c r="BO291" s="222" t="s">
        <v>1189</v>
      </c>
      <c r="BP291" s="174" t="s">
        <v>2293</v>
      </c>
      <c r="BQ291" s="219" t="s">
        <v>317</v>
      </c>
      <c r="BR291" s="173">
        <f t="shared" si="213"/>
        <v>34699</v>
      </c>
      <c r="BS291" s="171" t="str">
        <f t="shared" si="214"/>
        <v>N</v>
      </c>
    </row>
    <row r="292" spans="1:71" ht="15" customHeight="1" x14ac:dyDescent="0.25">
      <c r="A292" s="31">
        <v>9</v>
      </c>
      <c r="B292" s="57" t="s">
        <v>2446</v>
      </c>
      <c r="C292" s="57" t="s">
        <v>2447</v>
      </c>
      <c r="D292" s="57" t="s">
        <v>1344</v>
      </c>
      <c r="E292" s="57" t="s">
        <v>2448</v>
      </c>
      <c r="F292" s="57" t="s">
        <v>2449</v>
      </c>
      <c r="G292" s="57" t="s">
        <v>315</v>
      </c>
      <c r="H292" s="57" t="s">
        <v>602</v>
      </c>
      <c r="I292" s="78">
        <v>38518</v>
      </c>
      <c r="J292" s="78">
        <v>40274</v>
      </c>
      <c r="K292" s="78">
        <v>40274</v>
      </c>
      <c r="L292" s="239" t="s">
        <v>2450</v>
      </c>
      <c r="M292" s="69" t="s">
        <v>2451</v>
      </c>
      <c r="N292" s="69">
        <v>4</v>
      </c>
      <c r="O292" s="69" t="s">
        <v>1314</v>
      </c>
      <c r="P292" s="69" t="s">
        <v>1315</v>
      </c>
      <c r="Q292" s="32" t="s">
        <v>371</v>
      </c>
      <c r="R292" s="85">
        <v>36693</v>
      </c>
      <c r="S292" s="69" t="s">
        <v>750</v>
      </c>
      <c r="T292" s="161" t="s">
        <v>317</v>
      </c>
      <c r="U292" s="69" t="str">
        <f t="shared" si="197"/>
        <v>Y</v>
      </c>
      <c r="V292" s="57" t="s">
        <v>1022</v>
      </c>
      <c r="W292" s="197" t="s">
        <v>2452</v>
      </c>
      <c r="X292" s="197" t="s">
        <v>334</v>
      </c>
      <c r="Y292" s="213">
        <v>50</v>
      </c>
      <c r="Z292" s="149">
        <f>5580+3560+2020+3560+2300+8300+16850+9300+5300+251.15+609.91+582.76+(6965.08+18465.08+18265.08)</f>
        <v>101909.06000000001</v>
      </c>
      <c r="AA292" s="149">
        <f>18265.08+3560+16850+609.91</f>
        <v>39284.990000000005</v>
      </c>
      <c r="AB292" s="214">
        <v>2002</v>
      </c>
      <c r="AC292" s="149">
        <v>45142.63</v>
      </c>
      <c r="AD292" s="128">
        <f>AA292/AC292</f>
        <v>0.87024149899994763</v>
      </c>
      <c r="AE292" s="149"/>
      <c r="AF292" s="149"/>
      <c r="AG292" s="206"/>
      <c r="AH292" s="149"/>
      <c r="AI292" s="128"/>
      <c r="AJ292" s="149">
        <f>83.38+161.75+251.15+609.91+582.76</f>
        <v>1688.95</v>
      </c>
      <c r="AK292" s="149">
        <f>161.75+582.76</f>
        <v>744.51</v>
      </c>
      <c r="AL292" s="214">
        <v>2003</v>
      </c>
      <c r="AM292" s="149">
        <v>461.04</v>
      </c>
      <c r="AN292" s="128">
        <f>AK292/AM292</f>
        <v>1.6148490369599167</v>
      </c>
      <c r="AO292" s="149"/>
      <c r="AP292" s="149"/>
      <c r="AQ292" s="57"/>
      <c r="AR292" s="149"/>
      <c r="AS292" s="128"/>
      <c r="AT292" s="149"/>
      <c r="AU292" s="149"/>
      <c r="AV292" s="214"/>
      <c r="AW292" s="149"/>
      <c r="AX292" s="128"/>
      <c r="AY292" s="197" t="s">
        <v>2453</v>
      </c>
      <c r="AZ292" s="161" t="str">
        <f t="shared" si="198"/>
        <v>Y</v>
      </c>
      <c r="BA292" s="161" t="str">
        <f t="shared" si="199"/>
        <v>Y</v>
      </c>
      <c r="BB292" s="161" t="str">
        <f t="shared" si="200"/>
        <v>N</v>
      </c>
      <c r="BC292" s="161" t="str">
        <f t="shared" si="201"/>
        <v>N</v>
      </c>
      <c r="BD292" s="161" t="str">
        <f t="shared" si="202"/>
        <v>N</v>
      </c>
      <c r="BE292" s="161" t="str">
        <f t="shared" si="203"/>
        <v>Y</v>
      </c>
      <c r="BF292" s="161" t="str">
        <f t="shared" si="204"/>
        <v>Y</v>
      </c>
      <c r="BG292" s="161" t="str">
        <f t="shared" si="205"/>
        <v>N</v>
      </c>
      <c r="BH292" s="161" t="str">
        <f t="shared" si="206"/>
        <v>N</v>
      </c>
      <c r="BI292" s="161" t="str">
        <f t="shared" si="207"/>
        <v>N</v>
      </c>
      <c r="BJ292" s="161" t="str">
        <f t="shared" si="208"/>
        <v>N</v>
      </c>
      <c r="BK292" s="161" t="str">
        <f t="shared" si="209"/>
        <v>N</v>
      </c>
      <c r="BL292" s="161" t="str">
        <f t="shared" si="210"/>
        <v>Y</v>
      </c>
      <c r="BM292" s="161" t="str">
        <f t="shared" si="211"/>
        <v>Y</v>
      </c>
      <c r="BN292" s="176" t="str">
        <f t="shared" si="212"/>
        <v>Y</v>
      </c>
      <c r="BO292" s="222" t="s">
        <v>2454</v>
      </c>
      <c r="BP292" s="174" t="s">
        <v>2257</v>
      </c>
      <c r="BQ292" s="219" t="s">
        <v>317</v>
      </c>
      <c r="BR292" s="173">
        <f t="shared" si="213"/>
        <v>37621</v>
      </c>
      <c r="BS292" s="171" t="str">
        <f t="shared" si="214"/>
        <v>Y</v>
      </c>
    </row>
    <row r="293" spans="1:71" ht="15" customHeight="1" x14ac:dyDescent="0.25">
      <c r="A293" s="31">
        <v>8</v>
      </c>
      <c r="B293" s="57" t="s">
        <v>2455</v>
      </c>
      <c r="C293" s="57" t="s">
        <v>2456</v>
      </c>
      <c r="D293" s="57" t="s">
        <v>2390</v>
      </c>
      <c r="E293" s="57" t="s">
        <v>1561</v>
      </c>
      <c r="F293" s="238" t="s">
        <v>2457</v>
      </c>
      <c r="G293" s="57" t="s">
        <v>354</v>
      </c>
      <c r="H293" s="57" t="s">
        <v>602</v>
      </c>
      <c r="I293" s="78">
        <v>39373</v>
      </c>
      <c r="J293" s="78">
        <v>40263</v>
      </c>
      <c r="K293" s="78">
        <v>40553</v>
      </c>
      <c r="L293" s="239" t="s">
        <v>2458</v>
      </c>
      <c r="M293" s="32" t="s">
        <v>2459</v>
      </c>
      <c r="N293" s="32">
        <v>3</v>
      </c>
      <c r="O293" s="69" t="s">
        <v>1314</v>
      </c>
      <c r="P293" s="32" t="s">
        <v>2351</v>
      </c>
      <c r="Q293" s="32" t="s">
        <v>2460</v>
      </c>
      <c r="R293" s="78">
        <v>35005</v>
      </c>
      <c r="S293" s="32" t="s">
        <v>384</v>
      </c>
      <c r="T293" s="31" t="s">
        <v>317</v>
      </c>
      <c r="U293" s="69" t="str">
        <f t="shared" si="197"/>
        <v>Y</v>
      </c>
      <c r="V293" s="57" t="s">
        <v>361</v>
      </c>
      <c r="W293" s="57" t="s">
        <v>361</v>
      </c>
      <c r="X293" s="197" t="s">
        <v>320</v>
      </c>
      <c r="Y293" s="213">
        <v>30</v>
      </c>
      <c r="Z293" s="149"/>
      <c r="AA293" s="149"/>
      <c r="AB293" s="214"/>
      <c r="AC293" s="149"/>
      <c r="AD293" s="128"/>
      <c r="AE293" s="149"/>
      <c r="AF293" s="149"/>
      <c r="AG293" s="206"/>
      <c r="AH293" s="149"/>
      <c r="AI293" s="128"/>
      <c r="AJ293" s="149"/>
      <c r="AK293" s="149"/>
      <c r="AL293" s="214"/>
      <c r="AM293" s="149"/>
      <c r="AN293" s="128"/>
      <c r="AO293" s="149"/>
      <c r="AP293" s="149"/>
      <c r="AQ293" s="57"/>
      <c r="AR293" s="149"/>
      <c r="AS293" s="128"/>
      <c r="AT293" s="149">
        <v>104320</v>
      </c>
      <c r="AU293" s="149">
        <v>24730</v>
      </c>
      <c r="AV293" s="214">
        <v>2006</v>
      </c>
      <c r="AW293" s="149">
        <v>36201.18</v>
      </c>
      <c r="AX293" s="128">
        <f>AU293/AW293</f>
        <v>0.68312690359816997</v>
      </c>
      <c r="AY293" s="57" t="s">
        <v>2461</v>
      </c>
      <c r="AZ293" s="161" t="str">
        <f t="shared" si="198"/>
        <v>N</v>
      </c>
      <c r="BA293" s="161" t="str">
        <f t="shared" si="199"/>
        <v>N</v>
      </c>
      <c r="BB293" s="161" t="str">
        <f t="shared" si="200"/>
        <v>N</v>
      </c>
      <c r="BC293" s="161" t="str">
        <f t="shared" si="201"/>
        <v>N</v>
      </c>
      <c r="BD293" s="161" t="str">
        <f t="shared" si="202"/>
        <v>N</v>
      </c>
      <c r="BE293" s="161" t="str">
        <f t="shared" si="203"/>
        <v>N</v>
      </c>
      <c r="BF293" s="161" t="str">
        <f t="shared" si="204"/>
        <v>N</v>
      </c>
      <c r="BG293" s="161" t="str">
        <f t="shared" si="205"/>
        <v>N</v>
      </c>
      <c r="BH293" s="161" t="str">
        <f t="shared" si="206"/>
        <v>N</v>
      </c>
      <c r="BI293" s="161" t="str">
        <f t="shared" si="207"/>
        <v>N</v>
      </c>
      <c r="BJ293" s="161" t="str">
        <f t="shared" si="208"/>
        <v>Y</v>
      </c>
      <c r="BK293" s="161" t="str">
        <f t="shared" si="209"/>
        <v>Y</v>
      </c>
      <c r="BL293" s="161" t="str">
        <f t="shared" si="210"/>
        <v>Y</v>
      </c>
      <c r="BM293" s="161" t="str">
        <f t="shared" si="211"/>
        <v>Y</v>
      </c>
      <c r="BN293" s="176" t="str">
        <f t="shared" si="212"/>
        <v>N</v>
      </c>
      <c r="BO293" s="222" t="s">
        <v>363</v>
      </c>
      <c r="BP293" s="174" t="s">
        <v>2257</v>
      </c>
      <c r="BQ293" s="219" t="s">
        <v>345</v>
      </c>
      <c r="BR293" s="173">
        <f t="shared" si="213"/>
        <v>35795</v>
      </c>
      <c r="BS293" s="171" t="str">
        <f t="shared" si="214"/>
        <v>N</v>
      </c>
    </row>
    <row r="294" spans="1:71" ht="15" customHeight="1" x14ac:dyDescent="0.25">
      <c r="A294" s="31">
        <v>7</v>
      </c>
      <c r="B294" s="57" t="s">
        <v>2462</v>
      </c>
      <c r="C294" s="57" t="s">
        <v>2463</v>
      </c>
      <c r="D294" s="57" t="s">
        <v>351</v>
      </c>
      <c r="E294" s="57" t="s">
        <v>404</v>
      </c>
      <c r="F294" s="57" t="s">
        <v>2464</v>
      </c>
      <c r="G294" s="57" t="s">
        <v>354</v>
      </c>
      <c r="H294" s="57" t="s">
        <v>602</v>
      </c>
      <c r="I294" s="78">
        <v>38854</v>
      </c>
      <c r="J294" s="78">
        <v>40256</v>
      </c>
      <c r="K294" s="78">
        <v>40256</v>
      </c>
      <c r="L294" s="239" t="s">
        <v>2465</v>
      </c>
      <c r="M294" s="69" t="s">
        <v>2466</v>
      </c>
      <c r="N294" s="69">
        <v>2</v>
      </c>
      <c r="O294" s="69" t="s">
        <v>1305</v>
      </c>
      <c r="P294" s="69" t="s">
        <v>1315</v>
      </c>
      <c r="Q294" s="32" t="s">
        <v>2467</v>
      </c>
      <c r="R294" s="85">
        <v>35283</v>
      </c>
      <c r="S294" s="69" t="s">
        <v>384</v>
      </c>
      <c r="T294" s="161" t="s">
        <v>317</v>
      </c>
      <c r="U294" s="69" t="str">
        <f t="shared" si="197"/>
        <v>Y</v>
      </c>
      <c r="V294" s="57" t="s">
        <v>607</v>
      </c>
      <c r="W294" s="197" t="s">
        <v>1513</v>
      </c>
      <c r="X294" s="197" t="s">
        <v>334</v>
      </c>
      <c r="Y294" s="213">
        <v>30</v>
      </c>
      <c r="Z294" s="149">
        <v>129600</v>
      </c>
      <c r="AA294" s="149">
        <v>77900</v>
      </c>
      <c r="AB294" s="214">
        <v>2004</v>
      </c>
      <c r="AC294" s="149">
        <v>46964.94</v>
      </c>
      <c r="AD294" s="128">
        <f>AA294/AC294</f>
        <v>1.6586841162790795</v>
      </c>
      <c r="AE294" s="149"/>
      <c r="AF294" s="149"/>
      <c r="AG294" s="206"/>
      <c r="AH294" s="149"/>
      <c r="AI294" s="128"/>
      <c r="AJ294" s="149"/>
      <c r="AK294" s="149"/>
      <c r="AL294" s="214"/>
      <c r="AM294" s="149"/>
      <c r="AN294" s="128"/>
      <c r="AO294" s="149"/>
      <c r="AP294" s="149"/>
      <c r="AQ294" s="57"/>
      <c r="AR294" s="149"/>
      <c r="AS294" s="128"/>
      <c r="AT294" s="149">
        <f>106300+1100+123400</f>
        <v>230800</v>
      </c>
      <c r="AU294" s="149">
        <v>123400</v>
      </c>
      <c r="AV294" s="214">
        <v>2004</v>
      </c>
      <c r="AW294" s="149">
        <v>46964.94</v>
      </c>
      <c r="AX294" s="128">
        <f>AU294/AW294</f>
        <v>2.6274919120518412</v>
      </c>
      <c r="AY294" s="69" t="s">
        <v>2468</v>
      </c>
      <c r="AZ294" s="161" t="str">
        <f t="shared" si="198"/>
        <v>Y</v>
      </c>
      <c r="BA294" s="161" t="str">
        <f t="shared" si="199"/>
        <v>Y</v>
      </c>
      <c r="BB294" s="161" t="str">
        <f t="shared" si="200"/>
        <v>N</v>
      </c>
      <c r="BC294" s="161" t="str">
        <f t="shared" si="201"/>
        <v>N</v>
      </c>
      <c r="BD294" s="161" t="str">
        <f t="shared" si="202"/>
        <v>N</v>
      </c>
      <c r="BE294" s="161" t="str">
        <f t="shared" si="203"/>
        <v>N</v>
      </c>
      <c r="BF294" s="161" t="str">
        <f t="shared" si="204"/>
        <v>N</v>
      </c>
      <c r="BG294" s="161" t="str">
        <f t="shared" si="205"/>
        <v>N</v>
      </c>
      <c r="BH294" s="161" t="str">
        <f t="shared" si="206"/>
        <v>N</v>
      </c>
      <c r="BI294" s="161" t="str">
        <f t="shared" si="207"/>
        <v>N</v>
      </c>
      <c r="BJ294" s="161" t="str">
        <f t="shared" si="208"/>
        <v>Y</v>
      </c>
      <c r="BK294" s="161" t="str">
        <f t="shared" si="209"/>
        <v>Y</v>
      </c>
      <c r="BL294" s="161" t="str">
        <f t="shared" si="210"/>
        <v>Y</v>
      </c>
      <c r="BM294" s="161" t="str">
        <f t="shared" si="211"/>
        <v>Y</v>
      </c>
      <c r="BN294" s="176" t="str">
        <f t="shared" si="212"/>
        <v>N</v>
      </c>
      <c r="BO294" s="222" t="s">
        <v>1189</v>
      </c>
      <c r="BP294" s="174" t="s">
        <v>2257</v>
      </c>
      <c r="BQ294" s="219" t="s">
        <v>317</v>
      </c>
      <c r="BR294" s="173">
        <f t="shared" si="213"/>
        <v>36160</v>
      </c>
      <c r="BS294" s="171" t="str">
        <f t="shared" si="214"/>
        <v>N</v>
      </c>
    </row>
    <row r="295" spans="1:71" ht="15" customHeight="1" x14ac:dyDescent="0.25">
      <c r="A295" s="31">
        <v>6</v>
      </c>
      <c r="B295" s="57" t="s">
        <v>2469</v>
      </c>
      <c r="C295" s="57" t="s">
        <v>2470</v>
      </c>
      <c r="D295" s="57" t="s">
        <v>351</v>
      </c>
      <c r="E295" s="57" t="s">
        <v>2376</v>
      </c>
      <c r="F295" s="57" t="s">
        <v>2471</v>
      </c>
      <c r="G295" s="57" t="s">
        <v>315</v>
      </c>
      <c r="H295" s="57" t="s">
        <v>327</v>
      </c>
      <c r="I295" s="78">
        <v>39260</v>
      </c>
      <c r="J295" s="78">
        <v>40247</v>
      </c>
      <c r="K295" s="78">
        <v>40410</v>
      </c>
      <c r="L295" s="226" t="s">
        <v>2472</v>
      </c>
      <c r="M295" s="69" t="s">
        <v>2473</v>
      </c>
      <c r="N295" s="69">
        <v>7</v>
      </c>
      <c r="O295" s="69" t="s">
        <v>1391</v>
      </c>
      <c r="P295" s="69" t="s">
        <v>1315</v>
      </c>
      <c r="Q295" s="32" t="s">
        <v>2474</v>
      </c>
      <c r="R295" s="85">
        <v>35451</v>
      </c>
      <c r="S295" s="69" t="s">
        <v>570</v>
      </c>
      <c r="T295" s="161" t="s">
        <v>317</v>
      </c>
      <c r="U295" s="69" t="str">
        <f t="shared" si="197"/>
        <v>Y</v>
      </c>
      <c r="V295" s="57" t="s">
        <v>1022</v>
      </c>
      <c r="W295" s="197" t="s">
        <v>2475</v>
      </c>
      <c r="X295" s="197" t="s">
        <v>320</v>
      </c>
      <c r="Y295" s="213">
        <v>40</v>
      </c>
      <c r="Z295" s="149">
        <v>2854.92</v>
      </c>
      <c r="AA295" s="149">
        <v>1759.52</v>
      </c>
      <c r="AB295" s="214">
        <v>2001</v>
      </c>
      <c r="AC295" s="149">
        <v>33415.81</v>
      </c>
      <c r="AD295" s="128">
        <f>AA295/AC295</f>
        <v>5.2655314954208804E-2</v>
      </c>
      <c r="AE295" s="149">
        <v>965.31</v>
      </c>
      <c r="AF295" s="149">
        <v>965.31</v>
      </c>
      <c r="AG295" s="206">
        <v>2005</v>
      </c>
      <c r="AH295" s="149">
        <v>19249.52</v>
      </c>
      <c r="AI295" s="128">
        <f>AF295/AH295</f>
        <v>5.0147224450272004E-2</v>
      </c>
      <c r="AJ295" s="149">
        <v>945.08</v>
      </c>
      <c r="AK295" s="149">
        <v>945.08</v>
      </c>
      <c r="AL295" s="214">
        <v>2005</v>
      </c>
      <c r="AM295" s="149">
        <f>7572264.81/10000</f>
        <v>757.22648099999992</v>
      </c>
      <c r="AN295" s="128">
        <f>AK295/AM295</f>
        <v>1.2480810216144569</v>
      </c>
      <c r="AO295" s="149"/>
      <c r="AP295" s="149"/>
      <c r="AQ295" s="57"/>
      <c r="AR295" s="149"/>
      <c r="AS295" s="128"/>
      <c r="AT295" s="149"/>
      <c r="AU295" s="149"/>
      <c r="AV295" s="214"/>
      <c r="AW295" s="149"/>
      <c r="AX295" s="128"/>
      <c r="AY295" s="197" t="s">
        <v>2476</v>
      </c>
      <c r="AZ295" s="161" t="str">
        <f t="shared" si="198"/>
        <v>N</v>
      </c>
      <c r="BA295" s="161" t="str">
        <f t="shared" si="199"/>
        <v>N</v>
      </c>
      <c r="BB295" s="161" t="str">
        <f t="shared" si="200"/>
        <v>N</v>
      </c>
      <c r="BC295" s="161" t="str">
        <f t="shared" si="201"/>
        <v>N</v>
      </c>
      <c r="BD295" s="161" t="str">
        <f t="shared" si="202"/>
        <v>N</v>
      </c>
      <c r="BE295" s="161" t="str">
        <f t="shared" si="203"/>
        <v>Y</v>
      </c>
      <c r="BF295" s="161" t="str">
        <f t="shared" si="204"/>
        <v>Y</v>
      </c>
      <c r="BG295" s="161" t="str">
        <f t="shared" si="205"/>
        <v>N</v>
      </c>
      <c r="BH295" s="161" t="str">
        <f t="shared" si="206"/>
        <v>N</v>
      </c>
      <c r="BI295" s="161" t="str">
        <f t="shared" si="207"/>
        <v>N</v>
      </c>
      <c r="BJ295" s="161" t="str">
        <f t="shared" si="208"/>
        <v>N</v>
      </c>
      <c r="BK295" s="161" t="str">
        <f t="shared" si="209"/>
        <v>N</v>
      </c>
      <c r="BL295" s="161" t="str">
        <f t="shared" si="210"/>
        <v>N</v>
      </c>
      <c r="BM295" s="161" t="str">
        <f t="shared" si="211"/>
        <v>Y</v>
      </c>
      <c r="BN295" s="176" t="str">
        <f t="shared" si="212"/>
        <v>Y</v>
      </c>
      <c r="BO295" s="222" t="s">
        <v>2477</v>
      </c>
      <c r="BP295" s="174" t="s">
        <v>2257</v>
      </c>
      <c r="BQ295" s="219" t="s">
        <v>345</v>
      </c>
      <c r="BR295" s="173">
        <f t="shared" si="213"/>
        <v>36525</v>
      </c>
      <c r="BS295" s="171" t="str">
        <f t="shared" si="214"/>
        <v>N</v>
      </c>
    </row>
    <row r="296" spans="1:71" ht="15" customHeight="1" x14ac:dyDescent="0.25">
      <c r="A296" s="31">
        <v>5</v>
      </c>
      <c r="B296" s="57" t="s">
        <v>1581</v>
      </c>
      <c r="C296" s="57" t="s">
        <v>2478</v>
      </c>
      <c r="D296" s="57" t="s">
        <v>448</v>
      </c>
      <c r="E296" s="57" t="s">
        <v>1583</v>
      </c>
      <c r="F296" s="57" t="s">
        <v>2479</v>
      </c>
      <c r="G296" s="57" t="s">
        <v>315</v>
      </c>
      <c r="H296" s="32" t="s">
        <v>327</v>
      </c>
      <c r="I296" s="78">
        <v>39192</v>
      </c>
      <c r="J296" s="78">
        <v>40220</v>
      </c>
      <c r="K296" s="78">
        <v>40220</v>
      </c>
      <c r="L296" s="226" t="s">
        <v>2480</v>
      </c>
      <c r="M296" s="69" t="s">
        <v>2481</v>
      </c>
      <c r="N296" s="69">
        <v>6</v>
      </c>
      <c r="O296" s="69" t="s">
        <v>1391</v>
      </c>
      <c r="P296" s="69" t="s">
        <v>1315</v>
      </c>
      <c r="Q296" s="32" t="s">
        <v>2482</v>
      </c>
      <c r="R296" s="85">
        <v>36643</v>
      </c>
      <c r="S296" s="69" t="s">
        <v>570</v>
      </c>
      <c r="T296" s="161" t="s">
        <v>317</v>
      </c>
      <c r="U296" s="69" t="str">
        <f t="shared" si="197"/>
        <v>N</v>
      </c>
      <c r="V296" s="57" t="s">
        <v>607</v>
      </c>
      <c r="W296" s="197" t="s">
        <v>2483</v>
      </c>
      <c r="X296" s="197" t="s">
        <v>312</v>
      </c>
      <c r="Y296" s="213">
        <v>0</v>
      </c>
      <c r="Z296" s="149">
        <f>62320+5600*2</f>
        <v>73520</v>
      </c>
      <c r="AA296" s="149">
        <v>17460</v>
      </c>
      <c r="AB296" s="214">
        <v>2005</v>
      </c>
      <c r="AC296" s="149">
        <v>46415.02</v>
      </c>
      <c r="AD296" s="128">
        <f>AA296/AC296</f>
        <v>0.37617133419311249</v>
      </c>
      <c r="AE296" s="149"/>
      <c r="AF296" s="149"/>
      <c r="AG296" s="206"/>
      <c r="AH296" s="149"/>
      <c r="AI296" s="128"/>
      <c r="AJ296" s="149"/>
      <c r="AK296" s="149"/>
      <c r="AL296" s="214"/>
      <c r="AM296" s="149"/>
      <c r="AN296" s="128"/>
      <c r="AO296" s="149"/>
      <c r="AP296" s="149"/>
      <c r="AQ296" s="57"/>
      <c r="AR296" s="149"/>
      <c r="AS296" s="128"/>
      <c r="AT296" s="149">
        <v>74693.83</v>
      </c>
      <c r="AU296" s="149">
        <v>18933.830000000002</v>
      </c>
      <c r="AV296" s="214">
        <v>2005</v>
      </c>
      <c r="AW296" s="149">
        <v>47514.69</v>
      </c>
      <c r="AX296" s="128">
        <f>AU296/AW296</f>
        <v>0.39848371103757596</v>
      </c>
      <c r="AY296" s="197" t="s">
        <v>2484</v>
      </c>
      <c r="AZ296" s="161" t="str">
        <f t="shared" si="198"/>
        <v>N</v>
      </c>
      <c r="BA296" s="161" t="str">
        <f t="shared" si="199"/>
        <v>N</v>
      </c>
      <c r="BB296" s="161" t="str">
        <f t="shared" si="200"/>
        <v>N</v>
      </c>
      <c r="BC296" s="161" t="str">
        <f t="shared" si="201"/>
        <v>N</v>
      </c>
      <c r="BD296" s="161" t="str">
        <f t="shared" si="202"/>
        <v>N</v>
      </c>
      <c r="BE296" s="161" t="str">
        <f t="shared" si="203"/>
        <v>N</v>
      </c>
      <c r="BF296" s="161" t="str">
        <f t="shared" si="204"/>
        <v>N</v>
      </c>
      <c r="BG296" s="161" t="str">
        <f t="shared" si="205"/>
        <v>N</v>
      </c>
      <c r="BH296" s="161" t="str">
        <f t="shared" si="206"/>
        <v>N</v>
      </c>
      <c r="BI296" s="161" t="str">
        <f t="shared" si="207"/>
        <v>N</v>
      </c>
      <c r="BJ296" s="161" t="str">
        <f t="shared" si="208"/>
        <v>N</v>
      </c>
      <c r="BK296" s="161" t="str">
        <f t="shared" si="209"/>
        <v>N</v>
      </c>
      <c r="BL296" s="161" t="str">
        <f t="shared" si="210"/>
        <v>N</v>
      </c>
      <c r="BM296" s="161" t="str">
        <f t="shared" si="211"/>
        <v>N</v>
      </c>
      <c r="BN296" s="176" t="str">
        <f t="shared" si="212"/>
        <v>N</v>
      </c>
      <c r="BO296" s="222" t="s">
        <v>2485</v>
      </c>
      <c r="BP296" s="174" t="s">
        <v>2257</v>
      </c>
      <c r="BQ296" s="219" t="s">
        <v>317</v>
      </c>
      <c r="BR296" s="173">
        <f t="shared" si="213"/>
        <v>37621</v>
      </c>
      <c r="BS296" s="171" t="str">
        <f t="shared" si="214"/>
        <v>Y</v>
      </c>
    </row>
    <row r="297" spans="1:71" ht="15" customHeight="1" x14ac:dyDescent="0.25">
      <c r="A297" s="31">
        <v>4</v>
      </c>
      <c r="B297" s="57" t="s">
        <v>1706</v>
      </c>
      <c r="C297" s="57" t="s">
        <v>2486</v>
      </c>
      <c r="D297" s="57" t="s">
        <v>439</v>
      </c>
      <c r="E297" s="57" t="s">
        <v>1417</v>
      </c>
      <c r="F297" s="57" t="s">
        <v>2487</v>
      </c>
      <c r="G297" s="57" t="s">
        <v>315</v>
      </c>
      <c r="H297" s="32" t="s">
        <v>602</v>
      </c>
      <c r="I297" s="78">
        <v>38379</v>
      </c>
      <c r="J297" s="78">
        <v>40220</v>
      </c>
      <c r="K297" s="78">
        <v>40220</v>
      </c>
      <c r="L297" s="226" t="s">
        <v>2488</v>
      </c>
      <c r="M297" s="69" t="s">
        <v>2489</v>
      </c>
      <c r="N297" s="69">
        <v>4</v>
      </c>
      <c r="O297" s="69" t="s">
        <v>1314</v>
      </c>
      <c r="P297" s="69" t="s">
        <v>2490</v>
      </c>
      <c r="Q297" s="32" t="s">
        <v>2491</v>
      </c>
      <c r="R297" s="85">
        <v>35487</v>
      </c>
      <c r="S297" s="69" t="s">
        <v>639</v>
      </c>
      <c r="T297" s="161" t="s">
        <v>317</v>
      </c>
      <c r="U297" s="69" t="str">
        <f t="shared" si="197"/>
        <v>N</v>
      </c>
      <c r="V297" s="57" t="s">
        <v>988</v>
      </c>
      <c r="W297" s="197" t="s">
        <v>2492</v>
      </c>
      <c r="X297" s="197" t="s">
        <v>334</v>
      </c>
      <c r="Y297" s="213">
        <v>50</v>
      </c>
      <c r="Z297" s="149">
        <f>24000+1600</f>
        <v>25600</v>
      </c>
      <c r="AA297" s="149">
        <v>13000</v>
      </c>
      <c r="AB297" s="214">
        <v>2002</v>
      </c>
      <c r="AC297" s="149">
        <v>39704.160000000003</v>
      </c>
      <c r="AD297" s="128">
        <f>AA297/AC297</f>
        <v>0.32742161022925553</v>
      </c>
      <c r="AE297" s="149">
        <v>7832.09</v>
      </c>
      <c r="AF297" s="149">
        <v>2683.47</v>
      </c>
      <c r="AG297" s="206">
        <v>2004</v>
      </c>
      <c r="AH297" s="149">
        <v>28696.28</v>
      </c>
      <c r="AI297" s="128">
        <f>AF297/AH297</f>
        <v>9.3512817689261465E-2</v>
      </c>
      <c r="AJ297" s="149"/>
      <c r="AK297" s="149"/>
      <c r="AL297" s="214"/>
      <c r="AM297" s="149"/>
      <c r="AN297" s="128"/>
      <c r="AO297" s="149"/>
      <c r="AP297" s="149"/>
      <c r="AQ297" s="57"/>
      <c r="AR297" s="149"/>
      <c r="AS297" s="128"/>
      <c r="AT297" s="149">
        <v>13007.72</v>
      </c>
      <c r="AU297" s="149">
        <v>15579.74</v>
      </c>
      <c r="AV297" s="214">
        <v>2003</v>
      </c>
      <c r="AW297" s="149">
        <v>43055.44</v>
      </c>
      <c r="AX297" s="128">
        <f>AU297/AW297</f>
        <v>0.36185299697320478</v>
      </c>
      <c r="AY297" s="197" t="s">
        <v>2493</v>
      </c>
      <c r="AZ297" s="161" t="str">
        <f t="shared" si="198"/>
        <v>N</v>
      </c>
      <c r="BA297" s="161" t="str">
        <f t="shared" si="199"/>
        <v>N</v>
      </c>
      <c r="BB297" s="161" t="str">
        <f t="shared" si="200"/>
        <v>N</v>
      </c>
      <c r="BC297" s="161" t="str">
        <f t="shared" si="201"/>
        <v>N</v>
      </c>
      <c r="BD297" s="161" t="str">
        <f t="shared" si="202"/>
        <v>N</v>
      </c>
      <c r="BE297" s="161" t="str">
        <f t="shared" si="203"/>
        <v>N</v>
      </c>
      <c r="BF297" s="161" t="str">
        <f t="shared" si="204"/>
        <v>N</v>
      </c>
      <c r="BG297" s="161" t="str">
        <f t="shared" si="205"/>
        <v>N</v>
      </c>
      <c r="BH297" s="161" t="str">
        <f t="shared" si="206"/>
        <v>N</v>
      </c>
      <c r="BI297" s="161" t="str">
        <f t="shared" si="207"/>
        <v>N</v>
      </c>
      <c r="BJ297" s="161" t="str">
        <f t="shared" si="208"/>
        <v>N</v>
      </c>
      <c r="BK297" s="161" t="str">
        <f t="shared" si="209"/>
        <v>N</v>
      </c>
      <c r="BL297" s="161" t="str">
        <f t="shared" si="210"/>
        <v>N</v>
      </c>
      <c r="BM297" s="161" t="str">
        <f t="shared" si="211"/>
        <v>N</v>
      </c>
      <c r="BN297" s="176" t="str">
        <f t="shared" si="212"/>
        <v>N</v>
      </c>
      <c r="BO297" s="222" t="s">
        <v>1712</v>
      </c>
      <c r="BP297" s="174" t="s">
        <v>2257</v>
      </c>
      <c r="BQ297" s="219" t="s">
        <v>345</v>
      </c>
      <c r="BR297" s="173">
        <f t="shared" si="213"/>
        <v>36525</v>
      </c>
      <c r="BS297" s="171" t="str">
        <f t="shared" si="214"/>
        <v>N</v>
      </c>
    </row>
    <row r="298" spans="1:71" ht="15" customHeight="1" x14ac:dyDescent="0.25">
      <c r="A298" s="31">
        <v>3</v>
      </c>
      <c r="B298" s="57" t="s">
        <v>2494</v>
      </c>
      <c r="C298" s="57" t="s">
        <v>2495</v>
      </c>
      <c r="D298" s="57" t="s">
        <v>754</v>
      </c>
      <c r="E298" s="57" t="s">
        <v>1966</v>
      </c>
      <c r="F298" s="57" t="s">
        <v>2496</v>
      </c>
      <c r="G298" s="57" t="s">
        <v>354</v>
      </c>
      <c r="H298" s="32" t="s">
        <v>2497</v>
      </c>
      <c r="I298" s="78">
        <v>39079</v>
      </c>
      <c r="J298" s="78">
        <v>40184</v>
      </c>
      <c r="K298" s="78">
        <v>40184</v>
      </c>
      <c r="L298" s="226" t="s">
        <v>2498</v>
      </c>
      <c r="M298" s="69" t="s">
        <v>2499</v>
      </c>
      <c r="N298" s="69">
        <v>4</v>
      </c>
      <c r="O298" s="69" t="s">
        <v>1314</v>
      </c>
      <c r="P298" s="69" t="s">
        <v>1315</v>
      </c>
      <c r="Q298" s="32" t="s">
        <v>2500</v>
      </c>
      <c r="R298" s="85">
        <v>35590</v>
      </c>
      <c r="S298" s="69" t="s">
        <v>995</v>
      </c>
      <c r="T298" s="161" t="s">
        <v>317</v>
      </c>
      <c r="U298" s="69" t="str">
        <f t="shared" si="197"/>
        <v>Y</v>
      </c>
      <c r="V298" s="57" t="s">
        <v>988</v>
      </c>
      <c r="W298" s="197" t="s">
        <v>670</v>
      </c>
      <c r="X298" s="197" t="s">
        <v>334</v>
      </c>
      <c r="Y298" s="213">
        <v>30</v>
      </c>
      <c r="Z298" s="149">
        <f>20514.27+10000+47926.15</f>
        <v>78440.42</v>
      </c>
      <c r="AA298" s="149">
        <v>47926.15</v>
      </c>
      <c r="AB298" s="214">
        <v>2004</v>
      </c>
      <c r="AC298" s="149">
        <v>51428.27</v>
      </c>
      <c r="AD298" s="128">
        <f>AA298/AC298</f>
        <v>0.93190282309710215</v>
      </c>
      <c r="AE298" s="149"/>
      <c r="AF298" s="149"/>
      <c r="AG298" s="206"/>
      <c r="AH298" s="149"/>
      <c r="AI298" s="128"/>
      <c r="AJ298" s="149"/>
      <c r="AK298" s="149"/>
      <c r="AL298" s="214"/>
      <c r="AM298" s="149"/>
      <c r="AN298" s="128"/>
      <c r="AO298" s="149"/>
      <c r="AP298" s="149"/>
      <c r="AQ298" s="57"/>
      <c r="AR298" s="149"/>
      <c r="AS298" s="128"/>
      <c r="AT298" s="149">
        <v>150954.32999999999</v>
      </c>
      <c r="AU298" s="149"/>
      <c r="AV298" s="214"/>
      <c r="AW298" s="149"/>
      <c r="AX298" s="128"/>
      <c r="AY298" s="250" t="s">
        <v>2501</v>
      </c>
      <c r="AZ298" s="161" t="str">
        <f t="shared" si="198"/>
        <v>N</v>
      </c>
      <c r="BA298" s="161" t="str">
        <f t="shared" si="199"/>
        <v>Y</v>
      </c>
      <c r="BB298" s="161" t="str">
        <f t="shared" si="200"/>
        <v>N</v>
      </c>
      <c r="BC298" s="161" t="str">
        <f t="shared" si="201"/>
        <v>N</v>
      </c>
      <c r="BD298" s="161" t="str">
        <f t="shared" si="202"/>
        <v>N</v>
      </c>
      <c r="BE298" s="161" t="str">
        <f t="shared" si="203"/>
        <v>N</v>
      </c>
      <c r="BF298" s="161" t="str">
        <f t="shared" si="204"/>
        <v>N</v>
      </c>
      <c r="BG298" s="161" t="str">
        <f t="shared" si="205"/>
        <v>N</v>
      </c>
      <c r="BH298" s="161" t="str">
        <f t="shared" si="206"/>
        <v>N</v>
      </c>
      <c r="BI298" s="161" t="str">
        <f t="shared" si="207"/>
        <v>N</v>
      </c>
      <c r="BJ298" s="161" t="str">
        <f t="shared" si="208"/>
        <v>Y</v>
      </c>
      <c r="BK298" s="161" t="str">
        <f t="shared" si="209"/>
        <v>N</v>
      </c>
      <c r="BL298" s="161" t="str">
        <f t="shared" si="210"/>
        <v>Y</v>
      </c>
      <c r="BM298" s="161" t="str">
        <f t="shared" si="211"/>
        <v>Y</v>
      </c>
      <c r="BN298" s="176" t="str">
        <f t="shared" si="212"/>
        <v>N</v>
      </c>
      <c r="BO298" s="222" t="s">
        <v>2502</v>
      </c>
      <c r="BP298" s="174" t="s">
        <v>2257</v>
      </c>
      <c r="BQ298" s="219" t="s">
        <v>345</v>
      </c>
      <c r="BR298" s="173">
        <f t="shared" si="213"/>
        <v>36525</v>
      </c>
      <c r="BS298" s="171" t="str">
        <f t="shared" si="214"/>
        <v>N</v>
      </c>
    </row>
    <row r="299" spans="1:71" ht="15" customHeight="1" x14ac:dyDescent="0.25">
      <c r="A299" s="31">
        <v>2</v>
      </c>
      <c r="B299" s="57" t="s">
        <v>2503</v>
      </c>
      <c r="C299" s="57" t="s">
        <v>2504</v>
      </c>
      <c r="D299" s="57" t="s">
        <v>574</v>
      </c>
      <c r="E299" s="57" t="s">
        <v>575</v>
      </c>
      <c r="F299" s="57" t="s">
        <v>2505</v>
      </c>
      <c r="G299" s="57" t="s">
        <v>354</v>
      </c>
      <c r="H299" s="57" t="s">
        <v>327</v>
      </c>
      <c r="I299" s="78">
        <v>39587</v>
      </c>
      <c r="J299" s="78">
        <v>40079</v>
      </c>
      <c r="K299" s="78">
        <v>40521</v>
      </c>
      <c r="L299" s="239" t="s">
        <v>2506</v>
      </c>
      <c r="M299" s="69" t="s">
        <v>2507</v>
      </c>
      <c r="N299" s="69">
        <v>4</v>
      </c>
      <c r="O299" s="69" t="s">
        <v>1314</v>
      </c>
      <c r="P299" s="69" t="s">
        <v>2351</v>
      </c>
      <c r="Q299" s="32" t="s">
        <v>2508</v>
      </c>
      <c r="R299" s="85">
        <v>36447</v>
      </c>
      <c r="S299" s="69" t="s">
        <v>639</v>
      </c>
      <c r="T299" s="161" t="s">
        <v>317</v>
      </c>
      <c r="U299" s="69" t="str">
        <f t="shared" si="197"/>
        <v>Y</v>
      </c>
      <c r="V299" s="57" t="s">
        <v>978</v>
      </c>
      <c r="W299" s="197" t="s">
        <v>2509</v>
      </c>
      <c r="X299" s="197" t="s">
        <v>334</v>
      </c>
      <c r="Y299" s="213">
        <v>30</v>
      </c>
      <c r="Z299" s="149"/>
      <c r="AA299" s="149"/>
      <c r="AB299" s="214"/>
      <c r="AC299" s="149"/>
      <c r="AD299" s="128"/>
      <c r="AE299" s="149">
        <f>4473.59+1225</f>
        <v>5698.59</v>
      </c>
      <c r="AF299" s="149">
        <f>4473.59+1225</f>
        <v>5698.59</v>
      </c>
      <c r="AG299" s="206">
        <v>2007</v>
      </c>
      <c r="AH299" s="149">
        <v>2527.67</v>
      </c>
      <c r="AI299" s="128">
        <f>AF299/AH299</f>
        <v>2.2544833779725995</v>
      </c>
      <c r="AJ299" s="149"/>
      <c r="AK299" s="149"/>
      <c r="AL299" s="214"/>
      <c r="AM299" s="149"/>
      <c r="AN299" s="128"/>
      <c r="AO299" s="149">
        <v>1715.81</v>
      </c>
      <c r="AP299" s="149">
        <v>1715.81</v>
      </c>
      <c r="AQ299" s="57">
        <v>2007</v>
      </c>
      <c r="AR299" s="149">
        <v>727.8</v>
      </c>
      <c r="AS299" s="128">
        <f>AP299/AR299</f>
        <v>2.3575295410827151</v>
      </c>
      <c r="AT299" s="149">
        <v>10195.4</v>
      </c>
      <c r="AU299" s="149">
        <v>11251.5</v>
      </c>
      <c r="AV299" s="214">
        <v>2004</v>
      </c>
      <c r="AW299" s="149">
        <v>58903.839999999997</v>
      </c>
      <c r="AX299" s="128">
        <f>AU299/AW299</f>
        <v>0.19101471143477233</v>
      </c>
      <c r="AY299" s="197" t="s">
        <v>2510</v>
      </c>
      <c r="AZ299" s="161" t="str">
        <f t="shared" si="198"/>
        <v>N</v>
      </c>
      <c r="BA299" s="161" t="str">
        <f t="shared" si="199"/>
        <v>N</v>
      </c>
      <c r="BB299" s="161" t="str">
        <f t="shared" si="200"/>
        <v>N</v>
      </c>
      <c r="BC299" s="161" t="str">
        <f t="shared" si="201"/>
        <v>Y</v>
      </c>
      <c r="BD299" s="161" t="str">
        <f t="shared" si="202"/>
        <v>N</v>
      </c>
      <c r="BE299" s="161" t="str">
        <f t="shared" si="203"/>
        <v>N</v>
      </c>
      <c r="BF299" s="161" t="str">
        <f t="shared" si="204"/>
        <v>N</v>
      </c>
      <c r="BG299" s="161" t="str">
        <f t="shared" si="205"/>
        <v>N</v>
      </c>
      <c r="BH299" s="161" t="str">
        <f t="shared" si="206"/>
        <v>Y</v>
      </c>
      <c r="BI299" s="161" t="str">
        <f t="shared" si="207"/>
        <v>Y</v>
      </c>
      <c r="BJ299" s="161" t="str">
        <f t="shared" si="208"/>
        <v>N</v>
      </c>
      <c r="BK299" s="161" t="str">
        <f t="shared" si="209"/>
        <v>N</v>
      </c>
      <c r="BL299" s="161" t="str">
        <f t="shared" si="210"/>
        <v>N</v>
      </c>
      <c r="BM299" s="161" t="str">
        <f t="shared" si="211"/>
        <v>Y</v>
      </c>
      <c r="BN299" s="176" t="str">
        <f t="shared" si="212"/>
        <v>Y</v>
      </c>
      <c r="BO299" s="222" t="s">
        <v>2511</v>
      </c>
      <c r="BP299" s="174" t="s">
        <v>2293</v>
      </c>
      <c r="BQ299" s="219" t="s">
        <v>317</v>
      </c>
      <c r="BR299" s="173">
        <f t="shared" si="213"/>
        <v>37256</v>
      </c>
      <c r="BS299" s="171" t="str">
        <f t="shared" si="214"/>
        <v>N</v>
      </c>
    </row>
    <row r="300" spans="1:71" ht="15" customHeight="1" x14ac:dyDescent="0.25">
      <c r="A300" s="31">
        <v>1</v>
      </c>
      <c r="B300" s="223" t="s">
        <v>2512</v>
      </c>
      <c r="C300" s="57" t="s">
        <v>2513</v>
      </c>
      <c r="D300" s="57" t="s">
        <v>426</v>
      </c>
      <c r="E300" s="57" t="s">
        <v>427</v>
      </c>
      <c r="F300" s="57" t="s">
        <v>2514</v>
      </c>
      <c r="G300" s="57" t="s">
        <v>315</v>
      </c>
      <c r="H300" s="32" t="s">
        <v>392</v>
      </c>
      <c r="I300" s="78">
        <v>39514</v>
      </c>
      <c r="J300" s="78">
        <v>40030</v>
      </c>
      <c r="K300" s="78">
        <v>40220</v>
      </c>
      <c r="L300" s="239" t="s">
        <v>2515</v>
      </c>
      <c r="M300" s="69" t="s">
        <v>2358</v>
      </c>
      <c r="N300" s="69">
        <v>2</v>
      </c>
      <c r="O300" s="69" t="s">
        <v>1305</v>
      </c>
      <c r="P300" s="69" t="s">
        <v>1315</v>
      </c>
      <c r="Q300" s="32" t="s">
        <v>2516</v>
      </c>
      <c r="R300" s="85">
        <v>35300</v>
      </c>
      <c r="S300" s="69" t="s">
        <v>421</v>
      </c>
      <c r="T300" s="161" t="s">
        <v>317</v>
      </c>
      <c r="U300" s="69" t="str">
        <f t="shared" si="197"/>
        <v>N</v>
      </c>
      <c r="V300" s="57" t="s">
        <v>318</v>
      </c>
      <c r="W300" s="197" t="s">
        <v>2517</v>
      </c>
      <c r="X300" s="197" t="s">
        <v>320</v>
      </c>
      <c r="Y300" s="213">
        <v>40</v>
      </c>
      <c r="Z300" s="149">
        <f>103.9+140.25+72*2+90*2</f>
        <v>568.15</v>
      </c>
      <c r="AA300" s="149">
        <f>140.25+72+90</f>
        <v>302.25</v>
      </c>
      <c r="AB300" s="214">
        <v>2006</v>
      </c>
      <c r="AC300" s="149">
        <v>6533.76</v>
      </c>
      <c r="AD300" s="128">
        <f>AA300/AC300</f>
        <v>4.6259734058183954E-2</v>
      </c>
      <c r="AE300" s="149"/>
      <c r="AF300" s="149"/>
      <c r="AG300" s="206"/>
      <c r="AH300" s="149"/>
      <c r="AI300" s="128"/>
      <c r="AJ300" s="149"/>
      <c r="AK300" s="149"/>
      <c r="AL300" s="214"/>
      <c r="AM300" s="149"/>
      <c r="AN300" s="128"/>
      <c r="AO300" s="149">
        <f>34.6+36.35+89.2+34.88+25.29</f>
        <v>220.32</v>
      </c>
      <c r="AP300" s="149">
        <f>34.6+89.2+34.88</f>
        <v>158.68</v>
      </c>
      <c r="AQ300" s="57">
        <v>2005</v>
      </c>
      <c r="AR300" s="149">
        <v>-1657.68</v>
      </c>
      <c r="AS300" s="128">
        <f>AP300/AR300</f>
        <v>-9.5724144587616425E-2</v>
      </c>
      <c r="AT300" s="149"/>
      <c r="AU300" s="149"/>
      <c r="AV300" s="214"/>
      <c r="AW300" s="149"/>
      <c r="AX300" s="128"/>
      <c r="AY300" s="197" t="s">
        <v>2518</v>
      </c>
      <c r="AZ300" s="161" t="str">
        <f t="shared" si="198"/>
        <v>N</v>
      </c>
      <c r="BA300" s="161" t="str">
        <f t="shared" si="199"/>
        <v>N</v>
      </c>
      <c r="BB300" s="161" t="str">
        <f t="shared" si="200"/>
        <v>N</v>
      </c>
      <c r="BC300" s="161" t="str">
        <f t="shared" si="201"/>
        <v>N</v>
      </c>
      <c r="BD300" s="161" t="str">
        <f t="shared" si="202"/>
        <v>N</v>
      </c>
      <c r="BE300" s="161" t="str">
        <f t="shared" si="203"/>
        <v>N</v>
      </c>
      <c r="BF300" s="161" t="str">
        <f t="shared" si="204"/>
        <v>N</v>
      </c>
      <c r="BG300" s="161" t="str">
        <f t="shared" si="205"/>
        <v>N</v>
      </c>
      <c r="BH300" s="161" t="str">
        <f t="shared" si="206"/>
        <v>N</v>
      </c>
      <c r="BI300" s="161" t="str">
        <f t="shared" si="207"/>
        <v>N</v>
      </c>
      <c r="BJ300" s="161" t="str">
        <f t="shared" si="208"/>
        <v>N</v>
      </c>
      <c r="BK300" s="161" t="str">
        <f t="shared" si="209"/>
        <v>N</v>
      </c>
      <c r="BL300" s="161" t="str">
        <f t="shared" si="210"/>
        <v>N</v>
      </c>
      <c r="BM300" s="161" t="str">
        <f t="shared" si="211"/>
        <v>N</v>
      </c>
      <c r="BN300" s="176" t="str">
        <f t="shared" si="212"/>
        <v>N</v>
      </c>
      <c r="BO300" s="222" t="s">
        <v>2519</v>
      </c>
      <c r="BP300" s="174" t="s">
        <v>2257</v>
      </c>
      <c r="BQ300" s="219" t="s">
        <v>345</v>
      </c>
      <c r="BR300" s="173">
        <f t="shared" si="213"/>
        <v>36160</v>
      </c>
      <c r="BS300" s="171" t="str">
        <f t="shared" si="214"/>
        <v>N</v>
      </c>
    </row>
    <row r="307" spans="28:52" x14ac:dyDescent="0.25">
      <c r="AC307" s="248"/>
      <c r="AD307" s="249"/>
    </row>
    <row r="308" spans="28:52" x14ac:dyDescent="0.25">
      <c r="AB308" s="248"/>
      <c r="AC308" s="248"/>
      <c r="AD308" s="249"/>
    </row>
    <row r="309" spans="28:52" x14ac:dyDescent="0.25">
      <c r="AW309" s="8"/>
      <c r="AX309" s="8"/>
      <c r="AY309" s="19"/>
      <c r="AZ309" s="19"/>
    </row>
    <row r="310" spans="28:52" x14ac:dyDescent="0.25">
      <c r="AW310" s="8"/>
      <c r="AX310" s="8"/>
      <c r="AY310" s="19"/>
      <c r="AZ310" s="19"/>
    </row>
    <row r="311" spans="28:52" x14ac:dyDescent="0.25">
      <c r="AW311" s="8"/>
      <c r="AX311" s="8"/>
      <c r="AY311" s="19"/>
      <c r="AZ311"/>
    </row>
  </sheetData>
  <autoFilter ref="A4:FG300" xr:uid="{00000000-0009-0000-0000-000001000000}">
    <sortState xmlns:xlrd2="http://schemas.microsoft.com/office/spreadsheetml/2017/richdata2" ref="A4:FG300">
      <sortCondition descending="1" ref="J4:J300"/>
    </sortState>
  </autoFilter>
  <phoneticPr fontId="24" type="noConversion"/>
  <conditionalFormatting sqref="B80 U5:U43 BV4:XFD26 AO5:AR57 AT5:AW57">
    <cfRule type="expression" dxfId="132" priority="236">
      <formula>IF(SEARCH("自动计算",B$2),1,0)</formula>
    </cfRule>
  </conditionalFormatting>
  <conditionalFormatting sqref="B91 C91:C92">
    <cfRule type="expression" dxfId="131" priority="445">
      <formula>IF(SEARCH("自动计算",B$2),1,0)</formula>
    </cfRule>
  </conditionalFormatting>
  <conditionalFormatting sqref="B106 D106:E107 C106:C111 AH107:AH108 AE107:AG109 D108:G108 AO108:AT108 AV108:AW108 P108:T111 F109:G109 W109 Y109:AC109 AO109:AW111 D110:G112 AE110:AH112 AY110:AY112 Q112:T112 AO112:AX112">
    <cfRule type="expression" dxfId="130" priority="883">
      <formula>IF(SEARCH("自动计算",B$2),1,0)</formula>
    </cfRule>
  </conditionalFormatting>
  <conditionalFormatting sqref="B31:C31">
    <cfRule type="expression" dxfId="129" priority="181">
      <formula>IF(SEARCH("自动计算",B$2),1,0)</formula>
    </cfRule>
  </conditionalFormatting>
  <conditionalFormatting sqref="B88:C90">
    <cfRule type="expression" dxfId="128" priority="438">
      <formula>IF(SEARCH("自动计算",B$2),1,0)</formula>
    </cfRule>
  </conditionalFormatting>
  <conditionalFormatting sqref="B105:E105 K105:L106 AE105:AE106 Q105:T107">
    <cfRule type="expression" dxfId="127" priority="777">
      <formula>IF(SEARCH("自动计算",B$2),1,0)</formula>
    </cfRule>
  </conditionalFormatting>
  <conditionalFormatting sqref="B84:F86">
    <cfRule type="expression" dxfId="126" priority="299">
      <formula>IF(SEARCH("自动计算",B$2),1,0)</formula>
    </cfRule>
  </conditionalFormatting>
  <conditionalFormatting sqref="B87:G87">
    <cfRule type="expression" dxfId="125" priority="683">
      <formula>IF(SEARCH("自动计算",B$2),1,0)</formula>
    </cfRule>
  </conditionalFormatting>
  <conditionalFormatting sqref="C94">
    <cfRule type="expression" dxfId="124" priority="337">
      <formula>IF(SEARCH("自动计算",C$2),1,0)</formula>
    </cfRule>
  </conditionalFormatting>
  <conditionalFormatting sqref="C76:E83">
    <cfRule type="expression" dxfId="123" priority="231">
      <formula>IF(SEARCH("自动计算",C$2),1,0)</formula>
    </cfRule>
  </conditionalFormatting>
  <conditionalFormatting sqref="C28:G66">
    <cfRule type="expression" dxfId="122" priority="42">
      <formula>IF(SEARCH("自动计算",C$2),1,0)</formula>
    </cfRule>
  </conditionalFormatting>
  <conditionalFormatting sqref="C93:G93">
    <cfRule type="expression" dxfId="121" priority="427">
      <formula>IF(SEARCH("自动计算",C$2),1,0)</formula>
    </cfRule>
  </conditionalFormatting>
  <conditionalFormatting sqref="C27:I27">
    <cfRule type="expression" dxfId="120" priority="117">
      <formula>IF(SEARCH("自动计算",C$2),1,0)</formula>
    </cfRule>
  </conditionalFormatting>
  <conditionalFormatting sqref="C5:N16 C18:N26 C17:J17 L17:N17">
    <cfRule type="expression" dxfId="119" priority="28">
      <formula>IF(SEARCH("自动计算",C$2),1,0)</formula>
    </cfRule>
  </conditionalFormatting>
  <conditionalFormatting sqref="D88:G92">
    <cfRule type="expression" dxfId="118" priority="420">
      <formula>IF(SEARCH("自动计算",D$2),1,0)</formula>
    </cfRule>
  </conditionalFormatting>
  <conditionalFormatting sqref="F76:F78">
    <cfRule type="expression" dxfId="117" priority="232">
      <formula>IF(SEARCH("自动计算",F$2),1,0)</formula>
    </cfRule>
  </conditionalFormatting>
  <conditionalFormatting sqref="F79:G83">
    <cfRule type="expression" dxfId="116" priority="245">
      <formula>IF(SEARCH("自动计算",F$2),1,0)</formula>
    </cfRule>
  </conditionalFormatting>
  <conditionalFormatting sqref="F105:G107">
    <cfRule type="expression" dxfId="115" priority="775">
      <formula>IF(SEARCH("自动计算",F$2),1,0)</formula>
    </cfRule>
  </conditionalFormatting>
  <conditionalFormatting sqref="G29:G31">
    <cfRule type="expression" dxfId="114" priority="154">
      <formula>IF(SEARCH("自动计算",G$2),1,0)</formula>
    </cfRule>
  </conditionalFormatting>
  <conditionalFormatting sqref="G33:G34">
    <cfRule type="expression" dxfId="113" priority="110">
      <formula>IF(SEARCH("自动计算",G$2),1,0)</formula>
    </cfRule>
  </conditionalFormatting>
  <conditionalFormatting sqref="G84">
    <cfRule type="expression" dxfId="112" priority="300">
      <formula>IF(SEARCH("自动计算",G$2),1,0)</formula>
    </cfRule>
  </conditionalFormatting>
  <conditionalFormatting sqref="G85:G86">
    <cfRule type="expression" dxfId="111" priority="294">
      <formula>IF(SEARCH("自动计算",E$2),1,0)</formula>
    </cfRule>
  </conditionalFormatting>
  <conditionalFormatting sqref="J46">
    <cfRule type="expression" dxfId="110" priority="92">
      <formula>IF(SEARCH("自动计算",J$2),1,0)</formula>
    </cfRule>
  </conditionalFormatting>
  <conditionalFormatting sqref="K82:K85">
    <cfRule type="expression" dxfId="109" priority="287">
      <formula>IF(SEARCH("自动计算",K$2),1,0)</formula>
    </cfRule>
  </conditionalFormatting>
  <conditionalFormatting sqref="K95:K99">
    <cfRule type="expression" dxfId="108" priority="383">
      <formula>IF(SEARCH("自动计算",K$2),1,0)</formula>
    </cfRule>
  </conditionalFormatting>
  <conditionalFormatting sqref="K101:K103">
    <cfRule type="expression" dxfId="107" priority="351">
      <formula>IF(SEARCH("自动计算",K$2),1,0)</formula>
    </cfRule>
  </conditionalFormatting>
  <conditionalFormatting sqref="K86:L91 AE87:AE91 AG87:AG91 W88:AC89">
    <cfRule type="expression" dxfId="106" priority="436">
      <formula>IF(SEARCH("自动计算",K$2),1,0)</formula>
    </cfRule>
  </conditionalFormatting>
  <conditionalFormatting sqref="M95:N112">
    <cfRule type="expression" dxfId="105" priority="306">
      <formula>IF(SEARCH("自动计算",M$2),1,0)</formula>
    </cfRule>
  </conditionalFormatting>
  <conditionalFormatting sqref="P103:P104 AO103:AW107">
    <cfRule type="expression" dxfId="104" priority="369">
      <formula>IF(SEARCH("自动计算",P$2),1,0)</formula>
    </cfRule>
  </conditionalFormatting>
  <conditionalFormatting sqref="P102:Q102">
    <cfRule type="expression" dxfId="103" priority="361">
      <formula>IF(SEARCH("自动计算",P$2),1,0)</formula>
    </cfRule>
  </conditionalFormatting>
  <conditionalFormatting sqref="P84:T86 I84:I91 M84:N93 L85">
    <cfRule type="expression" dxfId="102" priority="305">
      <formula>IF(SEARCH("自动计算",I$2),1,0)</formula>
    </cfRule>
  </conditionalFormatting>
  <conditionalFormatting sqref="Q5:Q20">
    <cfRule type="expression" dxfId="101" priority="27">
      <formula>IF(SEARCH("自动计算",Q$2),1,0)</formula>
    </cfRule>
  </conditionalFormatting>
  <conditionalFormatting sqref="Q87:Q93 S87:T93 Y90:AC93 V92:W93 AE92:AH93">
    <cfRule type="expression" dxfId="100" priority="428">
      <formula>IF(SEARCH("自动计算",Q$2),1,0)</formula>
    </cfRule>
  </conditionalFormatting>
  <conditionalFormatting sqref="R87:R104">
    <cfRule type="expression" dxfId="99" priority="348">
      <formula>IF(SEARCH("自动计算",R$2),1,0)</formula>
    </cfRule>
  </conditionalFormatting>
  <conditionalFormatting sqref="R5:T12">
    <cfRule type="expression" dxfId="98" priority="24">
      <formula>IF(SEARCH("自动计算",R$2),1,0)</formula>
    </cfRule>
  </conditionalFormatting>
  <conditionalFormatting sqref="BO4:BS4 BU34 BO2:BS2 U1:U29 AZ1:BN12 BU1:BU27">
    <cfRule type="cellIs" dxfId="97" priority="880" operator="equal">
      <formula>"Y"</formula>
    </cfRule>
  </conditionalFormatting>
  <conditionalFormatting sqref="U30:U34 BO27">
    <cfRule type="cellIs" dxfId="96" priority="167" operator="equal">
      <formula>"Y"</formula>
    </cfRule>
  </conditionalFormatting>
  <conditionalFormatting sqref="U35:U1048576">
    <cfRule type="cellIs" dxfId="95" priority="41" operator="equal">
      <formula>"Y"</formula>
    </cfRule>
  </conditionalFormatting>
  <conditionalFormatting sqref="V24:W29">
    <cfRule type="expression" dxfId="94" priority="114">
      <formula>IF(SEARCH("自动计算",V$2),1,0)</formula>
    </cfRule>
  </conditionalFormatting>
  <conditionalFormatting sqref="V32:W32">
    <cfRule type="expression" dxfId="93" priority="112">
      <formula>IF(SEARCH("自动计算",V$2),1,0)</formula>
    </cfRule>
  </conditionalFormatting>
  <conditionalFormatting sqref="V82:W86 Y82:AC87">
    <cfRule type="expression" dxfId="92" priority="289">
      <formula>IF(SEARCH("自动计算",V$2),1,0)</formula>
    </cfRule>
  </conditionalFormatting>
  <conditionalFormatting sqref="V19:AC22">
    <cfRule type="expression" dxfId="91" priority="66">
      <formula>IF(SEARCH("自动计算",V$2),1,0)</formula>
    </cfRule>
  </conditionalFormatting>
  <conditionalFormatting sqref="V33:AC33">
    <cfRule type="expression" dxfId="90" priority="108">
      <formula>IF(SEARCH("自动计算",V$2),1,0)</formula>
    </cfRule>
  </conditionalFormatting>
  <conditionalFormatting sqref="V35:AC43">
    <cfRule type="expression" dxfId="89" priority="39">
      <formula>IF(SEARCH("自动计算",V$2),1,0)</formula>
    </cfRule>
  </conditionalFormatting>
  <conditionalFormatting sqref="V59:AC81">
    <cfRule type="expression" dxfId="88" priority="246">
      <formula>IF(SEARCH("自动计算",V$2),1,0)</formula>
    </cfRule>
  </conditionalFormatting>
  <conditionalFormatting sqref="V107:AC112">
    <cfRule type="expression" dxfId="87" priority="878">
      <formula>IF(SEARCH("自动计算",V$2),1,0)</formula>
    </cfRule>
  </conditionalFormatting>
  <conditionalFormatting sqref="V23:AF23 AD25:AD26">
    <cfRule type="expression" dxfId="86" priority="138">
      <formula>IF(SEARCH("自动计算",V$2),1,0)</formula>
    </cfRule>
  </conditionalFormatting>
  <conditionalFormatting sqref="V34:AG34">
    <cfRule type="expression" dxfId="85" priority="106">
      <formula>IF(SEARCH("自动计算",V$2),1,0)</formula>
    </cfRule>
  </conditionalFormatting>
  <conditionalFormatting sqref="V8:AH18">
    <cfRule type="expression" dxfId="84" priority="20">
      <formula>IF(SEARCH("自动计算",V$2),1,0)</formula>
    </cfRule>
  </conditionalFormatting>
  <conditionalFormatting sqref="W90:W91">
    <cfRule type="expression" dxfId="83" priority="443">
      <formula>IF(SEARCH("自动计算",W$2),1,0)</formula>
    </cfRule>
  </conditionalFormatting>
  <conditionalFormatting sqref="W87:X87">
    <cfRule type="expression" dxfId="82" priority="531">
      <formula>IF(SEARCH("自动计算",W$2),1,0)</formula>
    </cfRule>
  </conditionalFormatting>
  <conditionalFormatting sqref="X84">
    <cfRule type="expression" dxfId="81" priority="293">
      <formula>IF(SEARCH("自动计算",X$2),1,0)</formula>
    </cfRule>
  </conditionalFormatting>
  <conditionalFormatting sqref="X90">
    <cfRule type="expression" dxfId="80" priority="431">
      <formula>IF(SEARCH("自动计算",X$2),1,0)</formula>
    </cfRule>
  </conditionalFormatting>
  <conditionalFormatting sqref="X24:AC32">
    <cfRule type="expression" dxfId="79" priority="111">
      <formula>IF(SEARCH("自动计算",X$2),1,0)</formula>
    </cfRule>
  </conditionalFormatting>
  <conditionalFormatting sqref="AE84:AE85 AG84:AG85">
    <cfRule type="expression" dxfId="78" priority="295">
      <formula>IF(SEARCH("自动计算",AE$2),1,0)</formula>
    </cfRule>
  </conditionalFormatting>
  <conditionalFormatting sqref="AE95:AE96 P95:Q97 W95:W97 Y95:AC97">
    <cfRule type="expression" dxfId="77" priority="384">
      <formula>IF(SEARCH("自动计算",P$2),1,0)</formula>
    </cfRule>
  </conditionalFormatting>
  <conditionalFormatting sqref="AE21:AF22">
    <cfRule type="expression" dxfId="76" priority="55">
      <formula>IF(SEARCH("自动计算",AE$2),1,0)</formula>
    </cfRule>
  </conditionalFormatting>
  <conditionalFormatting sqref="AE24:AF27">
    <cfRule type="expression" dxfId="75" priority="119">
      <formula>IF(SEARCH("自动计算",AE$2),1,0)</formula>
    </cfRule>
  </conditionalFormatting>
  <conditionalFormatting sqref="AE98:AF104 AH98:AH104">
    <cfRule type="expression" dxfId="74" priority="350">
      <formula>IF(SEARCH("自动计算",AE$2),1,0)</formula>
    </cfRule>
  </conditionalFormatting>
  <conditionalFormatting sqref="AE59:AG83 BT92:FG107 AL94:AL107 AY95:AY108">
    <cfRule type="expression" dxfId="73" priority="322">
      <formula>IF(SEARCH("自动计算",AE$2),1,0)</formula>
    </cfRule>
  </conditionalFormatting>
  <conditionalFormatting sqref="AE86:AG86">
    <cfRule type="expression" dxfId="72" priority="723">
      <formula>IF(SEARCH("自动计算",AE$2),1,0)</formula>
    </cfRule>
  </conditionalFormatting>
  <conditionalFormatting sqref="AE58:AW58 AY58:BC58">
    <cfRule type="expression" dxfId="71" priority="186">
      <formula>IF(SEARCH("自动计算",AE$2),1,0)</formula>
    </cfRule>
  </conditionalFormatting>
  <conditionalFormatting sqref="AF84:AF85">
    <cfRule type="expression" dxfId="70" priority="296">
      <formula>IF(SEARCH("自动计算",AH$2),1,0)</formula>
    </cfRule>
  </conditionalFormatting>
  <conditionalFormatting sqref="AF87:AF91">
    <cfRule type="expression" dxfId="69" priority="437">
      <formula>IF(SEARCH("自动计算",AH$2),1,0)</formula>
    </cfRule>
  </conditionalFormatting>
  <conditionalFormatting sqref="AF105:AF106">
    <cfRule type="expression" dxfId="68" priority="778">
      <formula>IF(SEARCH("自动计算",AH$2),1,0)</formula>
    </cfRule>
  </conditionalFormatting>
  <conditionalFormatting sqref="AG21:AG27">
    <cfRule type="expression" dxfId="67" priority="164">
      <formula>IF(SEARCH("自动计算",AG$2),1,0)</formula>
    </cfRule>
  </conditionalFormatting>
  <conditionalFormatting sqref="AG94:AG106">
    <cfRule type="expression" dxfId="66" priority="349">
      <formula>IF(SEARCH("自动计算",AG$2),1,0)</formula>
    </cfRule>
  </conditionalFormatting>
  <conditionalFormatting sqref="AO95:AR102 AT95:AW102 B95:G104 L95:L104 S95:T104 I95:I106 AJ95:AK107 P98:P101 W98:AC106 AM98:AM107">
    <cfRule type="expression" dxfId="65" priority="352">
      <formula>IF(SEARCH("自动计算",B$2),1,0)</formula>
    </cfRule>
  </conditionalFormatting>
  <conditionalFormatting sqref="AU25:AU29">
    <cfRule type="expression" dxfId="64" priority="152">
      <formula>IF(SEARCH("自动计算",AU$2),1,0)</formula>
    </cfRule>
  </conditionalFormatting>
  <conditionalFormatting sqref="AU108">
    <cfRule type="expression" dxfId="63" priority="899">
      <formula>IF(SEARCH("自动计算",AT$2),1,0)</formula>
    </cfRule>
  </conditionalFormatting>
  <conditionalFormatting sqref="AX27:BC27 AY28:BC33">
    <cfRule type="expression" dxfId="62" priority="155">
      <formula>IF(SEARCH("自动计算",AX$2),1,0)</formula>
    </cfRule>
  </conditionalFormatting>
  <conditionalFormatting sqref="AY34:AY57">
    <cfRule type="expression" dxfId="61" priority="105">
      <formula>IF(SEARCH("自动计算",AY$2),1,0)</formula>
    </cfRule>
  </conditionalFormatting>
  <conditionalFormatting sqref="AY21:BC26">
    <cfRule type="expression" dxfId="60" priority="60">
      <formula>IF(SEARCH("自动计算",AY$2),1,0)</formula>
    </cfRule>
  </conditionalFormatting>
  <conditionalFormatting sqref="AY5:BO20">
    <cfRule type="expression" dxfId="59" priority="18">
      <formula>IF(SEARCH("自动计算",AY$2),1,0)</formula>
    </cfRule>
  </conditionalFormatting>
  <conditionalFormatting sqref="AZ54">
    <cfRule type="expression" dxfId="58" priority="226">
      <formula>IF(SEARCH("自动计算",AZ$2),1,0)</formula>
    </cfRule>
  </conditionalFormatting>
  <conditionalFormatting sqref="AZ59:AZ300 BB59:BO300 U37:U46 U44:AC58 U54:U300 BT27:XFD91 A4:BT4 V5:AM7 AE19:AH20 AH21 M27:N43 K27:K28 AE28:AG57 Q31:T83 I34:J34 L34:N34 AO34:AX34 M44:M66 N44:N83 AO59:AR93 AT59:AW93 AY59:AY93 AJ59:AM112 C67:F75 G67:G78 M68:M83 BQ86:BQ300 FH92:XFD93 FH95:XFD107 BT108:XFD112 K30:K53 K55:K77">
    <cfRule type="expression" dxfId="57" priority="677">
      <formula>IF(SEARCH("自动计算",A$2),1,0)</formula>
    </cfRule>
  </conditionalFormatting>
  <conditionalFormatting sqref="AZ34:BC53">
    <cfRule type="expression" dxfId="56" priority="36">
      <formula>IF(SEARCH("自动计算",AZ$2),1,0)</formula>
    </cfRule>
  </conditionalFormatting>
  <conditionalFormatting sqref="AZ55:BC57">
    <cfRule type="expression" dxfId="55" priority="100">
      <formula>IF(SEARCH("自动计算",AZ$2),1,0)</formula>
    </cfRule>
  </conditionalFormatting>
  <conditionalFormatting sqref="AZ35:BM36">
    <cfRule type="cellIs" dxfId="54" priority="37" operator="equal">
      <formula>"Y"</formula>
    </cfRule>
  </conditionalFormatting>
  <conditionalFormatting sqref="AZ21:BN22">
    <cfRule type="cellIs" dxfId="53" priority="61" operator="equal">
      <formula>"Y"</formula>
    </cfRule>
  </conditionalFormatting>
  <conditionalFormatting sqref="AZ27:BN34">
    <cfRule type="cellIs" dxfId="52" priority="156" operator="equal">
      <formula>"Y"</formula>
    </cfRule>
  </conditionalFormatting>
  <conditionalFormatting sqref="AZ37:BN53">
    <cfRule type="cellIs" dxfId="51" priority="47" operator="equal">
      <formula>"Y"</formula>
    </cfRule>
  </conditionalFormatting>
  <conditionalFormatting sqref="AZ54:BN54">
    <cfRule type="cellIs" dxfId="50" priority="227" operator="equal">
      <formula>"Y"</formula>
    </cfRule>
  </conditionalFormatting>
  <conditionalFormatting sqref="AZ55:BN55">
    <cfRule type="cellIs" dxfId="49" priority="101" operator="equal">
      <formula>"Y"</formula>
    </cfRule>
  </conditionalFormatting>
  <conditionalFormatting sqref="AZ56:BN58">
    <cfRule type="cellIs" dxfId="48" priority="187" operator="equal">
      <formula>"Y"</formula>
    </cfRule>
  </conditionalFormatting>
  <conditionalFormatting sqref="AZ59:BN1048576">
    <cfRule type="cellIs" dxfId="47" priority="146" operator="equal">
      <formula>"Y"</formula>
    </cfRule>
  </conditionalFormatting>
  <conditionalFormatting sqref="AZ23:BO23">
    <cfRule type="cellIs" dxfId="46" priority="134" operator="equal">
      <formula>"Y"</formula>
    </cfRule>
  </conditionalFormatting>
  <conditionalFormatting sqref="AZ24:BO26">
    <cfRule type="cellIs" dxfId="45" priority="118" operator="equal">
      <formula>"Y"</formula>
    </cfRule>
  </conditionalFormatting>
  <conditionalFormatting sqref="BB21:BB22 BD21:BN22">
    <cfRule type="expression" dxfId="44" priority="62">
      <formula>IF(SEARCH("自动计算",BB$2),1,0)</formula>
    </cfRule>
  </conditionalFormatting>
  <conditionalFormatting sqref="BB23:BB26 BD23:BN26">
    <cfRule type="expression" dxfId="43" priority="137">
      <formula>IF(SEARCH("自动计算",BB$2),1,0)</formula>
    </cfRule>
  </conditionalFormatting>
  <conditionalFormatting sqref="BB35:BB36 BD35:BM36">
    <cfRule type="expression" dxfId="42" priority="38">
      <formula>IF(SEARCH("自动计算",BB$2),1,0)</formula>
    </cfRule>
  </conditionalFormatting>
  <conditionalFormatting sqref="BB37:BB53">
    <cfRule type="expression" dxfId="41" priority="54">
      <formula>IF(SEARCH("自动计算",BB$2),1,0)</formula>
    </cfRule>
  </conditionalFormatting>
  <conditionalFormatting sqref="BB54 BD54:BO54">
    <cfRule type="expression" dxfId="40" priority="229">
      <formula>IF(SEARCH("自动计算",BB$2),1,0)</formula>
    </cfRule>
  </conditionalFormatting>
  <conditionalFormatting sqref="BB55 BD55:BO55">
    <cfRule type="expression" dxfId="39" priority="102">
      <formula>IF(SEARCH("自动计算",BB$2),1,0)</formula>
    </cfRule>
  </conditionalFormatting>
  <conditionalFormatting sqref="BB56:BB58 BD56:BO58">
    <cfRule type="expression" dxfId="38" priority="188">
      <formula>IF(SEARCH("自动计算",BB$2),1,0)</formula>
    </cfRule>
  </conditionalFormatting>
  <conditionalFormatting sqref="BC54">
    <cfRule type="expression" dxfId="37" priority="193">
      <formula>IF(SEARCH("自动计算",BC$2),1,0)</formula>
    </cfRule>
  </conditionalFormatting>
  <conditionalFormatting sqref="BD37:BN53">
    <cfRule type="expression" dxfId="36" priority="48">
      <formula>IF(SEARCH("自动计算",BD$2),1,0)</formula>
    </cfRule>
  </conditionalFormatting>
  <conditionalFormatting sqref="BD27:BO33 BB27:BB34 BD34:BN34">
    <cfRule type="expression" dxfId="35" priority="157">
      <formula>IF(SEARCH("自动计算",BB$2),1,0)</formula>
    </cfRule>
  </conditionalFormatting>
  <conditionalFormatting sqref="BN35:BN36">
    <cfRule type="cellIs" dxfId="34" priority="34" operator="equal">
      <formula>"Y"</formula>
    </cfRule>
    <cfRule type="expression" dxfId="33" priority="35">
      <formula>IF(SEARCH("自动计算",BN$2),1,0)</formula>
    </cfRule>
  </conditionalFormatting>
  <conditionalFormatting sqref="BO3:BO12">
    <cfRule type="cellIs" dxfId="32" priority="19" operator="equal">
      <formula>"Y"</formula>
    </cfRule>
  </conditionalFormatting>
  <conditionalFormatting sqref="BO21:BO22">
    <cfRule type="expression" dxfId="31" priority="58">
      <formula>IF(SEARCH("自动计算",BO$2),1,0)</formula>
    </cfRule>
    <cfRule type="cellIs" dxfId="30" priority="59" operator="equal">
      <formula>"Y"</formula>
    </cfRule>
  </conditionalFormatting>
  <conditionalFormatting sqref="BO23:BO26">
    <cfRule type="expression" dxfId="29" priority="133">
      <formula>IF(SEARCH("自动计算",BO$2),1,0)</formula>
    </cfRule>
  </conditionalFormatting>
  <conditionalFormatting sqref="BO34">
    <cfRule type="cellIs" dxfId="28" priority="103" operator="equal">
      <formula>"Y"</formula>
    </cfRule>
  </conditionalFormatting>
  <conditionalFormatting sqref="BO34:BO42">
    <cfRule type="expression" dxfId="27" priority="104">
      <formula>IF(SEARCH("自动计算",BO$2),1,0)</formula>
    </cfRule>
  </conditionalFormatting>
  <conditionalFormatting sqref="BO43">
    <cfRule type="cellIs" dxfId="26" priority="46" operator="equal">
      <formula>"Y"</formula>
    </cfRule>
  </conditionalFormatting>
  <conditionalFormatting sqref="BO43:BO53">
    <cfRule type="expression" dxfId="25" priority="45">
      <formula>IF(SEARCH("自动计算",BO$2),1,0)</formula>
    </cfRule>
  </conditionalFormatting>
  <conditionalFormatting sqref="BP3:BS3">
    <cfRule type="cellIs" dxfId="24" priority="335" operator="equal">
      <formula>"Y"</formula>
    </cfRule>
  </conditionalFormatting>
  <conditionalFormatting sqref="BQ21:BQ27">
    <cfRule type="expression" dxfId="23" priority="56">
      <formula>IF(SEARCH("自动计算",BQ$2),1,0)</formula>
    </cfRule>
    <cfRule type="cellIs" dxfId="22" priority="57" operator="equal">
      <formula>"Y"</formula>
    </cfRule>
  </conditionalFormatting>
  <conditionalFormatting sqref="BQ68:BQ69">
    <cfRule type="expression" dxfId="21" priority="212">
      <formula>IF(SEARCH("自动计算",BQ$2),1,0)</formula>
    </cfRule>
  </conditionalFormatting>
  <conditionalFormatting sqref="AZ13:BO20 BQ5:BS20 BS21:BS27">
    <cfRule type="cellIs" dxfId="20" priority="33" operator="equal">
      <formula>"Y"</formula>
    </cfRule>
  </conditionalFormatting>
  <conditionalFormatting sqref="BS1">
    <cfRule type="cellIs" dxfId="19" priority="331" operator="equal">
      <formula>"Y"</formula>
    </cfRule>
  </conditionalFormatting>
  <conditionalFormatting sqref="BT21:BT27 L27:N27 Q28:T29 Q30:W30 U31:W31">
    <cfRule type="expression" dxfId="18" priority="166">
      <formula>IF(SEARCH("自动计算",L$2),1,0)</formula>
    </cfRule>
  </conditionalFormatting>
  <conditionalFormatting sqref="AJ8:AM57 P13:T27 D5:E13 M5:N15 P5:P13 BQ5:BT20 BS21:BS27">
    <cfRule type="expression" dxfId="17" priority="32">
      <formula>IF(SEARCH("自动计算",D$2),1,0)</formula>
    </cfRule>
  </conditionalFormatting>
  <conditionalFormatting sqref="C9:J9">
    <cfRule type="expression" dxfId="16" priority="16">
      <formula>IF(SEARCH("自动计算",C$2),1,0)</formula>
    </cfRule>
  </conditionalFormatting>
  <conditionalFormatting sqref="D9:E9">
    <cfRule type="expression" dxfId="15" priority="17">
      <formula>IF(SEARCH("自动计算",D$2),1,0)</formula>
    </cfRule>
  </conditionalFormatting>
  <conditionalFormatting sqref="K9:N9">
    <cfRule type="expression" dxfId="14" priority="14">
      <formula>IF(SEARCH("自动计算",K$2),1,0)</formula>
    </cfRule>
  </conditionalFormatting>
  <conditionalFormatting sqref="Q9">
    <cfRule type="expression" dxfId="13" priority="13">
      <formula>IF(SEARCH("自动计算",Q$2),1,0)</formula>
    </cfRule>
  </conditionalFormatting>
  <conditionalFormatting sqref="R9:T9">
    <cfRule type="expression" dxfId="12" priority="12">
      <formula>IF(SEARCH("自动计算",R$2),1,0)</formula>
    </cfRule>
  </conditionalFormatting>
  <conditionalFormatting sqref="P9 M9:N9">
    <cfRule type="expression" dxfId="11" priority="15">
      <formula>IF(SEARCH("自动计算",M$2),1,0)</formula>
    </cfRule>
  </conditionalFormatting>
  <conditionalFormatting sqref="V9:Y9">
    <cfRule type="expression" dxfId="10" priority="11">
      <formula>IF(SEARCH("自动计算",V$2),1,0)</formula>
    </cfRule>
  </conditionalFormatting>
  <conditionalFormatting sqref="AE9:AH9">
    <cfRule type="expression" dxfId="9" priority="9">
      <formula>IF(SEARCH("自动计算",AE$2),1,0)</formula>
    </cfRule>
  </conditionalFormatting>
  <conditionalFormatting sqref="AJ9:AM9">
    <cfRule type="expression" dxfId="8" priority="10">
      <formula>IF(SEARCH("自动计算",AJ$2),1,0)</formula>
    </cfRule>
  </conditionalFormatting>
  <conditionalFormatting sqref="AY9">
    <cfRule type="expression" dxfId="7" priority="8">
      <formula>IF(SEARCH("自动计算",AY$2),1,0)</formula>
    </cfRule>
  </conditionalFormatting>
  <conditionalFormatting sqref="BO9">
    <cfRule type="expression" dxfId="6" priority="4">
      <formula>IF(SEARCH("自动计算",BO$2),1,0)</formula>
    </cfRule>
  </conditionalFormatting>
  <conditionalFormatting sqref="BO9">
    <cfRule type="cellIs" dxfId="5" priority="5" operator="equal">
      <formula>"Y"</formula>
    </cfRule>
  </conditionalFormatting>
  <conditionalFormatting sqref="BQ9:BR9">
    <cfRule type="cellIs" dxfId="4" priority="7" operator="equal">
      <formula>"Y"</formula>
    </cfRule>
  </conditionalFormatting>
  <conditionalFormatting sqref="BQ9:BR9">
    <cfRule type="expression" dxfId="3" priority="6">
      <formula>IF(SEARCH("自动计算",BQ$2),1,0)</formula>
    </cfRule>
  </conditionalFormatting>
  <conditionalFormatting sqref="K17">
    <cfRule type="expression" dxfId="2" priority="3">
      <formula>IF(SEARCH("自动计算",K$2),1,0)</formula>
    </cfRule>
  </conditionalFormatting>
  <conditionalFormatting sqref="K29">
    <cfRule type="expression" dxfId="1" priority="2">
      <formula>IF(SEARCH("自动计算",K$2),1,0)</formula>
    </cfRule>
  </conditionalFormatting>
  <conditionalFormatting sqref="K54">
    <cfRule type="expression" dxfId="0" priority="1">
      <formula>IF(SEARCH("自动计算",K$2),1,0)</formula>
    </cfRule>
  </conditionalFormatting>
  <dataValidations count="1">
    <dataValidation type="list" allowBlank="1" showInputMessage="1" showErrorMessage="1" sqref="X193 X195 X215 X217 X219 X190:X191 X211:X212 X221:X224" xr:uid="{00000000-0002-0000-0100-000000000000}">
      <formula1>"给予警告,罚款,给予警告；罚款"</formula1>
    </dataValidation>
  </dataValidations>
  <hyperlinks>
    <hyperlink ref="L214" r:id="rId1" xr:uid="{00000000-0004-0000-0100-000000000000}"/>
    <hyperlink ref="L206" r:id="rId2" xr:uid="{00000000-0004-0000-0100-000001000000}"/>
    <hyperlink ref="L205" r:id="rId3" xr:uid="{00000000-0004-0000-0100-000002000000}"/>
    <hyperlink ref="L201" r:id="rId4" xr:uid="{00000000-0004-0000-0100-000003000000}"/>
    <hyperlink ref="L208" r:id="rId5" xr:uid="{00000000-0004-0000-0100-000004000000}"/>
    <hyperlink ref="L212" r:id="rId6" xr:uid="{00000000-0004-0000-0100-000005000000}"/>
    <hyperlink ref="L210" r:id="rId7" xr:uid="{00000000-0004-0000-0100-000006000000}"/>
    <hyperlink ref="L207" r:id="rId8" xr:uid="{00000000-0004-0000-0100-000007000000}"/>
    <hyperlink ref="L215" r:id="rId9" xr:uid="{00000000-0004-0000-0100-000008000000}"/>
    <hyperlink ref="L204" r:id="rId10" xr:uid="{00000000-0004-0000-0100-000009000000}"/>
    <hyperlink ref="L203" r:id="rId11" xr:uid="{00000000-0004-0000-0100-00000A000000}"/>
    <hyperlink ref="L209" r:id="rId12" xr:uid="{00000000-0004-0000-0100-00000B000000}"/>
    <hyperlink ref="L108" r:id="rId13" xr:uid="{00000000-0004-0000-0100-00000C000000}"/>
    <hyperlink ref="L117" r:id="rId14" xr:uid="{00000000-0004-0000-0100-00000D000000}"/>
    <hyperlink ref="L188" r:id="rId15" xr:uid="{00000000-0004-0000-0100-00000E000000}"/>
    <hyperlink ref="L195" r:id="rId16" xr:uid="{00000000-0004-0000-0100-00000F000000}"/>
    <hyperlink ref="L198" r:id="rId17" xr:uid="{00000000-0004-0000-0100-000010000000}"/>
    <hyperlink ref="L190" r:id="rId18" xr:uid="{00000000-0004-0000-0100-000011000000}"/>
    <hyperlink ref="L194" r:id="rId19" xr:uid="{00000000-0004-0000-0100-000012000000}"/>
    <hyperlink ref="L197" r:id="rId20" xr:uid="{00000000-0004-0000-0100-000013000000}"/>
    <hyperlink ref="L192" r:id="rId21" xr:uid="{00000000-0004-0000-0100-000014000000}"/>
    <hyperlink ref="L189" r:id="rId22" xr:uid="{00000000-0004-0000-0100-000015000000}"/>
    <hyperlink ref="L200" r:id="rId23" xr:uid="{00000000-0004-0000-0100-000016000000}"/>
    <hyperlink ref="L222" r:id="rId24" xr:uid="{00000000-0004-0000-0100-000017000000}"/>
    <hyperlink ref="L220" r:id="rId25" xr:uid="{00000000-0004-0000-0100-000018000000}"/>
    <hyperlink ref="L227" r:id="rId26" xr:uid="{00000000-0004-0000-0100-000019000000}"/>
    <hyperlink ref="L219" r:id="rId27" xr:uid="{00000000-0004-0000-0100-00001A000000}"/>
    <hyperlink ref="L229" r:id="rId28" xr:uid="{00000000-0004-0000-0100-00001B000000}"/>
    <hyperlink ref="L231" r:id="rId29" xr:uid="{00000000-0004-0000-0100-00001C000000}"/>
    <hyperlink ref="L232" r:id="rId30" xr:uid="{00000000-0004-0000-0100-00001D000000}"/>
    <hyperlink ref="L239" r:id="rId31" xr:uid="{00000000-0004-0000-0100-00001E000000}"/>
    <hyperlink ref="L233" r:id="rId32" xr:uid="{00000000-0004-0000-0100-00001F000000}"/>
    <hyperlink ref="L242" r:id="rId33" xr:uid="{00000000-0004-0000-0100-000020000000}"/>
    <hyperlink ref="L223" r:id="rId34" xr:uid="{00000000-0004-0000-0100-000021000000}"/>
    <hyperlink ref="L243" r:id="rId35" xr:uid="{00000000-0004-0000-0100-000022000000}"/>
    <hyperlink ref="L235" r:id="rId36" xr:uid="{00000000-0004-0000-0100-000023000000}"/>
    <hyperlink ref="L234" r:id="rId37" xr:uid="{00000000-0004-0000-0100-000024000000}"/>
    <hyperlink ref="L238" r:id="rId38" xr:uid="{00000000-0004-0000-0100-000025000000}"/>
    <hyperlink ref="L237" r:id="rId39" xr:uid="{00000000-0004-0000-0100-000026000000}"/>
    <hyperlink ref="L230" r:id="rId40" xr:uid="{00000000-0004-0000-0100-000027000000}"/>
    <hyperlink ref="L244" r:id="rId41" xr:uid="{00000000-0004-0000-0100-000028000000}"/>
    <hyperlink ref="L228" r:id="rId42" xr:uid="{00000000-0004-0000-0100-000029000000}"/>
    <hyperlink ref="L221" r:id="rId43" xr:uid="{00000000-0004-0000-0100-00002A000000}"/>
    <hyperlink ref="L217" r:id="rId44" xr:uid="{00000000-0004-0000-0100-00002B000000}"/>
    <hyperlink ref="L218" r:id="rId45" xr:uid="{00000000-0004-0000-0100-00002C000000}"/>
    <hyperlink ref="L167" r:id="rId46" xr:uid="{00000000-0004-0000-0100-00002D000000}"/>
    <hyperlink ref="L164" r:id="rId47" xr:uid="{00000000-0004-0000-0100-00002E000000}"/>
    <hyperlink ref="L171" r:id="rId48" xr:uid="{00000000-0004-0000-0100-00002F000000}"/>
    <hyperlink ref="L161" r:id="rId49" xr:uid="{00000000-0004-0000-0100-000030000000}"/>
    <hyperlink ref="L170" r:id="rId50" xr:uid="{00000000-0004-0000-0100-000031000000}"/>
    <hyperlink ref="L166" r:id="rId51" xr:uid="{00000000-0004-0000-0100-000032000000}"/>
    <hyperlink ref="L172" r:id="rId52" xr:uid="{00000000-0004-0000-0100-000033000000}"/>
    <hyperlink ref="L169" r:id="rId53" xr:uid="{00000000-0004-0000-0100-000034000000}"/>
    <hyperlink ref="L184" r:id="rId54" xr:uid="{00000000-0004-0000-0100-000035000000}"/>
    <hyperlink ref="L175" r:id="rId55" xr:uid="{00000000-0004-0000-0100-000036000000}"/>
    <hyperlink ref="L173" r:id="rId56" xr:uid="{00000000-0004-0000-0100-000037000000}"/>
    <hyperlink ref="L163" r:id="rId57" xr:uid="{00000000-0004-0000-0100-000038000000}"/>
    <hyperlink ref="L178" r:id="rId58" xr:uid="{00000000-0004-0000-0100-000039000000}"/>
    <hyperlink ref="L177" r:id="rId59" xr:uid="{00000000-0004-0000-0100-00003A000000}"/>
    <hyperlink ref="L182" r:id="rId60" xr:uid="{00000000-0004-0000-0100-00003B000000}"/>
    <hyperlink ref="L187" r:id="rId61" xr:uid="{00000000-0004-0000-0100-00003C000000}"/>
    <hyperlink ref="L127" r:id="rId62" xr:uid="{00000000-0004-0000-0100-00003D000000}"/>
    <hyperlink ref="L135" r:id="rId63" xr:uid="{00000000-0004-0000-0100-00003E000000}"/>
    <hyperlink ref="L144" r:id="rId64" xr:uid="{00000000-0004-0000-0100-00003F000000}"/>
    <hyperlink ref="L138" r:id="rId65" xr:uid="{00000000-0004-0000-0100-000040000000}"/>
    <hyperlink ref="L157" r:id="rId66" xr:uid="{00000000-0004-0000-0100-000041000000}"/>
    <hyperlink ref="L128" r:id="rId67" xr:uid="{00000000-0004-0000-0100-000042000000}"/>
    <hyperlink ref="L143" r:id="rId68" xr:uid="{00000000-0004-0000-0100-000043000000}"/>
    <hyperlink ref="L150" r:id="rId69" xr:uid="{00000000-0004-0000-0100-000044000000}"/>
    <hyperlink ref="L141" r:id="rId70" xr:uid="{00000000-0004-0000-0100-000045000000}"/>
    <hyperlink ref="L149" r:id="rId71" xr:uid="{00000000-0004-0000-0100-000046000000}"/>
    <hyperlink ref="L130" r:id="rId72" xr:uid="{00000000-0004-0000-0100-000047000000}"/>
    <hyperlink ref="L153" r:id="rId73" xr:uid="{00000000-0004-0000-0100-000048000000}"/>
    <hyperlink ref="L152" r:id="rId74" xr:uid="{00000000-0004-0000-0100-000049000000}"/>
    <hyperlink ref="L151" r:id="rId75" xr:uid="{00000000-0004-0000-0100-00004A000000}"/>
    <hyperlink ref="L136" r:id="rId76" xr:uid="{00000000-0004-0000-0100-00004B000000}"/>
    <hyperlink ref="L129" r:id="rId77" xr:uid="{00000000-0004-0000-0100-00004C000000}"/>
    <hyperlink ref="L121" r:id="rId78" xr:uid="{00000000-0004-0000-0100-00004D000000}"/>
    <hyperlink ref="L148" r:id="rId79" xr:uid="{00000000-0004-0000-0100-00004E000000}"/>
    <hyperlink ref="L113" r:id="rId80" xr:uid="{00000000-0004-0000-0100-00004F000000}"/>
    <hyperlink ref="L84" r:id="rId81" tooltip="http://static.cninfo.com.cn/finalpage/2021-11-18/1211615302.PDF" xr:uid="{00000000-0004-0000-0100-000050000000}"/>
    <hyperlink ref="L86" r:id="rId82" tooltip="http://static.cninfo.com.cn/finalpage/2021-11-12/1211561916.PDF" xr:uid="{00000000-0004-0000-0100-000051000000}"/>
    <hyperlink ref="L90" r:id="rId83" tooltip="http://static.cninfo.com.cn/finalpage/2021-11-05/1211493131.PDF" xr:uid="{00000000-0004-0000-0100-000052000000}"/>
    <hyperlink ref="L93" r:id="rId84" tooltip="http://static.cninfo.com.cn/finalpage/2021-11-03/1211468067.PDF" xr:uid="{00000000-0004-0000-0100-000053000000}"/>
    <hyperlink ref="L87" r:id="rId85" xr:uid="{00000000-0004-0000-0100-000054000000}"/>
    <hyperlink ref="L99" r:id="rId86" tooltip="http://static.cninfo.com.cn/finalpage/2021-10-19/1211316922.PDF" xr:uid="{00000000-0004-0000-0100-000055000000}"/>
    <hyperlink ref="L103" r:id="rId87" xr:uid="{00000000-0004-0000-0100-000056000000}"/>
    <hyperlink ref="L91" r:id="rId88" tooltip="http://static.cninfo.com.cn/finalpage/2021-09-22/1211097208.PDF" xr:uid="{00000000-0004-0000-0100-000057000000}"/>
    <hyperlink ref="L95" r:id="rId89" tooltip="http://static.sse.com.cn/disclosure/listedinfo/announcement/c/new/2021-12-21/600112_20211221_1_8GNSKZub.pdf" xr:uid="{00000000-0004-0000-0100-000058000000}"/>
    <hyperlink ref="L97" r:id="rId90" tooltip="http://static.cninfo.com.cn/finalpage/2021-07-30/1210616239.PDF" xr:uid="{00000000-0004-0000-0100-000059000000}"/>
    <hyperlink ref="L100" r:id="rId91" xr:uid="{00000000-0004-0000-0100-00005A000000}"/>
    <hyperlink ref="L101" r:id="rId92" xr:uid="{00000000-0004-0000-0100-00005B000000}"/>
    <hyperlink ref="L106" r:id="rId93" xr:uid="{00000000-0004-0000-0100-00005C000000}"/>
    <hyperlink ref="L96" r:id="rId94" tooltip="http://static.cninfo.com.cn/finalpage/2021-08-24/1210827780.PDF" xr:uid="{00000000-0004-0000-0100-00005D000000}"/>
    <hyperlink ref="L118" r:id="rId95" xr:uid="{00000000-0004-0000-0100-00005E000000}"/>
    <hyperlink ref="L110" r:id="rId96" xr:uid="{00000000-0004-0000-0100-00005F000000}"/>
    <hyperlink ref="L111" r:id="rId97" xr:uid="{00000000-0004-0000-0100-000060000000}"/>
    <hyperlink ref="L120" r:id="rId98" xr:uid="{00000000-0004-0000-0100-000061000000}"/>
    <hyperlink ref="L89" r:id="rId99" tooltip="http://static.cninfo.com.cn/finalpage/2021-10-23/1211363452.PDF" xr:uid="{00000000-0004-0000-0100-000062000000}"/>
    <hyperlink ref="L78" r:id="rId100" tooltip="http://static.sse.com.cn/disclosure/listedinfo/announcement/c/new/2021-12-24/603009_20211224_1_myrV8P3M.pdf" xr:uid="{00000000-0004-0000-0100-000063000000}"/>
    <hyperlink ref="L79" r:id="rId101" tooltip="http://static.sse.com.cn/disclosure/listedinfo/announcement/c/new/2021-12-24/600382_20211224_1_Tmw0tdu7.pdf" xr:uid="{00000000-0004-0000-0100-000064000000}"/>
    <hyperlink ref="L109" r:id="rId102" xr:uid="{00000000-0004-0000-0100-000065000000}"/>
    <hyperlink ref="L112" r:id="rId103" xr:uid="{00000000-0004-0000-0100-000066000000}"/>
    <hyperlink ref="L115" r:id="rId104" xr:uid="{00000000-0004-0000-0100-000067000000}"/>
    <hyperlink ref="L119" r:id="rId105" xr:uid="{00000000-0004-0000-0100-000068000000}"/>
    <hyperlink ref="L82" r:id="rId106" xr:uid="{00000000-0004-0000-0100-000069000000}"/>
    <hyperlink ref="L77" r:id="rId107" xr:uid="{00000000-0004-0000-0100-00006A000000}"/>
    <hyperlink ref="L81" r:id="rId108" xr:uid="{00000000-0004-0000-0100-00006B000000}"/>
    <hyperlink ref="L83" r:id="rId109" xr:uid="{00000000-0004-0000-0100-00006C000000}"/>
    <hyperlink ref="L98" r:id="rId110" xr:uid="{00000000-0004-0000-0100-00006D000000}"/>
    <hyperlink ref="L107" r:id="rId111" xr:uid="{00000000-0004-0000-0100-00006E000000}"/>
    <hyperlink ref="L80" r:id="rId112" xr:uid="{00000000-0004-0000-0100-00006F000000}"/>
    <hyperlink ref="L266" r:id="rId113" tooltip="http://www.csrc.gov.cn/csrc/c101928/c1043107/content.shtml" xr:uid="{00000000-0004-0000-0100-000070000000}"/>
    <hyperlink ref="L295" r:id="rId114" tooltip="http://www.csrc.gov.cn/csrc/c101928/c1043289/content.shtml" xr:uid="{00000000-0004-0000-0100-000071000000}"/>
    <hyperlink ref="L297" r:id="rId115" tooltip="http://www.csrc.gov.cn/csrc/c101928/c1043316/content.shtml" xr:uid="{00000000-0004-0000-0100-000072000000}"/>
    <hyperlink ref="L296" r:id="rId116" tooltip="http://www.csrc.gov.cn/csrc/c101928/c1043317/content.shtml" xr:uid="{00000000-0004-0000-0100-000073000000}"/>
    <hyperlink ref="L298" r:id="rId117" tooltip="http://www.csrc.gov.cn/csrc/c101928/c1043321/content.shtml" xr:uid="{00000000-0004-0000-0100-000074000000}"/>
    <hyperlink ref="L253" r:id="rId118" tooltip="http://www.csrc.gov.cn/csrc/c101928/c1042987/content.shtml" xr:uid="{00000000-0004-0000-0100-000075000000}"/>
    <hyperlink ref="L254" r:id="rId119" tooltip="http://www.csrc.gov.cn/csrc/c101928/c1042990/content.shtml" xr:uid="{00000000-0004-0000-0100-000076000000}"/>
    <hyperlink ref="L255" r:id="rId120" tooltip="http://www.csrc.gov.cn/csrc/c101928/c1042997/content.shtml" xr:uid="{00000000-0004-0000-0100-000077000000}"/>
    <hyperlink ref="L256" r:id="rId121" tooltip="http://www.csrc.gov.cn/csrc/c101928/c1042991/content.shtml" xr:uid="{00000000-0004-0000-0100-000078000000}"/>
    <hyperlink ref="L257" r:id="rId122" tooltip="http://www.csrc.gov.cn/csrc/c101928/c1043003/content.shtml" xr:uid="{00000000-0004-0000-0100-000079000000}"/>
    <hyperlink ref="L258" r:id="rId123" tooltip="http://www.csrc.gov.cn/csrc/c101928/c1043009/content.shtml" xr:uid="{00000000-0004-0000-0100-00007A000000}"/>
    <hyperlink ref="L261" r:id="rId124" tooltip="http://www.csrc.gov.cn/csrc/c101928/c1043033/content.shtml" xr:uid="{00000000-0004-0000-0100-00007B000000}"/>
    <hyperlink ref="L262" r:id="rId125" tooltip="http://www.csrc.gov.cn/csrc/c101928/c1043040/content.shtml" xr:uid="{00000000-0004-0000-0100-00007C000000}"/>
    <hyperlink ref="L280" r:id="rId126" xr:uid="{00000000-0004-0000-0100-00007D000000}"/>
    <hyperlink ref="L259" r:id="rId127" tooltip="http://www.csrc.gov.cn/csrc/c101928/c1043015/content.shtml" xr:uid="{00000000-0004-0000-0100-00007E000000}"/>
    <hyperlink ref="L260" r:id="rId128" tooltip="http://www.csrc.gov.cn/csrc/c101928/c1043017/content.shtml" xr:uid="{00000000-0004-0000-0100-00007F000000}"/>
    <hyperlink ref="L265" r:id="rId129" tooltip="http://www.csrc.gov.cn/csrc/c101928/c1043099/content.shtml" xr:uid="{00000000-0004-0000-0100-000080000000}"/>
    <hyperlink ref="L264" r:id="rId130" xr:uid="{00000000-0004-0000-0100-000081000000}"/>
    <hyperlink ref="L274" r:id="rId131" xr:uid="{00000000-0004-0000-0100-000082000000}"/>
    <hyperlink ref="L279" r:id="rId132" xr:uid="{00000000-0004-0000-0100-000083000000}"/>
    <hyperlink ref="L270" r:id="rId133" xr:uid="{00000000-0004-0000-0100-000084000000}"/>
    <hyperlink ref="L267" r:id="rId134" xr:uid="{00000000-0004-0000-0100-000085000000}"/>
    <hyperlink ref="L269" r:id="rId135" xr:uid="{00000000-0004-0000-0100-000086000000}"/>
    <hyperlink ref="L272" r:id="rId136" xr:uid="{00000000-0004-0000-0100-000087000000}"/>
    <hyperlink ref="L276" r:id="rId137" xr:uid="{00000000-0004-0000-0100-000088000000}"/>
    <hyperlink ref="L283" r:id="rId138" xr:uid="{00000000-0004-0000-0100-000089000000}"/>
    <hyperlink ref="L147" r:id="rId139" xr:uid="{00000000-0004-0000-0100-00008A000000}"/>
    <hyperlink ref="L146" r:id="rId140" xr:uid="{00000000-0004-0000-0100-00008B000000}"/>
    <hyperlink ref="L299" r:id="rId141" xr:uid="{00000000-0004-0000-0100-00008C000000}"/>
    <hyperlink ref="L300" r:id="rId142" xr:uid="{00000000-0004-0000-0100-00008D000000}"/>
    <hyperlink ref="L294" r:id="rId143" xr:uid="{00000000-0004-0000-0100-00008E000000}"/>
    <hyperlink ref="L293" r:id="rId144" xr:uid="{00000000-0004-0000-0100-00008F000000}"/>
    <hyperlink ref="L288" r:id="rId145" xr:uid="{00000000-0004-0000-0100-000090000000}"/>
    <hyperlink ref="L289" r:id="rId146" xr:uid="{00000000-0004-0000-0100-000091000000}"/>
    <hyperlink ref="L291" r:id="rId147" xr:uid="{00000000-0004-0000-0100-000092000000}"/>
    <hyperlink ref="L292" r:id="rId148" xr:uid="{00000000-0004-0000-0100-000093000000}"/>
    <hyperlink ref="L287" r:id="rId149" xr:uid="{00000000-0004-0000-0100-000094000000}"/>
    <hyperlink ref="L286" r:id="rId150" xr:uid="{00000000-0004-0000-0100-000095000000}"/>
    <hyperlink ref="L290" r:id="rId151" xr:uid="{00000000-0004-0000-0100-000096000000}"/>
    <hyperlink ref="L284" r:id="rId152" xr:uid="{00000000-0004-0000-0100-000097000000}"/>
    <hyperlink ref="L285" r:id="rId153" xr:uid="{00000000-0004-0000-0100-000098000000}"/>
    <hyperlink ref="L282" r:id="rId154" xr:uid="{00000000-0004-0000-0100-000099000000}"/>
    <hyperlink ref="L281" r:id="rId155" xr:uid="{00000000-0004-0000-0100-00009A000000}"/>
    <hyperlink ref="L278" r:id="rId156" xr:uid="{00000000-0004-0000-0100-00009B000000}"/>
    <hyperlink ref="L275" r:id="rId157" xr:uid="{00000000-0004-0000-0100-00009C000000}"/>
    <hyperlink ref="L273" r:id="rId158" xr:uid="{00000000-0004-0000-0100-00009D000000}"/>
    <hyperlink ref="L271" r:id="rId159" xr:uid="{00000000-0004-0000-0100-00009E000000}"/>
    <hyperlink ref="L268" r:id="rId160" xr:uid="{00000000-0004-0000-0100-00009F000000}"/>
    <hyperlink ref="L263" r:id="rId161" xr:uid="{00000000-0004-0000-0100-0000A0000000}"/>
    <hyperlink ref="L250" r:id="rId162" xr:uid="{00000000-0004-0000-0100-0000A1000000}"/>
    <hyperlink ref="L62" r:id="rId163" xr:uid="{00000000-0004-0000-0100-0000A2000000}"/>
    <hyperlink ref="L63" r:id="rId164" xr:uid="{00000000-0004-0000-0100-0000A3000000}"/>
    <hyperlink ref="L64" r:id="rId165" xr:uid="{00000000-0004-0000-0100-0000A4000000}"/>
    <hyperlink ref="L66" r:id="rId166" xr:uid="{00000000-0004-0000-0100-0000A5000000}"/>
    <hyperlink ref="L69" r:id="rId167" xr:uid="{00000000-0004-0000-0100-0000A6000000}"/>
    <hyperlink ref="L65" r:id="rId168" xr:uid="{00000000-0004-0000-0100-0000A7000000}"/>
    <hyperlink ref="L67" r:id="rId169" xr:uid="{00000000-0004-0000-0100-0000A8000000}"/>
    <hyperlink ref="L61" r:id="rId170" xr:uid="{00000000-0004-0000-0100-0000A9000000}"/>
    <hyperlink ref="L60" r:id="rId171" xr:uid="{00000000-0004-0000-0100-0000AA000000}"/>
    <hyperlink ref="L73" r:id="rId172" xr:uid="{00000000-0004-0000-0100-0000AB000000}"/>
    <hyperlink ref="L74" r:id="rId173" xr:uid="{00000000-0004-0000-0100-0000AC000000}"/>
    <hyperlink ref="L68" r:id="rId174" xr:uid="{00000000-0004-0000-0100-0000AD000000}"/>
    <hyperlink ref="L41" r:id="rId175" tooltip="http://www.szse.cn/disclosure/listed/bulletinDetail/index.html?9031ee95-5744-411a-8b1c-fcb58500aee8" xr:uid="{00000000-0004-0000-0100-0000AE000000}"/>
    <hyperlink ref="L40" r:id="rId176" tooltip="http://static.sse.com.cn/disclosure/listedinfo/announcement/c/new/2022-11-24/600532_20221124_SMTD.pdf" xr:uid="{00000000-0004-0000-0100-0000AF000000}"/>
    <hyperlink ref="L42" r:id="rId177" tooltip="http://www.sse.com.cn/disclosure/listedinfo/announcement/c/new/2022-11-21/600310_20221121_QXSH.pdf" xr:uid="{00000000-0004-0000-0100-0000B0000000}"/>
    <hyperlink ref="L47" r:id="rId178" tooltip="http://www.szse.cn/disclosure/listed/bulletinDetail/index.html?698be3d2-bc78-41d3-aab3-555d1ee8f77b" xr:uid="{00000000-0004-0000-0100-0000B1000000}"/>
    <hyperlink ref="L45" r:id="rId179" tooltip="http://www.szse.cn/disclosure/listed/bulletinDetail/index.html?4e7f1209-f522-4dce-aa5a-b9dff22f5cee" xr:uid="{00000000-0004-0000-0100-0000B2000000}"/>
    <hyperlink ref="L59" r:id="rId180" tooltip="http://www.szse.cn/disclosure/listed/bulletinDetail/index.html?b5cc9c5a-a819-4dc3-8f0b-2c0dadec335a" xr:uid="{00000000-0004-0000-0100-0000B3000000}"/>
    <hyperlink ref="L57" r:id="rId181" tooltip="http://www.szse.cn/disclosure/listed/bulletinDetail/index.html?ffed0736-255d-4573-b2e0-7625eb7696e8" xr:uid="{00000000-0004-0000-0100-0000B4000000}"/>
    <hyperlink ref="L54" r:id="rId182" tooltip="http://www.szse.cn/disclosure/listed/bulletinDetail/index.html?b937f097-abe5-47da-9dd6-b1e369684398" xr:uid="{00000000-0004-0000-0100-0000B5000000}"/>
    <hyperlink ref="L55" r:id="rId183" tooltip="http://www.szse.cn/disclosure/listed/bulletinDetail/index.html?9ead8a55-9007-467a-85a8-ebe3d067998c" xr:uid="{00000000-0004-0000-0100-0000B6000000}"/>
    <hyperlink ref="L49" r:id="rId184" tooltip="http://www.szse.cn/disclosure/listed/bulletinDetail/index.html?9cafbf2e-d050-4bde-ae3f-0c5f11ae417a" xr:uid="{00000000-0004-0000-0100-0000B7000000}"/>
    <hyperlink ref="L58" r:id="rId185" tooltip="http://static.sse.com.cn/disclosure/listedinfo/announcement/c/new/2022-08-11/600221_20220811_2_aVRYecAM.pdf" xr:uid="{00000000-0004-0000-0100-0000B8000000}"/>
    <hyperlink ref="L56" r:id="rId186" tooltip="http://static.sse.com.cn/disclosure/listedinfo/announcement/c/new/2022-08-25/600515_20220825_6_NJQGN41v.pdf" xr:uid="{00000000-0004-0000-0100-0000B9000000}"/>
    <hyperlink ref="L53" r:id="rId187" tooltip="http://static.sse.com.cn/disclosure/listedinfo/announcement/c/new/2022-09-06/600387_20220906_1_vCcTpuPs.pdf" xr:uid="{00000000-0004-0000-0100-0000BA000000}"/>
    <hyperlink ref="L39" r:id="rId188" tooltip="http://www.szse.cn/disclosure/listed/bulletinDetail/index.html?3dfec14a-4f40-407a-b608-708789fb6226=" xr:uid="{00000000-0004-0000-0100-0000BB000000}"/>
    <hyperlink ref="L37" r:id="rId189" xr:uid="{00000000-0004-0000-0100-0000BC000000}"/>
    <hyperlink ref="L36" r:id="rId190" xr:uid="{00000000-0004-0000-0100-0000BD000000}"/>
    <hyperlink ref="L35" r:id="rId191" xr:uid="{00000000-0004-0000-0100-0000BE000000}"/>
    <hyperlink ref="L33" r:id="rId192" xr:uid="{00000000-0004-0000-0100-0000BF000000}"/>
    <hyperlink ref="L34" r:id="rId193" xr:uid="{00000000-0004-0000-0100-0000C0000000}"/>
    <hyperlink ref="L31" r:id="rId194" xr:uid="{00000000-0004-0000-0100-0000C1000000}"/>
    <hyperlink ref="L32" r:id="rId195" xr:uid="{00000000-0004-0000-0100-0000C2000000}"/>
    <hyperlink ref="L104" r:id="rId196" xr:uid="{00000000-0004-0000-0100-0000C3000000}"/>
    <hyperlink ref="L85" r:id="rId197" xr:uid="{00000000-0004-0000-0100-0000C4000000}"/>
    <hyperlink ref="L105" r:id="rId198" xr:uid="{00000000-0004-0000-0100-0000C5000000}"/>
    <hyperlink ref="L88" r:id="rId199" xr:uid="{00000000-0004-0000-0100-0000C6000000}"/>
    <hyperlink ref="L134" r:id="rId200" xr:uid="{00000000-0004-0000-0100-0000C7000000}"/>
    <hyperlink ref="L116" r:id="rId201" xr:uid="{00000000-0004-0000-0100-0000C8000000}"/>
    <hyperlink ref="L92" r:id="rId202" xr:uid="{00000000-0004-0000-0100-0000C9000000}"/>
    <hyperlink ref="L114" r:id="rId203" xr:uid="{00000000-0004-0000-0100-0000CA000000}"/>
    <hyperlink ref="L131" r:id="rId204" xr:uid="{00000000-0004-0000-0100-0000CB000000}"/>
    <hyperlink ref="L102" r:id="rId205" xr:uid="{00000000-0004-0000-0100-0000CC000000}"/>
    <hyperlink ref="L124" r:id="rId206" xr:uid="{00000000-0004-0000-0100-0000CD000000}"/>
    <hyperlink ref="L154" r:id="rId207" tooltip="http://www.szse.cn/disclosure/listed/bulletinDetail/index.html?7f0b1e41-2e80-45ff-8789-5dd321fbba8b" xr:uid="{00000000-0004-0000-0100-0000CE000000}"/>
    <hyperlink ref="L133" r:id="rId208" xr:uid="{00000000-0004-0000-0100-0000CF000000}"/>
    <hyperlink ref="L155" r:id="rId209" xr:uid="{00000000-0004-0000-0100-0000D0000000}"/>
    <hyperlink ref="L176" r:id="rId210" xr:uid="{00000000-0004-0000-0100-0000D1000000}"/>
    <hyperlink ref="L181" r:id="rId211" xr:uid="{00000000-0004-0000-0100-0000D2000000}"/>
    <hyperlink ref="L179" r:id="rId212" xr:uid="{00000000-0004-0000-0100-0000D3000000}"/>
    <hyperlink ref="L180" r:id="rId213" tooltip="http://www.cninfo.com.cn/new/disclosure/detail?plate=szse&amp;orgId=9900002421&amp;stockCode=002122&amp;announcementId=1207067395&amp;announcementTime=2019-11-06" xr:uid="{00000000-0004-0000-0100-0000D4000000}"/>
    <hyperlink ref="L162" r:id="rId214" xr:uid="{00000000-0004-0000-0100-0000D5000000}"/>
    <hyperlink ref="L140" r:id="rId215" xr:uid="{00000000-0004-0000-0100-0000D6000000}"/>
    <hyperlink ref="L76" r:id="rId216" xr:uid="{00000000-0004-0000-0100-0000D7000000}"/>
    <hyperlink ref="L94" r:id="rId217" xr:uid="{00000000-0004-0000-0100-0000D8000000}"/>
    <hyperlink ref="L52" r:id="rId218" xr:uid="{00000000-0004-0000-0100-0000D9000000}"/>
    <hyperlink ref="L48" r:id="rId219" xr:uid="{00000000-0004-0000-0100-0000DA000000}"/>
    <hyperlink ref="L44" r:id="rId220" xr:uid="{00000000-0004-0000-0100-0000DB000000}"/>
    <hyperlink ref="L38" r:id="rId221" xr:uid="{00000000-0004-0000-0100-0000DC000000}"/>
    <hyperlink ref="L46" r:id="rId222" xr:uid="{00000000-0004-0000-0100-0000DD000000}"/>
    <hyperlink ref="BU52" r:id="rId223" xr:uid="{00000000-0004-0000-0100-0000DE000000}"/>
    <hyperlink ref="BU44" r:id="rId224" xr:uid="{00000000-0004-0000-0100-0000DF000000}"/>
    <hyperlink ref="BU43" r:id="rId225" xr:uid="{00000000-0004-0000-0100-0000E0000000}"/>
    <hyperlink ref="BU51" r:id="rId226" xr:uid="{00000000-0004-0000-0100-0000E1000000}"/>
    <hyperlink ref="L277" r:id="rId227" xr:uid="{00000000-0004-0000-0100-0000E2000000}"/>
    <hyperlink ref="L30" r:id="rId228" xr:uid="{00000000-0004-0000-0100-0000E3000000}"/>
    <hyperlink ref="L125" r:id="rId229" xr:uid="{00000000-0004-0000-0100-0000E4000000}"/>
    <hyperlink ref="L71" r:id="rId230" xr:uid="{00000000-0004-0000-0100-0000E5000000}"/>
    <hyperlink ref="L145" r:id="rId231" xr:uid="{00000000-0004-0000-0100-0000E6000000}"/>
    <hyperlink ref="L122" r:id="rId232" xr:uid="{00000000-0004-0000-0100-0000E7000000}"/>
    <hyperlink ref="L126" r:id="rId233" xr:uid="{00000000-0004-0000-0100-0000E8000000}"/>
    <hyperlink ref="L139" r:id="rId234" xr:uid="{00000000-0004-0000-0100-0000E9000000}"/>
    <hyperlink ref="L156" r:id="rId235" xr:uid="{00000000-0004-0000-0100-0000EA000000}"/>
    <hyperlink ref="L158" r:id="rId236" xr:uid="{00000000-0004-0000-0100-0000EB000000}"/>
    <hyperlink ref="L142" r:id="rId237" xr:uid="{00000000-0004-0000-0100-0000EC000000}"/>
    <hyperlink ref="L137" r:id="rId238" xr:uid="{00000000-0004-0000-0100-0000ED000000}"/>
    <hyperlink ref="L123" r:id="rId239" xr:uid="{00000000-0004-0000-0100-0000EE000000}"/>
    <hyperlink ref="L159" r:id="rId240" xr:uid="{00000000-0004-0000-0100-0000EF000000}"/>
    <hyperlink ref="L185" r:id="rId241" xr:uid="{00000000-0004-0000-0100-0000F0000000}"/>
    <hyperlink ref="L165" r:id="rId242" xr:uid="{00000000-0004-0000-0100-0000F1000000}"/>
    <hyperlink ref="L174" r:id="rId243" xr:uid="{00000000-0004-0000-0100-0000F2000000}"/>
    <hyperlink ref="L183" r:id="rId244" xr:uid="{00000000-0004-0000-0100-0000F3000000}"/>
    <hyperlink ref="L186" r:id="rId245" xr:uid="{00000000-0004-0000-0100-0000F4000000}"/>
    <hyperlink ref="L160" r:id="rId246" xr:uid="{00000000-0004-0000-0100-0000F5000000}"/>
    <hyperlink ref="L193" r:id="rId247" xr:uid="{00000000-0004-0000-0100-0000F6000000}"/>
    <hyperlink ref="L236" r:id="rId248" xr:uid="{00000000-0004-0000-0100-0000F7000000}"/>
    <hyperlink ref="L249" r:id="rId249" xr:uid="{00000000-0004-0000-0100-0000F8000000}"/>
    <hyperlink ref="L248" r:id="rId250" xr:uid="{00000000-0004-0000-0100-0000F9000000}"/>
    <hyperlink ref="L247" r:id="rId251" xr:uid="{00000000-0004-0000-0100-0000FA000000}"/>
    <hyperlink ref="L246" r:id="rId252" xr:uid="{00000000-0004-0000-0100-0000FB000000}"/>
    <hyperlink ref="L241" r:id="rId253" xr:uid="{00000000-0004-0000-0100-0000FC000000}"/>
    <hyperlink ref="L251" r:id="rId254" xr:uid="{00000000-0004-0000-0100-0000FD000000}"/>
    <hyperlink ref="L252" r:id="rId255" xr:uid="{00000000-0004-0000-0100-0000FE000000}"/>
    <hyperlink ref="L245" r:id="rId256" xr:uid="{00000000-0004-0000-0100-0000FF000000}"/>
    <hyperlink ref="L196" r:id="rId257" xr:uid="{00000000-0004-0000-0100-000000010000}"/>
    <hyperlink ref="L132" r:id="rId258" xr:uid="{00000000-0004-0000-0100-000001010000}"/>
    <hyperlink ref="L28" r:id="rId259" xr:uid="{00000000-0004-0000-0100-000002010000}"/>
    <hyperlink ref="L27" r:id="rId260" xr:uid="{00000000-0004-0000-0100-000003010000}"/>
    <hyperlink ref="L26" r:id="rId261" xr:uid="{00000000-0004-0000-0100-000004010000}"/>
    <hyperlink ref="L25" r:id="rId262" xr:uid="{00000000-0004-0000-0100-000005010000}"/>
    <hyperlink ref="L29" r:id="rId263" xr:uid="{00000000-0004-0000-0100-000006010000}"/>
    <hyperlink ref="L21" r:id="rId264" xr:uid="{00000000-0004-0000-0100-000007010000}"/>
    <hyperlink ref="L18" r:id="rId265" xr:uid="{00000000-0004-0000-0100-000008010000}"/>
    <hyperlink ref="L20" r:id="rId266" xr:uid="{00000000-0004-0000-0100-000009010000}"/>
    <hyperlink ref="L19" r:id="rId267" xr:uid="{00000000-0004-0000-0100-00000A010000}"/>
    <hyperlink ref="L24" r:id="rId268" xr:uid="{00000000-0004-0000-0100-00000B010000}"/>
    <hyperlink ref="L23" r:id="rId269" xr:uid="{00000000-0004-0000-0100-00000C010000}"/>
    <hyperlink ref="L22" r:id="rId270" xr:uid="{00000000-0004-0000-0100-00000D010000}"/>
    <hyperlink ref="L17" r:id="rId271" xr:uid="{00000000-0004-0000-0100-00000E010000}"/>
    <hyperlink ref="L16" r:id="rId272" xr:uid="{00000000-0004-0000-0100-00000F010000}"/>
    <hyperlink ref="L199" r:id="rId273" xr:uid="{00000000-0004-0000-0100-000010010000}"/>
    <hyperlink ref="L191" r:id="rId274" xr:uid="{00000000-0004-0000-0100-000011010000}"/>
    <hyperlink ref="L202" r:id="rId275" xr:uid="{00000000-0004-0000-0100-000012010000}"/>
    <hyperlink ref="L211" r:id="rId276" xr:uid="{00000000-0004-0000-0100-000013010000}"/>
    <hyperlink ref="L213" r:id="rId277" xr:uid="{00000000-0004-0000-0100-000014010000}"/>
    <hyperlink ref="L216" r:id="rId278" xr:uid="{00000000-0004-0000-0100-000015010000}"/>
    <hyperlink ref="L224" r:id="rId279" xr:uid="{00000000-0004-0000-0100-000016010000}"/>
    <hyperlink ref="L225" r:id="rId280" xr:uid="{00000000-0004-0000-0100-000017010000}"/>
    <hyperlink ref="L226" r:id="rId281" xr:uid="{00000000-0004-0000-0100-000018010000}"/>
    <hyperlink ref="L240" r:id="rId282" xr:uid="{00000000-0004-0000-0100-000019010000}"/>
    <hyperlink ref="L12" r:id="rId283" xr:uid="{00000000-0004-0000-0100-00001A010000}"/>
    <hyperlink ref="L11" r:id="rId284" xr:uid="{00000000-0004-0000-0100-00001B010000}"/>
    <hyperlink ref="L15" r:id="rId285" xr:uid="{00000000-0004-0000-0100-00001C010000}"/>
    <hyperlink ref="L14" r:id="rId286" xr:uid="{00000000-0004-0000-0100-00001D010000}"/>
    <hyperlink ref="L13" r:id="rId287" xr:uid="{00000000-0004-0000-0100-00001E010000}"/>
    <hyperlink ref="L6" r:id="rId288" xr:uid="{00000000-0004-0000-0100-00001F010000}"/>
    <hyperlink ref="L10" r:id="rId289" xr:uid="{06C233BE-7E40-444A-93C3-65A1B1F090D1}"/>
    <hyperlink ref="L8" r:id="rId290" xr:uid="{A8187AEC-CBE0-4931-9F0F-1916D6080064}"/>
    <hyperlink ref="L9" r:id="rId291" xr:uid="{21F9C4BD-E255-4FC4-814B-601B21B5BBE3}"/>
  </hyperlinks>
  <pageMargins left="0.69930555555555596" right="0.69930555555555596" top="0.75" bottom="0.75" header="0.3" footer="0.3"/>
  <pageSetup paperSize="9" orientation="portrait"/>
  <legacyDrawing r:id="rId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744D-BAA9-4F67-881D-12552A5FD2C5}">
  <dimension ref="A1"/>
  <sheetViews>
    <sheetView workbookViewId="0">
      <selection activeCell="A2" sqref="A2"/>
    </sheetView>
  </sheetViews>
  <sheetFormatPr defaultRowHeight="14.4" x14ac:dyDescent="0.25"/>
  <cols>
    <col min="1" max="1" width="11.6640625" bestFit="1" customWidth="1"/>
  </cols>
  <sheetData>
    <row r="1" spans="1:1" x14ac:dyDescent="0.25">
      <c r="A1">
        <f>(595989246.87+1444283514.95+777229329.99)/10000</f>
        <v>281750.20918100001</v>
      </c>
    </row>
  </sheetData>
  <phoneticPr fontId="24"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6"/>
  <sheetViews>
    <sheetView showGridLines="0" zoomScale="90" zoomScaleNormal="90" workbookViewId="0">
      <selection activeCell="D1" sqref="D1"/>
    </sheetView>
  </sheetViews>
  <sheetFormatPr defaultColWidth="9" defaultRowHeight="15.6" x14ac:dyDescent="0.25"/>
  <cols>
    <col min="1" max="1" width="61.5546875" style="1" customWidth="1"/>
    <col min="2" max="3" width="9" style="1"/>
    <col min="4" max="4" width="88.77734375" style="1" customWidth="1"/>
    <col min="5" max="16384" width="9" style="1"/>
  </cols>
  <sheetData>
    <row r="1" spans="1:4" ht="16.2" x14ac:dyDescent="0.25">
      <c r="A1" s="2" t="s">
        <v>2520</v>
      </c>
      <c r="D1" s="1" t="s">
        <v>2521</v>
      </c>
    </row>
    <row r="2" spans="1:4" x14ac:dyDescent="0.25">
      <c r="A2" s="3" t="s">
        <v>2522</v>
      </c>
      <c r="D2" s="4" t="s">
        <v>2523</v>
      </c>
    </row>
    <row r="3" spans="1:4" x14ac:dyDescent="0.25">
      <c r="A3" s="3" t="s">
        <v>2524</v>
      </c>
      <c r="D3" s="5" t="s">
        <v>2525</v>
      </c>
    </row>
    <row r="4" spans="1:4" x14ac:dyDescent="0.25">
      <c r="A4" s="3"/>
      <c r="D4" s="5" t="s">
        <v>2526</v>
      </c>
    </row>
    <row r="5" spans="1:4" x14ac:dyDescent="0.25">
      <c r="A5" s="3" t="s">
        <v>2527</v>
      </c>
      <c r="D5" s="6" t="s">
        <v>2528</v>
      </c>
    </row>
    <row r="6" spans="1:4" x14ac:dyDescent="0.25">
      <c r="A6" s="3" t="s">
        <v>2529</v>
      </c>
    </row>
    <row r="7" spans="1:4" x14ac:dyDescent="0.25">
      <c r="A7" s="3"/>
      <c r="D7" s="1" t="s">
        <v>2530</v>
      </c>
    </row>
    <row r="8" spans="1:4" x14ac:dyDescent="0.25">
      <c r="A8" s="3" t="s">
        <v>2531</v>
      </c>
      <c r="D8" s="1" t="s">
        <v>2532</v>
      </c>
    </row>
    <row r="9" spans="1:4" x14ac:dyDescent="0.25">
      <c r="A9" s="3" t="s">
        <v>2533</v>
      </c>
      <c r="D9" s="1" t="s">
        <v>2534</v>
      </c>
    </row>
    <row r="10" spans="1:4" x14ac:dyDescent="0.25">
      <c r="A10" s="3"/>
    </row>
    <row r="11" spans="1:4" ht="16.2" x14ac:dyDescent="0.25">
      <c r="A11" s="2" t="s">
        <v>2535</v>
      </c>
    </row>
    <row r="12" spans="1:4" ht="16.2" x14ac:dyDescent="0.25">
      <c r="A12" s="2" t="s">
        <v>2536</v>
      </c>
    </row>
    <row r="13" spans="1:4" ht="31.2" x14ac:dyDescent="0.25">
      <c r="A13" s="3" t="s">
        <v>2537</v>
      </c>
    </row>
    <row r="14" spans="1:4" x14ac:dyDescent="0.25">
      <c r="A14" s="3"/>
    </row>
    <row r="15" spans="1:4" ht="31.2" x14ac:dyDescent="0.25">
      <c r="A15" s="3" t="s">
        <v>2538</v>
      </c>
    </row>
    <row r="16" spans="1:4" x14ac:dyDescent="0.25">
      <c r="A16" s="3"/>
    </row>
    <row r="17" spans="1:1" ht="16.2" x14ac:dyDescent="0.25">
      <c r="A17" s="2" t="s">
        <v>2539</v>
      </c>
    </row>
    <row r="18" spans="1:1" ht="31.2" x14ac:dyDescent="0.25">
      <c r="A18" s="3" t="s">
        <v>2540</v>
      </c>
    </row>
    <row r="19" spans="1:1" x14ac:dyDescent="0.25">
      <c r="A19" s="3"/>
    </row>
    <row r="20" spans="1:1" ht="16.2" x14ac:dyDescent="0.25">
      <c r="A20" s="2" t="s">
        <v>2541</v>
      </c>
    </row>
    <row r="21" spans="1:1" ht="31.2" x14ac:dyDescent="0.25">
      <c r="A21" s="3" t="s">
        <v>2542</v>
      </c>
    </row>
    <row r="22" spans="1:1" x14ac:dyDescent="0.25">
      <c r="A22" s="3"/>
    </row>
    <row r="23" spans="1:1" ht="16.2" x14ac:dyDescent="0.25">
      <c r="A23" s="2" t="s">
        <v>2543</v>
      </c>
    </row>
    <row r="24" spans="1:1" x14ac:dyDescent="0.25">
      <c r="A24" s="3" t="s">
        <v>2544</v>
      </c>
    </row>
    <row r="25" spans="1:1" x14ac:dyDescent="0.25">
      <c r="A25" s="3" t="s">
        <v>2545</v>
      </c>
    </row>
    <row r="26" spans="1:1" x14ac:dyDescent="0.25">
      <c r="A26" s="3" t="s">
        <v>2546</v>
      </c>
    </row>
  </sheetData>
  <sheetProtection formatCells="0" insertHyperlinks="0" autoFilter="0"/>
  <phoneticPr fontId="24" type="noConversion"/>
  <pageMargins left="0.69930555555555596" right="0.69930555555555596"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2">
    <comment s:ref="A3" rgbClr="FF0000">
      <item id="{8313fb6f-ad7d-44c3-8b01-ba882734f0c3}" isNormal="1">
        <s:text>
          <s:r>
            <s:t xml:space="preserve">[Threaded comment]
Your version of Excel allows you to read this threaded comment; however, any edits to it will get removed if the file is opened in a newer version of Excel. Learn more: https://go.microsoft.com/fwlink/?linkid=870924
Comment:
    新增：所有wind导入列使用的公式（mac）及计算公式，可直接复制单元格使用。</s:t>
          </s:r>
        </s:text>
      </item>
    </comment>
    <comment s:ref="C54" rgbClr="FF0000">
      <item id="{cf389a10-83b6-41ca-9f61-306b32186892}" isNormal="1">
        <s:text>
          <s:r>
            <s:t xml:space="preserve">顾恒源:
目前已更名为未来股份</s:t>
          </s:r>
        </s:text>
      </item>
    </comment>
    <comment s:ref="L83" rgbClr="FF0000">
      <item id="{0e943dfe-8c08-4217-88b3-2e9b1d2a87ff}" isNormal="1">
        <s:text>
          <s:r>
            <s:t xml:space="preserve">elzat:
附件错误</s:t>
          </s:r>
        </s:text>
      </item>
    </comment>
    <comment s:ref="C160" rgbClr="FF0000">
      <item id="{c99523bd-9f7a-4877-b0c7-4e39fce40d1b}" isNormal="1">
        <s:text>
          <s:r>
            <s:t xml:space="preserve">LXR:
IPO失败</s:t>
          </s:r>
        </s:text>
      </item>
    </comment>
    <comment s:ref="C163" rgbClr="FF0000">
      <item id="{f6035f40-bdf6-4164-a83c-c8bf1c8c74f4}" isNormal="1">
        <s:text>
          <s:r>
            <s:t xml:space="preserve">elzat:
IPO失败</s:t>
          </s:r>
        </s:text>
      </item>
    </comment>
  </commentList>
</comments>
</file>

<file path=customXml/item2.xml><?xml version="1.0" encoding="utf-8"?>
<pixelators xmlns="https://web.wps.cn/et/2018/main" xmlns:s="http://schemas.openxmlformats.org/spreadsheetml/2006/main">
  <pixelatorList sheetStid="3"/>
  <pixelatorList sheetStid="2"/>
  <pixelatorList sheetStid="1"/>
  <pixelatorList sheetStid="4"/>
</pixelators>
</file>

<file path=customXml/item3.xml><?xml version="1.0" encoding="utf-8"?>
<woProps xmlns="https://web.wps.cn/et/2018/main" xmlns:s="http://schemas.openxmlformats.org/spreadsheetml/2006/main">
  <woSheetsProps>
    <woSheetProps sheetStid="3" interlineOnOff="0" interlineColor="0" isDbSheet="0" isDashBoardSheet="0"/>
    <woSheetProps sheetStid="2" interlineOnOff="0" interlineColor="0" isDbSheet="0" isDashBoardSheet="0"/>
    <woSheetProps sheetStid="1" interlineOnOff="0" interlineColor="0" isDbSheet="0" isDashBoardSheet="0"/>
  </woSheetsProps>
  <woBookProps>
    <bookSettings isFilterShared="1" isAutoUpdatePaused="0" filterType="conn" isMergeTasksAutoUpdate="0" isInserPicAsAttachment="0"/>
  </woBookProps>
</woProp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224D003E-15C9-4FFE-AB16-9E66474EAE4E}">
  <ds:schemaRefs/>
</ds:datastoreItem>
</file>

<file path=customXml/itemProps3.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数据撰写说明</vt:lpstr>
      <vt:lpstr>财务舞弊企业数据库</vt:lpstr>
      <vt:lpstr>Sheet1</vt:lpstr>
      <vt:lpstr>其他</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LXR</dc:creator>
  <cp:lastModifiedBy>Wiss XinruiLi</cp:lastModifiedBy>
  <dcterms:created xsi:type="dcterms:W3CDTF">2021-06-26T10:13:00Z</dcterms:created>
  <dcterms:modified xsi:type="dcterms:W3CDTF">2023-08-04T09:57:45Z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9d800960</vt:lpwstr>
  </property>
  <property fmtid="{D5CDD505-2E9C-101B-9397-08002B2CF9AE}" pid="3" name="KSOProductBuildVer">
    <vt:lpwstr>2052-11.1.0.14309</vt:lpwstr>
  </property>
  <property fmtid="{D5CDD505-2E9C-101B-9397-08002B2CF9AE}" pid="4" name="ICV">
    <vt:lpwstr>C2BC5BB5B5414772B1CED4219F81D881</vt:lpwstr>
  </property>
  <property fmtid="{D5CDD505-2E9C-101B-9397-08002B2CF9AE}" pid="5" name="KSOReadingLayout">
    <vt:bool>true</vt:bool>
  </property>
</Properties>
</file>