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naban_CU\5.MCF_Motor for cash\2016\7.July'16\"/>
    </mc:Choice>
  </mc:AlternateContent>
  <bookViews>
    <workbookView xWindow="0" yWindow="0" windowWidth="19200" windowHeight="7095" tabRatio="778" firstSheet="2" activeTab="11"/>
  </bookViews>
  <sheets>
    <sheet name="Notes for Jib" sheetId="15" state="hidden" r:id="rId1"/>
    <sheet name="Apr'15" sheetId="24" state="hidden" r:id="rId2"/>
    <sheet name="Compare_July'15 &amp; 16" sheetId="25" r:id="rId3"/>
    <sheet name="PL MFC" sheetId="1" r:id="rId4"/>
    <sheet name="PL MFC _Conso" sheetId="22" r:id="rId5"/>
    <sheet name="OPEX MFC" sheetId="2" r:id="rId6"/>
    <sheet name="Opex Grouping" sheetId="20" r:id="rId7"/>
    <sheet name="Other Income_FS" sheetId="9" r:id="rId8"/>
    <sheet name="Sheet1" sheetId="21" state="hidden" r:id="rId9"/>
    <sheet name="Overdue Comparison" sheetId="18" r:id="rId10"/>
    <sheet name="Credit Cost" sheetId="16" r:id="rId11"/>
    <sheet name="Movement" sheetId="3" r:id="rId12"/>
    <sheet name="Income by product" sheetId="17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5" hidden="1">'OPEX MFC'!$A$12:$AD$83</definedName>
    <definedName name="_xlnm._FilterDatabase" localSheetId="7" hidden="1">'Other Income_FS'!$F$2:$G$7</definedName>
    <definedName name="_xx1002">[1]Sheet2!$B$9:$J$9</definedName>
    <definedName name="_xx1200" localSheetId="12">[2]Sheet2!$B$11:$J$11</definedName>
    <definedName name="_xx1200" localSheetId="7">[2]Sheet2!$B$11:$J$11</definedName>
    <definedName name="_xx1200">[3]Sheet2!$B$11:$J$11</definedName>
    <definedName name="_xx1201" localSheetId="12">[2]Sheet2!$B$12:$J$12</definedName>
    <definedName name="_xx1201" localSheetId="7">[2]Sheet2!$B$12:$J$12</definedName>
    <definedName name="_xx1201">[3]Sheet2!$B$12:$J$12</definedName>
    <definedName name="_xx1204" localSheetId="12">[2]Sheet2!$B$14:$J$14</definedName>
    <definedName name="_xx1204" localSheetId="7">[2]Sheet2!$B$14:$J$14</definedName>
    <definedName name="_xx1204">[3]Sheet2!$B$14:$J$14</definedName>
    <definedName name="_xx1205" localSheetId="12">[2]Sheet2!$B$15:$J$15</definedName>
    <definedName name="_xx1205" localSheetId="7">[2]Sheet2!$B$15:$J$15</definedName>
    <definedName name="_xx1205">[3]Sheet2!$B$15:$J$15</definedName>
    <definedName name="_xx1206" localSheetId="12">[2]Sheet2!$B$16:$J$16</definedName>
    <definedName name="_xx1206" localSheetId="7">[2]Sheet2!$B$16:$J$16</definedName>
    <definedName name="_xx1206">[3]Sheet2!$B$16:$J$16</definedName>
    <definedName name="_xx1400">[1]Sheet2!$B$22:$J$22</definedName>
    <definedName name="_xx1600" localSheetId="12">[2]Sheet2!$B$24:$J$24</definedName>
    <definedName name="_xx1600" localSheetId="7">[2]Sheet2!$B$24:$J$24</definedName>
    <definedName name="_xx1600">[3]Sheet2!$B$24:$J$24</definedName>
    <definedName name="_xx1601" localSheetId="12">[2]Sheet2!$B$25:$J$25</definedName>
    <definedName name="_xx1601" localSheetId="7">[2]Sheet2!$B$25:$J$25</definedName>
    <definedName name="_xx1601">[3]Sheet2!$B$25:$J$25</definedName>
    <definedName name="_xx1602" localSheetId="2">[1]Sheet2!#REF!</definedName>
    <definedName name="_xx1602" localSheetId="12">[1]Sheet2!#REF!</definedName>
    <definedName name="_xx1602" localSheetId="4">[1]Sheet2!#REF!</definedName>
    <definedName name="_xx1602">[1]Sheet2!#REF!</definedName>
    <definedName name="_xx1603">[1]Sheet2!$B$26:$J$26</definedName>
    <definedName name="_xx1604" localSheetId="12">[2]Sheet2!$B$27:$J$27</definedName>
    <definedName name="_xx1604" localSheetId="7">[2]Sheet2!$B$27:$J$27</definedName>
    <definedName name="_xx1604">[3]Sheet2!$B$27:$J$27</definedName>
    <definedName name="_xx1700">[1]Sheet2!$B$28:$J$28</definedName>
    <definedName name="_xx1800" localSheetId="12">[2]Sheet2!$B$29:$J$29</definedName>
    <definedName name="_xx1800" localSheetId="7">[2]Sheet2!$B$29:$J$29</definedName>
    <definedName name="_xx1800">[3]Sheet2!$B$29:$J$29</definedName>
    <definedName name="_xx1820" localSheetId="12">[2]Sheet2!$B$30:$J$30</definedName>
    <definedName name="_xx1820" localSheetId="7">[2]Sheet2!$B$30:$J$30</definedName>
    <definedName name="_xx1820">[3]Sheet2!$B$30:$J$30</definedName>
    <definedName name="_xx1821" localSheetId="12">[2]Sheet2!$B$31:$J$31</definedName>
    <definedName name="_xx1821" localSheetId="7">[2]Sheet2!$B$31:$J$31</definedName>
    <definedName name="_xx1821">[3]Sheet2!$B$31:$J$31</definedName>
    <definedName name="_xx1900">[1]Sheet2!$B$38:$J$38</definedName>
    <definedName name="_xx1901" localSheetId="12">[2]Sheet2!$B$39:$J$39</definedName>
    <definedName name="_xx1901" localSheetId="7">[2]Sheet2!$B$39:$J$39</definedName>
    <definedName name="_xx1901">[3]Sheet2!$B$39:$J$39</definedName>
    <definedName name="_xx2052" localSheetId="12">[2]Sheet2!$B$60:$J$60</definedName>
    <definedName name="_xx2052" localSheetId="7">[2]Sheet2!$B$60:$J$60</definedName>
    <definedName name="_xx2052">[3]Sheet2!$B$60:$J$60</definedName>
    <definedName name="_xx2053" localSheetId="12">[2]Sheet2!$B$61:$J$61</definedName>
    <definedName name="_xx2053" localSheetId="7">[2]Sheet2!$B$61:$J$61</definedName>
    <definedName name="_xx2053">[3]Sheet2!$B$61:$J$61</definedName>
    <definedName name="_xx2055" localSheetId="12">[2]Sheet2!$B$64:$J$64</definedName>
    <definedName name="_xx2055" localSheetId="7">[2]Sheet2!$B$64:$J$64</definedName>
    <definedName name="_xx2055">[3]Sheet2!$B$64:$J$64</definedName>
    <definedName name="_xx2200" localSheetId="12">[2]Sheet2!$B$66:$J$66</definedName>
    <definedName name="_xx2200" localSheetId="7">[2]Sheet2!$B$66:$J$66</definedName>
    <definedName name="_xx2200">[3]Sheet2!$B$66:$J$66</definedName>
    <definedName name="_xx2201" localSheetId="12">[2]Sheet2!$B$67:$J$67</definedName>
    <definedName name="_xx2201" localSheetId="7">[2]Sheet2!$B$67:$J$67</definedName>
    <definedName name="_xx2201">[3]Sheet2!$B$67:$J$67</definedName>
    <definedName name="_xx2202" localSheetId="12">[2]Sheet2!$B$68:$J$68</definedName>
    <definedName name="_xx2202" localSheetId="7">[2]Sheet2!$B$68:$J$68</definedName>
    <definedName name="_xx2202">[3]Sheet2!$B$68:$J$68</definedName>
    <definedName name="_xx2203" localSheetId="12">[2]Sheet2!$B$69:$J$69</definedName>
    <definedName name="_xx2203" localSheetId="7">[2]Sheet2!$B$69:$J$69</definedName>
    <definedName name="_xx2203">[3]Sheet2!$B$69:$J$69</definedName>
    <definedName name="_xx2204" localSheetId="12">[2]Sheet2!$B$70:$J$70</definedName>
    <definedName name="_xx2204" localSheetId="7">[2]Sheet2!$B$70:$J$70</definedName>
    <definedName name="_xx2204">[3]Sheet2!$B$70:$J$70</definedName>
    <definedName name="_xx2205" localSheetId="12">[2]Sheet2!$B$71:$J$71</definedName>
    <definedName name="_xx2205" localSheetId="7">[2]Sheet2!$B$71:$J$71</definedName>
    <definedName name="_xx2205">[3]Sheet2!$B$71:$J$71</definedName>
    <definedName name="_xx2206" localSheetId="12">[2]Sheet2!$B$72:$J$72</definedName>
    <definedName name="_xx2206" localSheetId="7">[2]Sheet2!$B$72:$J$72</definedName>
    <definedName name="_xx2206">[3]Sheet2!$B$72:$J$72</definedName>
    <definedName name="_xx2208" localSheetId="12">[2]Sheet2!$B$75:$J$75</definedName>
    <definedName name="_xx2208" localSheetId="7">[2]Sheet2!$B$75:$J$75</definedName>
    <definedName name="_xx2208">[3]Sheet2!$B$75:$J$75</definedName>
    <definedName name="_xx2211" localSheetId="12">[2]Sheet2!$B$78:$J$78</definedName>
    <definedName name="_xx2211" localSheetId="7">[2]Sheet2!$B$78:$J$78</definedName>
    <definedName name="_xx2211">[3]Sheet2!$B$78:$J$78</definedName>
    <definedName name="_xx2213" localSheetId="12">[2]Sheet2!$B$80:$J$80</definedName>
    <definedName name="_xx2213" localSheetId="7">[2]Sheet2!$B$80:$J$80</definedName>
    <definedName name="_xx2213">[3]Sheet2!$B$80:$J$80</definedName>
    <definedName name="_xx2214" localSheetId="12">[2]Sheet2!$B$81:$J$81</definedName>
    <definedName name="_xx2214" localSheetId="7">[2]Sheet2!$B$81:$J$81</definedName>
    <definedName name="_xx2214">[3]Sheet2!$B$81:$J$81</definedName>
    <definedName name="_xx2217" localSheetId="12">[2]Sheet2!$B$84:$J$84</definedName>
    <definedName name="_xx2217" localSheetId="7">[2]Sheet2!$B$84:$J$84</definedName>
    <definedName name="_xx2217">[3]Sheet2!$B$84:$J$84</definedName>
    <definedName name="_xx2218" localSheetId="12">[2]Sheet2!$B$85:$J$85</definedName>
    <definedName name="_xx2218" localSheetId="7">[2]Sheet2!$B$85:$J$85</definedName>
    <definedName name="_xx2218">[3]Sheet2!$B$85:$J$85</definedName>
    <definedName name="_xx2220" localSheetId="12">[2]Sheet2!$B$93:$J$93</definedName>
    <definedName name="_xx2220" localSheetId="7">[2]Sheet2!$B$93:$J$93</definedName>
    <definedName name="_xx2220">[3]Sheet2!$B$93:$J$93</definedName>
    <definedName name="_xx2500" localSheetId="12">[2]Sheet2!$B$98:$J$98</definedName>
    <definedName name="_xx2500" localSheetId="7">[2]Sheet2!$B$98:$J$98</definedName>
    <definedName name="_xx2500">[3]Sheet2!$B$98:$J$98</definedName>
    <definedName name="_xx2502" localSheetId="12">[2]Sheet2!$B$100:$J$100</definedName>
    <definedName name="_xx2502" localSheetId="7">[2]Sheet2!$B$100:$J$100</definedName>
    <definedName name="_xx2502">[3]Sheet2!$B$100:$J$100</definedName>
    <definedName name="_xx2505" localSheetId="12">[2]Sheet2!$B$103:$J$103</definedName>
    <definedName name="_xx2505" localSheetId="7">[2]Sheet2!$B$103:$J$103</definedName>
    <definedName name="_xx2505">[3]Sheet2!$B$103:$J$103</definedName>
    <definedName name="_xx2506">[1]Sheet2!$B$103:$J$103</definedName>
    <definedName name="_xx2507" localSheetId="12">[2]Sheet2!$B$105:$J$105</definedName>
    <definedName name="_xx2507" localSheetId="7">[2]Sheet2!$B$105:$J$105</definedName>
    <definedName name="_xx2507">[3]Sheet2!$B$105:$J$105</definedName>
    <definedName name="_xx2508">[1]Sheet2!$B$105:$J$105</definedName>
    <definedName name="_xx2510" localSheetId="12">[2]Sheet2!$B$108:$J$108</definedName>
    <definedName name="_xx2510" localSheetId="7">[2]Sheet2!$B$108:$J$108</definedName>
    <definedName name="_xx2510">[3]Sheet2!$B$108:$J$108</definedName>
    <definedName name="_xx2511" localSheetId="12">[2]Sheet2!$B$109:$J$109</definedName>
    <definedName name="_xx2511" localSheetId="7">[2]Sheet2!$B$109:$J$109</definedName>
    <definedName name="_xx2511">[3]Sheet2!$B$109:$J$109</definedName>
    <definedName name="_xx2512" localSheetId="12">[2]Sheet2!$B$110:$J$110</definedName>
    <definedName name="_xx2512" localSheetId="7">[2]Sheet2!$B$110:$J$110</definedName>
    <definedName name="_xx2512">[3]Sheet2!$B$110:$J$110</definedName>
    <definedName name="_xx2513" localSheetId="12">[2]Sheet2!$B$111:$J$111</definedName>
    <definedName name="_xx2513" localSheetId="7">[2]Sheet2!$B$111:$J$111</definedName>
    <definedName name="_xx2513">[3]Sheet2!$B$111:$J$111</definedName>
    <definedName name="_xx3000" localSheetId="12">[2]Sheet2!$B$116:$J$116</definedName>
    <definedName name="_xx3000" localSheetId="7">[2]Sheet2!$B$116:$J$116</definedName>
    <definedName name="_xx3000">[3]Sheet2!$B$116:$J$116</definedName>
    <definedName name="_xx3311">[1]Sheet2!$B$118:$J$118</definedName>
    <definedName name="_xx3312" localSheetId="12">[2]Sheet2!$B$118:$J$118</definedName>
    <definedName name="_xx3312" localSheetId="7">[2]Sheet2!$B$118:$J$118</definedName>
    <definedName name="_xx3312">[3]Sheet2!$B$118:$J$118</definedName>
    <definedName name="_xx4000" localSheetId="12">[2]Sheet2!$B$120:$J$120</definedName>
    <definedName name="_xx4000" localSheetId="7">[2]Sheet2!$B$120:$J$120</definedName>
    <definedName name="_xx4000">[3]Sheet2!$B$120:$J$120</definedName>
    <definedName name="_xx4001" localSheetId="12">[2]Sheet2!$B$121:$J$121</definedName>
    <definedName name="_xx4001" localSheetId="7">[2]Sheet2!$B$121:$J$121</definedName>
    <definedName name="_xx4001">[3]Sheet2!$B$121:$J$121</definedName>
    <definedName name="_xx4002" localSheetId="12">[2]Sheet2!$B$122:$J$122</definedName>
    <definedName name="_xx4002" localSheetId="7">[2]Sheet2!$B$122:$J$122</definedName>
    <definedName name="_xx4002">[3]Sheet2!$B$122:$J$122</definedName>
    <definedName name="_xx4003" localSheetId="12">[2]Sheet2!$B$123:$J$123</definedName>
    <definedName name="_xx4003" localSheetId="7">[2]Sheet2!$B$123:$J$123</definedName>
    <definedName name="_xx4003">[3]Sheet2!$B$123:$J$123</definedName>
    <definedName name="_xx4300" localSheetId="12">[2]Sheet2!$B$129:$J$129</definedName>
    <definedName name="_xx4300" localSheetId="7">[2]Sheet2!$B$129:$J$129</definedName>
    <definedName name="_xx4300">[3]Sheet2!$B$129:$J$129</definedName>
    <definedName name="_xx4302" localSheetId="12">[2]Sheet2!$B$132:$J$132</definedName>
    <definedName name="_xx4302" localSheetId="7">[2]Sheet2!$B$132:$J$132</definedName>
    <definedName name="_xx4302">[3]Sheet2!$B$132:$J$132</definedName>
    <definedName name="_xx4303" localSheetId="12">[2]Sheet2!$B$133:$J$133</definedName>
    <definedName name="_xx4303" localSheetId="7">[2]Sheet2!$B$133:$J$133</definedName>
    <definedName name="_xx4303">[3]Sheet2!$B$133:$J$133</definedName>
    <definedName name="_xx5020" localSheetId="12">[2]Sheet2!$B$137:$J$137</definedName>
    <definedName name="_xx5020" localSheetId="7">[2]Sheet2!$B$137:$J$137</definedName>
    <definedName name="_xx5020">[3]Sheet2!$B$137:$J$137</definedName>
    <definedName name="_xx5021" localSheetId="12">[2]Sheet2!$B$138:$J$138</definedName>
    <definedName name="_xx5021" localSheetId="7">[2]Sheet2!$B$138:$J$138</definedName>
    <definedName name="_xx5021">[3]Sheet2!$B$138:$J$138</definedName>
    <definedName name="_xx5700" localSheetId="12">[2]Sheet2!$B$140:$J$140</definedName>
    <definedName name="_xx5700" localSheetId="7">[2]Sheet2!$B$140:$J$140</definedName>
    <definedName name="_xx5700">[3]Sheet2!$B$140:$J$140</definedName>
    <definedName name="_xx5701" localSheetId="12">[2]Sheet2!$B$142:$J$142</definedName>
    <definedName name="_xx5701" localSheetId="7">[2]Sheet2!$B$142:$J$142</definedName>
    <definedName name="_xx5701">[3]Sheet2!$B$142:$J$142</definedName>
    <definedName name="_xx5702" localSheetId="12">[2]Sheet2!$B$143:$J$143</definedName>
    <definedName name="_xx5702" localSheetId="7">[2]Sheet2!$B$143:$J$143</definedName>
    <definedName name="_xx5702">[3]Sheet2!$B$143:$J$143</definedName>
    <definedName name="_xx5703" localSheetId="12">[2]Sheet2!$B$144:$J$144</definedName>
    <definedName name="_xx5703" localSheetId="7">[2]Sheet2!$B$144:$J$144</definedName>
    <definedName name="_xx5703">[3]Sheet2!$B$144:$J$144</definedName>
    <definedName name="_xx5704" localSheetId="12">[2]Sheet2!$B$145:$J$145</definedName>
    <definedName name="_xx5704" localSheetId="7">[2]Sheet2!$B$145:$J$145</definedName>
    <definedName name="_xx5704">[3]Sheet2!$B$145:$J$145</definedName>
    <definedName name="_xx5705" localSheetId="12">[2]Sheet2!$B$146:$J$146</definedName>
    <definedName name="_xx5705" localSheetId="7">[2]Sheet2!$B$146:$J$146</definedName>
    <definedName name="_xx5705">[3]Sheet2!$B$146:$J$146</definedName>
    <definedName name="_xx5706" localSheetId="12">[2]Sheet2!$B$147:$J$147</definedName>
    <definedName name="_xx5706" localSheetId="7">[2]Sheet2!$B$147:$J$147</definedName>
    <definedName name="_xx5706">[3]Sheet2!$B$147:$J$147</definedName>
    <definedName name="_xx5707" localSheetId="12">[2]Sheet2!$B$148:$J$148</definedName>
    <definedName name="_xx5707" localSheetId="7">[2]Sheet2!$B$148:$J$148</definedName>
    <definedName name="_xx5707">[3]Sheet2!$B$148:$J$148</definedName>
    <definedName name="_xx5708" localSheetId="12">[2]Sheet2!$B$149:$J$149</definedName>
    <definedName name="_xx5708" localSheetId="7">[2]Sheet2!$B$149:$J$149</definedName>
    <definedName name="_xx5708">[3]Sheet2!$B$149:$J$149</definedName>
    <definedName name="_xx5709" localSheetId="12">[2]Sheet2!$B$150:$J$150</definedName>
    <definedName name="_xx5709" localSheetId="7">[2]Sheet2!$B$150:$J$150</definedName>
    <definedName name="_xx5709">[3]Sheet2!$B$150:$J$150</definedName>
    <definedName name="_xx5710" localSheetId="12">[2]Sheet2!$B$151:$J$151</definedName>
    <definedName name="_xx5710" localSheetId="7">[2]Sheet2!$B$151:$J$151</definedName>
    <definedName name="_xx5710">[3]Sheet2!$B$151:$J$151</definedName>
    <definedName name="_xx5711" localSheetId="12">[2]Sheet2!$B$152:$J$152</definedName>
    <definedName name="_xx5711" localSheetId="7">[2]Sheet2!$B$152:$J$152</definedName>
    <definedName name="_xx5711">[3]Sheet2!$B$152:$J$152</definedName>
    <definedName name="_xx5712" localSheetId="12">[2]Sheet2!$B$153:$J$153</definedName>
    <definedName name="_xx5712" localSheetId="7">[2]Sheet2!$B$153:$J$153</definedName>
    <definedName name="_xx5712">[3]Sheet2!$B$153:$J$153</definedName>
    <definedName name="_xx5713" localSheetId="12">[2]Sheet2!$B$154:$J$154</definedName>
    <definedName name="_xx5713" localSheetId="7">[2]Sheet2!$B$154:$J$154</definedName>
    <definedName name="_xx5713">[3]Sheet2!$B$154:$J$154</definedName>
    <definedName name="_xx5800" localSheetId="12">[2]Sheet2!$B$160:$J$160</definedName>
    <definedName name="_xx5800" localSheetId="7">[2]Sheet2!$B$160:$J$160</definedName>
    <definedName name="_xx5800">[3]Sheet2!$B$160:$J$160</definedName>
    <definedName name="_xx5801" localSheetId="12">[2]Sheet2!$B$161:$J$161</definedName>
    <definedName name="_xx5801" localSheetId="7">[2]Sheet2!$B$161:$J$161</definedName>
    <definedName name="_xx5801">[3]Sheet2!$B$161:$J$161</definedName>
    <definedName name="_xx5802" localSheetId="12">[2]Sheet2!$B$162:$J$162</definedName>
    <definedName name="_xx5802" localSheetId="7">[2]Sheet2!$B$162:$J$162</definedName>
    <definedName name="_xx5802">[3]Sheet2!$B$162:$J$162</definedName>
    <definedName name="_xx5803" localSheetId="12">[2]Sheet2!$B$163:$J$163</definedName>
    <definedName name="_xx5803" localSheetId="7">[2]Sheet2!$B$163:$J$163</definedName>
    <definedName name="_xx5803">[3]Sheet2!$B$163:$J$163</definedName>
    <definedName name="_xx5804" localSheetId="12">[2]Sheet2!$B$164:$J$164</definedName>
    <definedName name="_xx5804" localSheetId="7">[2]Sheet2!$B$164:$J$164</definedName>
    <definedName name="_xx5804">[3]Sheet2!$B$164:$J$164</definedName>
    <definedName name="_xx5805" localSheetId="12">[2]Sheet2!$B$165:$J$165</definedName>
    <definedName name="_xx5805" localSheetId="7">[2]Sheet2!$B$165:$J$165</definedName>
    <definedName name="_xx5805">[3]Sheet2!$B$165:$J$165</definedName>
    <definedName name="_xx5806" localSheetId="12">[2]Sheet2!$B$166:$J$166</definedName>
    <definedName name="_xx5806" localSheetId="7">[2]Sheet2!$B$166:$J$166</definedName>
    <definedName name="_xx5806">[3]Sheet2!$B$166:$J$166</definedName>
    <definedName name="_xx5807" localSheetId="12">[2]Sheet2!$B$167:$J$167</definedName>
    <definedName name="_xx5807" localSheetId="7">[2]Sheet2!$B$167:$J$167</definedName>
    <definedName name="_xx5807">[3]Sheet2!$B$167:$J$167</definedName>
    <definedName name="_xx5808" localSheetId="12">[2]Sheet2!$B$168:$J$168</definedName>
    <definedName name="_xx5808" localSheetId="7">[2]Sheet2!$B$168:$J$168</definedName>
    <definedName name="_xx5808">[3]Sheet2!$B$168:$J$168</definedName>
    <definedName name="_xx5809" localSheetId="12">[2]Sheet2!$B$169:$J$169</definedName>
    <definedName name="_xx5809" localSheetId="7">[2]Sheet2!$B$169:$J$169</definedName>
    <definedName name="_xx5809">[3]Sheet2!$B$169:$J$169</definedName>
    <definedName name="_xx5810" localSheetId="12">[2]Sheet2!$B$170:$J$170</definedName>
    <definedName name="_xx5810" localSheetId="7">[2]Sheet2!$B$170:$J$170</definedName>
    <definedName name="_xx5810">[3]Sheet2!$B$170:$J$170</definedName>
    <definedName name="_xx5811" localSheetId="12">[2]Sheet2!$B$171:$J$171</definedName>
    <definedName name="_xx5811" localSheetId="7">[2]Sheet2!$B$171:$J$171</definedName>
    <definedName name="_xx5811">[3]Sheet2!$B$171:$J$171</definedName>
    <definedName name="_xx5813" localSheetId="12">[2]Sheet2!$B$175:$J$175</definedName>
    <definedName name="_xx5813" localSheetId="7">[2]Sheet2!$B$175:$J$175</definedName>
    <definedName name="_xx5813">[3]Sheet2!$B$175:$J$175</definedName>
    <definedName name="_xx5814" localSheetId="12">[2]Sheet2!$B$176:$J$176</definedName>
    <definedName name="_xx5814" localSheetId="7">[2]Sheet2!$B$176:$J$176</definedName>
    <definedName name="_xx5814">[3]Sheet2!$B$176:$J$176</definedName>
    <definedName name="_xx5815" localSheetId="12">[2]Sheet2!$B$178:$J$178</definedName>
    <definedName name="_xx5815" localSheetId="7">[2]Sheet2!$B$178:$J$178</definedName>
    <definedName name="_xx5815">[3]Sheet2!$B$178:$J$178</definedName>
    <definedName name="_xx5816" localSheetId="12">[2]Sheet2!$B$179:$J$179</definedName>
    <definedName name="_xx5816" localSheetId="7">[2]Sheet2!$B$179:$J$179</definedName>
    <definedName name="_xx5816">[3]Sheet2!$B$179:$J$179</definedName>
    <definedName name="_xx5817" localSheetId="12">[2]Sheet2!$B$182:$J$182</definedName>
    <definedName name="_xx5817" localSheetId="7">[2]Sheet2!$B$182:$J$182</definedName>
    <definedName name="_xx5817">[3]Sheet2!$B$182:$J$182</definedName>
    <definedName name="_xx5819" localSheetId="12">[2]Sheet2!$B$184:$J$184</definedName>
    <definedName name="_xx5819" localSheetId="7">[2]Sheet2!$B$184:$J$184</definedName>
    <definedName name="_xx5819">[3]Sheet2!$B$184:$J$184</definedName>
    <definedName name="_xx5820" localSheetId="12">[2]Sheet2!$B$185:$J$185</definedName>
    <definedName name="_xx5820" localSheetId="7">[2]Sheet2!$B$185:$J$185</definedName>
    <definedName name="_xx5820">[3]Sheet2!$B$185:$J$185</definedName>
    <definedName name="_xx5821" localSheetId="12">[2]Sheet2!$B$186:$J$186</definedName>
    <definedName name="_xx5821" localSheetId="7">[2]Sheet2!$B$186:$J$186</definedName>
    <definedName name="_xx5821">[3]Sheet2!$B$186:$J$186</definedName>
    <definedName name="_xx5823" localSheetId="12">[2]Sheet2!$B$188:$J$188</definedName>
    <definedName name="_xx5823" localSheetId="7">[2]Sheet2!$B$188:$J$188</definedName>
    <definedName name="_xx5823">[3]Sheet2!$B$188:$J$188</definedName>
    <definedName name="_xx5825" localSheetId="12">[2]Sheet2!$B$190:$J$190</definedName>
    <definedName name="_xx5825" localSheetId="7">[2]Sheet2!$B$190:$J$190</definedName>
    <definedName name="_xx5825">[3]Sheet2!$B$190:$J$190</definedName>
    <definedName name="_xx5826" localSheetId="12">[2]Sheet2!$B$191:$J$191</definedName>
    <definedName name="_xx5826" localSheetId="7">[2]Sheet2!$B$191:$J$191</definedName>
    <definedName name="_xx5826">[3]Sheet2!$B$191:$J$191</definedName>
    <definedName name="_xx5828" localSheetId="12">[2]Sheet2!$B$193:$J$193</definedName>
    <definedName name="_xx5828" localSheetId="7">[2]Sheet2!$B$193:$J$193</definedName>
    <definedName name="_xx5828">[3]Sheet2!$B$193:$J$193</definedName>
    <definedName name="_xx5830" localSheetId="12">[2]Sheet2!$B$195:$J$195</definedName>
    <definedName name="_xx5830" localSheetId="7">[2]Sheet2!$B$195:$J$195</definedName>
    <definedName name="_xx5830">[3]Sheet2!$B$195:$J$195</definedName>
    <definedName name="_xx5831" localSheetId="12">[2]Sheet2!$B$196:$J$196</definedName>
    <definedName name="_xx5831" localSheetId="7">[2]Sheet2!$B$196:$J$196</definedName>
    <definedName name="_xx5831">[3]Sheet2!$B$196:$J$196</definedName>
    <definedName name="_xx5833" localSheetId="12">[2]Sheet2!$B$198:$J$198</definedName>
    <definedName name="_xx5833" localSheetId="7">[2]Sheet2!$B$198:$J$198</definedName>
    <definedName name="_xx5833">[3]Sheet2!$B$198:$J$198</definedName>
    <definedName name="_xx5834" localSheetId="12">[2]Sheet2!$B$199:$J$199</definedName>
    <definedName name="_xx5834" localSheetId="7">[2]Sheet2!$B$199:$J$199</definedName>
    <definedName name="_xx5834">[3]Sheet2!$B$199:$J$199</definedName>
    <definedName name="_xx5836" localSheetId="12">[2]Sheet2!$B$201:$J$201</definedName>
    <definedName name="_xx5836" localSheetId="7">[2]Sheet2!$B$201:$J$201</definedName>
    <definedName name="_xx5836">[3]Sheet2!$B$201:$J$201</definedName>
    <definedName name="_xx9007" localSheetId="12">[2]Sheet2!$B$215:$J$215</definedName>
    <definedName name="_xx9007" localSheetId="7">[2]Sheet2!$B$215:$J$215</definedName>
    <definedName name="_xx9007">[3]Sheet2!$B$215:$J$215</definedName>
    <definedName name="_xx9008" localSheetId="12">[2]Sheet2!$B$216:$J$216</definedName>
    <definedName name="_xx9008" localSheetId="7">[2]Sheet2!$B$216:$J$216</definedName>
    <definedName name="_xx9008">[3]Sheet2!$B$216:$J$216</definedName>
    <definedName name="_xx9009" localSheetId="12">[2]Sheet2!$B$217:$J$217</definedName>
    <definedName name="_xx9009" localSheetId="7">[2]Sheet2!$B$217:$J$217</definedName>
    <definedName name="_xx9009">[3]Sheet2!$B$217:$J$217</definedName>
    <definedName name="_xx9010" localSheetId="12">[2]Sheet2!$B$218:$J$218</definedName>
    <definedName name="_xx9010" localSheetId="7">[2]Sheet2!$B$218:$J$218</definedName>
    <definedName name="_xx9010">[3]Sheet2!$B$218:$J$218</definedName>
    <definedName name="_xx9011" localSheetId="12">[2]Sheet2!$B$219:$J$219</definedName>
    <definedName name="_xx9011" localSheetId="7">[2]Sheet2!$B$219:$J$219</definedName>
    <definedName name="_xx9011">[3]Sheet2!$B$219:$J$219</definedName>
    <definedName name="b">[1]Sheet2!$B$214:$J$214</definedName>
    <definedName name="_xlnm.Print_Area" localSheetId="2">'Compare_July''15 &amp; 16'!$A$1:$K$42</definedName>
    <definedName name="_xlnm.Print_Area" localSheetId="10">'Credit Cost'!$A$1:$P$17</definedName>
    <definedName name="_xlnm.Print_Area" localSheetId="12">'Income by product'!$B$11:$L$50</definedName>
    <definedName name="_xlnm.Print_Area" localSheetId="5">'OPEX MFC'!$A$12:$H$82</definedName>
    <definedName name="_xlnm.Print_Area" localSheetId="7">'Other Income_FS'!$B$11:$L$66</definedName>
    <definedName name="_xlnm.Print_Area" localSheetId="3">'PL MFC'!$A$1:$K$42</definedName>
    <definedName name="_xlnm.Print_Area" localSheetId="4">'PL MFC _Conso'!$A$1:$K$43</definedName>
    <definedName name="x" localSheetId="12">[2]Sheet2!$J$7:$J$219</definedName>
    <definedName name="x" localSheetId="7">[2]Sheet2!$J$7:$J$219</definedName>
    <definedName name="x">[3]Sheet2!$J$7:$J$219</definedName>
    <definedName name="xxcr">[1]Sheet2!$J$7:$J$215</definedName>
    <definedName name="xxdr">[1]Sheet2!$I$7:$I$215</definedName>
    <definedName name="ฟฟ" localSheetId="12">[4]Sheet2!$B$11:$J$11</definedName>
    <definedName name="ฟฟ" localSheetId="7">[4]Sheet2!$B$11:$J$11</definedName>
    <definedName name="ฟฟ">[5]Sheet2!$B$11:$J$11</definedName>
  </definedNames>
  <calcPr calcId="152511"/>
</workbook>
</file>

<file path=xl/calcChain.xml><?xml version="1.0" encoding="utf-8"?>
<calcChain xmlns="http://schemas.openxmlformats.org/spreadsheetml/2006/main">
  <c r="V66" i="9" l="1"/>
  <c r="AH66" i="9"/>
  <c r="AC94" i="3" l="1"/>
  <c r="AC91" i="3"/>
  <c r="AC90" i="3"/>
  <c r="AC89" i="3"/>
  <c r="AC88" i="3"/>
  <c r="AC87" i="3"/>
  <c r="AC92" i="3" s="1"/>
  <c r="AC83" i="3"/>
  <c r="AC82" i="3"/>
  <c r="AC81" i="3"/>
  <c r="AC80" i="3"/>
  <c r="AC84" i="3" s="1"/>
  <c r="AC79" i="3"/>
  <c r="AC53" i="3"/>
  <c r="AC73" i="3"/>
  <c r="AC13" i="3"/>
  <c r="AC16" i="3" s="1"/>
  <c r="AC32" i="3"/>
  <c r="AC35" i="3" s="1"/>
  <c r="AC56" i="3"/>
  <c r="AC76" i="3"/>
  <c r="AC66" i="3"/>
  <c r="AC46" i="3"/>
  <c r="AC26" i="3"/>
  <c r="AC8" i="3"/>
  <c r="AC71" i="3"/>
  <c r="AC61" i="3"/>
  <c r="AC41" i="3"/>
  <c r="AC51" i="3"/>
  <c r="AC86" i="3"/>
  <c r="AC78" i="3"/>
  <c r="AC70" i="3"/>
  <c r="AC60" i="3"/>
  <c r="AC50" i="3"/>
  <c r="AC40" i="3"/>
  <c r="AC30" i="3"/>
  <c r="AC21" i="3"/>
  <c r="AC29" i="3"/>
  <c r="AC20" i="3"/>
  <c r="AC11" i="3"/>
  <c r="AC10" i="3"/>
  <c r="AC3" i="3"/>
  <c r="X42" i="1"/>
  <c r="X38" i="1"/>
  <c r="X37" i="1"/>
  <c r="X36" i="1"/>
  <c r="X35" i="1"/>
  <c r="X34" i="1"/>
  <c r="X31" i="1"/>
  <c r="X30" i="1"/>
  <c r="X29" i="1"/>
  <c r="X28" i="1"/>
  <c r="X27" i="1"/>
  <c r="X26" i="1"/>
  <c r="N11" i="25" l="1"/>
  <c r="N9" i="25"/>
  <c r="N16" i="25"/>
  <c r="N12" i="25"/>
  <c r="N15" i="25" s="1"/>
  <c r="N20" i="25" s="1"/>
  <c r="N23" i="25" s="1"/>
  <c r="N6" i="25"/>
  <c r="X8" i="22" l="1"/>
  <c r="X17" i="22"/>
  <c r="W24" i="22"/>
  <c r="X23" i="22"/>
  <c r="X11" i="22"/>
  <c r="X12" i="22" s="1"/>
  <c r="W8" i="22"/>
  <c r="W20" i="22" l="1"/>
  <c r="W17" i="22"/>
  <c r="W10" i="22" l="1"/>
  <c r="W12" i="22"/>
  <c r="W13" i="22" l="1"/>
  <c r="W16" i="22" s="1"/>
  <c r="X9" i="22" l="1"/>
  <c r="W21" i="22"/>
  <c r="W14" i="22" l="1"/>
  <c r="X7" i="22" l="1"/>
  <c r="X10" i="22" s="1"/>
  <c r="X4" i="22"/>
  <c r="X5" i="22"/>
  <c r="X6" i="22"/>
  <c r="X3" i="22"/>
  <c r="X22" i="1"/>
  <c r="X21" i="1"/>
  <c r="X19" i="1"/>
  <c r="X16" i="1" s="1"/>
  <c r="X18" i="1"/>
  <c r="X17" i="1"/>
  <c r="X10" i="1"/>
  <c r="X9" i="1"/>
  <c r="X8" i="1"/>
  <c r="X3" i="1"/>
  <c r="X7" i="1" s="1"/>
  <c r="X6" i="1"/>
  <c r="X5" i="1"/>
  <c r="X4" i="1"/>
  <c r="Q16" i="16"/>
  <c r="P16" i="16"/>
  <c r="Q5" i="16"/>
  <c r="Q4" i="16"/>
  <c r="Q3" i="16"/>
  <c r="AP22" i="18"/>
  <c r="AO22" i="18"/>
  <c r="AF4" i="18"/>
  <c r="AG4" i="18"/>
  <c r="AF5" i="18"/>
  <c r="AG5" i="18"/>
  <c r="AF6" i="18"/>
  <c r="AG6" i="18"/>
  <c r="AF7" i="18"/>
  <c r="AG7" i="18"/>
  <c r="AF8" i="18"/>
  <c r="AG8" i="18"/>
  <c r="AF9" i="18"/>
  <c r="AG9" i="18"/>
  <c r="AF10" i="18"/>
  <c r="AG10" i="18"/>
  <c r="AF11" i="18"/>
  <c r="AG11" i="18"/>
  <c r="AF12" i="18"/>
  <c r="AG12" i="18"/>
  <c r="AF13" i="18"/>
  <c r="AG13" i="18"/>
  <c r="AF14" i="18"/>
  <c r="AG14" i="18"/>
  <c r="AF15" i="18"/>
  <c r="AG15" i="18"/>
  <c r="AF16" i="18"/>
  <c r="AG16" i="18"/>
  <c r="AG3" i="18"/>
  <c r="AF3" i="18"/>
  <c r="AN22" i="18"/>
  <c r="AL4" i="18"/>
  <c r="AM4" i="18"/>
  <c r="AL5" i="18"/>
  <c r="AM5" i="18"/>
  <c r="AL6" i="18"/>
  <c r="AM6" i="18"/>
  <c r="AL7" i="18"/>
  <c r="AM7" i="18"/>
  <c r="AL8" i="18"/>
  <c r="AM8" i="18"/>
  <c r="AL9" i="18"/>
  <c r="AM9" i="18"/>
  <c r="AL10" i="18"/>
  <c r="AM10" i="18"/>
  <c r="AL11" i="18"/>
  <c r="AM11" i="18"/>
  <c r="AL12" i="18"/>
  <c r="AM12" i="18"/>
  <c r="AL13" i="18"/>
  <c r="AM13" i="18"/>
  <c r="AL14" i="18"/>
  <c r="AM14" i="18"/>
  <c r="AL15" i="18"/>
  <c r="AM15" i="18"/>
  <c r="AL16" i="18"/>
  <c r="AM16" i="18"/>
  <c r="AM3" i="18"/>
  <c r="AL3" i="18"/>
  <c r="AL22" i="18" s="1"/>
  <c r="AJ4" i="18"/>
  <c r="AJ5" i="18"/>
  <c r="AJ6" i="18"/>
  <c r="AJ7" i="18"/>
  <c r="AJ8" i="18"/>
  <c r="AJ9" i="18"/>
  <c r="AJ10" i="18"/>
  <c r="AJ11" i="18"/>
  <c r="AJ12" i="18"/>
  <c r="AJ13" i="18"/>
  <c r="AJ14" i="18"/>
  <c r="AJ15" i="18"/>
  <c r="AJ3" i="18"/>
  <c r="AI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3" i="18"/>
  <c r="AM22" i="18"/>
  <c r="AK22" i="18"/>
  <c r="AP9" i="18"/>
  <c r="AP8" i="18"/>
  <c r="AP7" i="18"/>
  <c r="AP6" i="18"/>
  <c r="AP5" i="18"/>
  <c r="AP4" i="18"/>
  <c r="AP10" i="18"/>
  <c r="AP11" i="18"/>
  <c r="AP12" i="18"/>
  <c r="AP13" i="18"/>
  <c r="AP14" i="18"/>
  <c r="AP15" i="18"/>
  <c r="AP16" i="18"/>
  <c r="AP17" i="18"/>
  <c r="AP3" i="18"/>
  <c r="AO8" i="18"/>
  <c r="AO7" i="18"/>
  <c r="AO6" i="18"/>
  <c r="AO5" i="18"/>
  <c r="AO4" i="18"/>
  <c r="AO9" i="18"/>
  <c r="AO10" i="18"/>
  <c r="AO11" i="18"/>
  <c r="AO12" i="18"/>
  <c r="AO13" i="18"/>
  <c r="AO14" i="18"/>
  <c r="AO15" i="18"/>
  <c r="AO16" i="18"/>
  <c r="AO17" i="18"/>
  <c r="AO3" i="18"/>
  <c r="V64" i="9"/>
  <c r="V63" i="9"/>
  <c r="V62" i="9"/>
  <c r="V61" i="9"/>
  <c r="V60" i="9"/>
  <c r="V54" i="9"/>
  <c r="V53" i="9"/>
  <c r="V52" i="9"/>
  <c r="V51" i="9"/>
  <c r="AI66" i="9"/>
  <c r="AI63" i="9"/>
  <c r="AI54" i="9"/>
  <c r="W18" i="20"/>
  <c r="W19" i="20"/>
  <c r="W2" i="20"/>
  <c r="V18" i="20"/>
  <c r="V19" i="20"/>
  <c r="V2" i="20"/>
  <c r="R9" i="2"/>
  <c r="R8" i="2"/>
  <c r="R7" i="2"/>
  <c r="R5" i="2"/>
  <c r="R4" i="2"/>
  <c r="R3" i="2"/>
  <c r="X13" i="22" l="1"/>
  <c r="X11" i="1"/>
  <c r="R72" i="2"/>
  <c r="R71" i="2"/>
  <c r="R69" i="2"/>
  <c r="AF70" i="2"/>
  <c r="W16" i="20" s="1"/>
  <c r="AF16" i="2"/>
  <c r="AF17" i="2"/>
  <c r="AF18" i="2"/>
  <c r="AF19" i="2"/>
  <c r="AF20" i="2"/>
  <c r="AF21" i="2"/>
  <c r="R21" i="2" s="1"/>
  <c r="V4" i="20" s="1"/>
  <c r="AF22" i="2"/>
  <c r="AF23" i="2"/>
  <c r="R23" i="2" s="1"/>
  <c r="AF24" i="2"/>
  <c r="R24" i="2" s="1"/>
  <c r="AF25" i="2"/>
  <c r="AF26" i="2"/>
  <c r="W6" i="20" s="1"/>
  <c r="AF27" i="2"/>
  <c r="AF28" i="2"/>
  <c r="R28" i="2" s="1"/>
  <c r="AF29" i="2"/>
  <c r="R29" i="2" s="1"/>
  <c r="AF30" i="2"/>
  <c r="R30" i="2" s="1"/>
  <c r="AF31" i="2"/>
  <c r="AF32" i="2"/>
  <c r="AF33" i="2"/>
  <c r="W8" i="20" s="1"/>
  <c r="AF34" i="2"/>
  <c r="W9" i="20" s="1"/>
  <c r="AF35" i="2"/>
  <c r="AF36" i="2"/>
  <c r="R36" i="2" s="1"/>
  <c r="AF37" i="2"/>
  <c r="R37" i="2" s="1"/>
  <c r="AF38" i="2"/>
  <c r="R38" i="2" s="1"/>
  <c r="AF39" i="2"/>
  <c r="W11" i="20" s="1"/>
  <c r="AF40" i="2"/>
  <c r="R40" i="2" s="1"/>
  <c r="AF41" i="2"/>
  <c r="R41" i="2" s="1"/>
  <c r="AF42" i="2"/>
  <c r="R42" i="2" s="1"/>
  <c r="AF43" i="2"/>
  <c r="R43" i="2" s="1"/>
  <c r="AF44" i="2"/>
  <c r="R44" i="2" s="1"/>
  <c r="AF45" i="2"/>
  <c r="R45" i="2" s="1"/>
  <c r="AF46" i="2"/>
  <c r="R46" i="2" s="1"/>
  <c r="AF47" i="2"/>
  <c r="AF48" i="2"/>
  <c r="AF49" i="2"/>
  <c r="AF50" i="2"/>
  <c r="R50" i="2" s="1"/>
  <c r="AF51" i="2"/>
  <c r="AF52" i="2"/>
  <c r="R52" i="2" s="1"/>
  <c r="AF53" i="2"/>
  <c r="W14" i="20" s="1"/>
  <c r="AF54" i="2"/>
  <c r="R54" i="2" s="1"/>
  <c r="AF55" i="2"/>
  <c r="R55" i="2" s="1"/>
  <c r="AF56" i="2"/>
  <c r="AF57" i="2"/>
  <c r="AF58" i="2"/>
  <c r="R58" i="2" s="1"/>
  <c r="AF59" i="2"/>
  <c r="AF60" i="2"/>
  <c r="AF61" i="2"/>
  <c r="R61" i="2" s="1"/>
  <c r="V15" i="20" s="1"/>
  <c r="AF63" i="2"/>
  <c r="AF64" i="2"/>
  <c r="AF67" i="2"/>
  <c r="AF68" i="2"/>
  <c r="W17" i="20" s="1"/>
  <c r="AF69" i="2"/>
  <c r="AF73" i="2"/>
  <c r="AF74" i="2"/>
  <c r="R74" i="2" s="1"/>
  <c r="AF75" i="2"/>
  <c r="R75" i="2" s="1"/>
  <c r="AF78" i="2"/>
  <c r="AF80" i="2"/>
  <c r="R80" i="2" s="1"/>
  <c r="AF81" i="2"/>
  <c r="R81" i="2" s="1"/>
  <c r="AF15" i="2"/>
  <c r="W3" i="20" s="1"/>
  <c r="W4" i="20" l="1"/>
  <c r="X12" i="1"/>
  <c r="V13" i="20"/>
  <c r="R34" i="2"/>
  <c r="V9" i="20" s="1"/>
  <c r="R39" i="2"/>
  <c r="V11" i="20" s="1"/>
  <c r="V12" i="20"/>
  <c r="V10" i="20"/>
  <c r="V20" i="20"/>
  <c r="W13" i="20"/>
  <c r="V5" i="20"/>
  <c r="W5" i="20"/>
  <c r="R70" i="2"/>
  <c r="V16" i="20" s="1"/>
  <c r="R15" i="2"/>
  <c r="V3" i="20" s="1"/>
  <c r="R26" i="2"/>
  <c r="V6" i="20" s="1"/>
  <c r="R53" i="2"/>
  <c r="V14" i="20" s="1"/>
  <c r="W10" i="20"/>
  <c r="W20" i="20"/>
  <c r="W7" i="20"/>
  <c r="W15" i="20"/>
  <c r="W12" i="20"/>
  <c r="R27" i="2"/>
  <c r="V7" i="20" s="1"/>
  <c r="R33" i="2"/>
  <c r="V8" i="20" s="1"/>
  <c r="R68" i="2"/>
  <c r="V17" i="20" s="1"/>
  <c r="AF79" i="2"/>
  <c r="AF82" i="2" s="1"/>
  <c r="W21" i="20" l="1"/>
  <c r="W23" i="20" s="1"/>
  <c r="R79" i="2"/>
  <c r="R82" i="2" s="1"/>
  <c r="V21" i="20"/>
  <c r="V23" i="20" s="1"/>
  <c r="U64" i="9"/>
  <c r="R83" i="2" l="1"/>
  <c r="X13" i="1"/>
  <c r="X14" i="1"/>
  <c r="AC70" i="2"/>
  <c r="X14" i="22" l="1"/>
  <c r="X15" i="1"/>
  <c r="X20" i="1" s="1"/>
  <c r="X23" i="1" s="1"/>
  <c r="Q72" i="2"/>
  <c r="Q71" i="2"/>
  <c r="P71" i="2"/>
  <c r="X15" i="22" l="1"/>
  <c r="X16" i="22" s="1"/>
  <c r="X21" i="22" s="1"/>
  <c r="X24" i="22" s="1"/>
  <c r="V9" i="1"/>
  <c r="W9" i="1"/>
  <c r="W6" i="1" l="1"/>
  <c r="W5" i="1"/>
  <c r="W4" i="1"/>
  <c r="W3" i="1"/>
  <c r="AB91" i="3"/>
  <c r="AB94" i="3"/>
  <c r="AB90" i="3"/>
  <c r="W14" i="3"/>
  <c r="W15" i="3"/>
  <c r="W13" i="3"/>
  <c r="W16" i="3"/>
  <c r="X11" i="3"/>
  <c r="X14" i="3"/>
  <c r="X15" i="3"/>
  <c r="X13" i="3"/>
  <c r="X16" i="3"/>
  <c r="Y11" i="3"/>
  <c r="Y14" i="3"/>
  <c r="Y15" i="3"/>
  <c r="Y13" i="3"/>
  <c r="Y16" i="3"/>
  <c r="Z11" i="3"/>
  <c r="Z13" i="3"/>
  <c r="Z16" i="3"/>
  <c r="AA11" i="3"/>
  <c r="AA13" i="3"/>
  <c r="AA16" i="3"/>
  <c r="AB11" i="3"/>
  <c r="AB13" i="3"/>
  <c r="W31" i="3"/>
  <c r="W33" i="3"/>
  <c r="W32" i="3"/>
  <c r="W35" i="3"/>
  <c r="X30" i="3"/>
  <c r="X31" i="3"/>
  <c r="X33" i="3"/>
  <c r="X32" i="3"/>
  <c r="X35" i="3"/>
  <c r="Y30" i="3"/>
  <c r="Y33" i="3"/>
  <c r="Y32" i="3"/>
  <c r="Y35" i="3"/>
  <c r="Z30" i="3"/>
  <c r="Z31" i="3"/>
  <c r="Z34" i="3"/>
  <c r="Z32" i="3"/>
  <c r="Z35" i="3"/>
  <c r="AA30" i="3"/>
  <c r="AA32" i="3"/>
  <c r="AA35" i="3"/>
  <c r="AB30" i="3"/>
  <c r="AB32" i="3"/>
  <c r="W54" i="3"/>
  <c r="W53" i="3"/>
  <c r="W56" i="3"/>
  <c r="X51" i="3"/>
  <c r="X52" i="3"/>
  <c r="X54" i="3"/>
  <c r="X53" i="3"/>
  <c r="X56" i="3"/>
  <c r="Y51" i="3"/>
  <c r="Y52" i="3"/>
  <c r="Y54" i="3"/>
  <c r="Y53" i="3"/>
  <c r="Y56" i="3"/>
  <c r="Z51" i="3"/>
  <c r="Z52" i="3"/>
  <c r="Z53" i="3"/>
  <c r="Z56" i="3"/>
  <c r="AA51" i="3"/>
  <c r="AA53" i="3"/>
  <c r="AA56" i="3"/>
  <c r="AB51" i="3"/>
  <c r="AB53" i="3"/>
  <c r="Y72" i="3"/>
  <c r="Y73" i="3"/>
  <c r="Y76" i="3"/>
  <c r="Z71" i="3"/>
  <c r="Z72" i="3"/>
  <c r="Z76" i="3"/>
  <c r="AA71" i="3"/>
  <c r="AA73" i="3"/>
  <c r="AA76" i="3"/>
  <c r="AB71" i="3"/>
  <c r="AB73" i="3"/>
  <c r="AB89" i="3"/>
  <c r="AB88" i="3"/>
  <c r="AB83" i="3"/>
  <c r="AB82" i="3"/>
  <c r="AB81" i="3"/>
  <c r="AB80" i="3"/>
  <c r="Y66" i="3"/>
  <c r="Z61" i="3"/>
  <c r="Z66" i="3"/>
  <c r="AA61" i="3"/>
  <c r="AA66" i="3"/>
  <c r="AB61" i="3"/>
  <c r="S46" i="3"/>
  <c r="T41" i="3"/>
  <c r="T46" i="3"/>
  <c r="W41" i="3"/>
  <c r="W46" i="3"/>
  <c r="X41" i="3"/>
  <c r="X43" i="3"/>
  <c r="X46" i="3"/>
  <c r="Y41" i="3"/>
  <c r="Y43" i="3"/>
  <c r="Y46" i="3"/>
  <c r="Z41" i="3"/>
  <c r="Z42" i="3"/>
  <c r="Z46" i="3"/>
  <c r="AA41" i="3"/>
  <c r="AA46" i="3"/>
  <c r="AB41" i="3"/>
  <c r="AB46" i="3"/>
  <c r="P3" i="3"/>
  <c r="P5" i="3"/>
  <c r="P8" i="3"/>
  <c r="Q3" i="3"/>
  <c r="Q8" i="3"/>
  <c r="R3" i="3"/>
  <c r="R5" i="3"/>
  <c r="R8" i="3"/>
  <c r="S3" i="3"/>
  <c r="S5" i="3"/>
  <c r="S8" i="3"/>
  <c r="T3" i="3"/>
  <c r="T8" i="3"/>
  <c r="W3" i="3"/>
  <c r="W8" i="3"/>
  <c r="X3" i="3"/>
  <c r="X8" i="3"/>
  <c r="Y3" i="3"/>
  <c r="Y5" i="3"/>
  <c r="Y8" i="3"/>
  <c r="Z3" i="3"/>
  <c r="Z8" i="3"/>
  <c r="AA3" i="3"/>
  <c r="P26" i="3"/>
  <c r="Q21" i="3"/>
  <c r="Q26" i="3"/>
  <c r="R21" i="3"/>
  <c r="R26" i="3"/>
  <c r="S21" i="3"/>
  <c r="S26" i="3"/>
  <c r="T21" i="3"/>
  <c r="T26" i="3"/>
  <c r="W21" i="3"/>
  <c r="W26" i="3"/>
  <c r="X21" i="3"/>
  <c r="X26" i="3"/>
  <c r="Y21" i="3"/>
  <c r="Y26" i="3"/>
  <c r="Z21" i="3"/>
  <c r="Z26" i="3"/>
  <c r="AA21" i="3"/>
  <c r="AA79" i="3"/>
  <c r="AA80" i="3"/>
  <c r="AA81" i="3"/>
  <c r="AA82" i="3"/>
  <c r="AA83" i="3"/>
  <c r="AA84" i="3"/>
  <c r="AB79" i="3"/>
  <c r="AB84" i="3"/>
  <c r="AB76" i="3"/>
  <c r="AB35" i="3"/>
  <c r="AA26" i="3"/>
  <c r="AB21" i="3"/>
  <c r="AB26" i="3"/>
  <c r="AA87" i="3"/>
  <c r="AA89" i="3"/>
  <c r="AA88" i="3"/>
  <c r="AA90" i="3"/>
  <c r="AA91" i="3"/>
  <c r="AA92" i="3"/>
  <c r="AB87" i="3"/>
  <c r="AB92" i="3"/>
  <c r="AB66" i="3"/>
  <c r="AB56" i="3"/>
  <c r="AB10" i="3"/>
  <c r="AB20" i="3"/>
  <c r="AB29" i="3"/>
  <c r="AB40" i="3"/>
  <c r="AB50" i="3"/>
  <c r="AB60" i="3"/>
  <c r="AB70" i="3"/>
  <c r="AB78" i="3"/>
  <c r="AB86" i="3"/>
  <c r="AB16" i="3"/>
  <c r="AA8" i="3"/>
  <c r="AB3" i="3"/>
  <c r="AB8" i="3"/>
  <c r="P3" i="16"/>
  <c r="P4" i="16"/>
  <c r="P5" i="16"/>
  <c r="W17" i="1"/>
  <c r="W18" i="1"/>
  <c r="Q3" i="2"/>
  <c r="Q5" i="2" s="1"/>
  <c r="Q4" i="2"/>
  <c r="AE61" i="2"/>
  <c r="AE15" i="2"/>
  <c r="Q15" i="2" s="1"/>
  <c r="T3" i="20" s="1"/>
  <c r="AE21" i="2"/>
  <c r="Q21" i="2" s="1"/>
  <c r="T4" i="20" s="1"/>
  <c r="AE23" i="2"/>
  <c r="Q23" i="2" s="1"/>
  <c r="AE24" i="2"/>
  <c r="Q24" i="2" s="1"/>
  <c r="Q7" i="2"/>
  <c r="Q8" i="2"/>
  <c r="Q9" i="2"/>
  <c r="AE26" i="2"/>
  <c r="Q26" i="2" s="1"/>
  <c r="T6" i="20" s="1"/>
  <c r="AE27" i="2"/>
  <c r="Q27" i="2" s="1"/>
  <c r="AE28" i="2"/>
  <c r="Q28" i="2" s="1"/>
  <c r="AE29" i="2"/>
  <c r="Q29" i="2" s="1"/>
  <c r="AE30" i="2"/>
  <c r="Q30" i="2" s="1"/>
  <c r="AE33" i="2"/>
  <c r="Q33" i="2" s="1"/>
  <c r="T8" i="20" s="1"/>
  <c r="AE34" i="2"/>
  <c r="Q34" i="2" s="1"/>
  <c r="T9" i="20" s="1"/>
  <c r="AE36" i="2"/>
  <c r="Q36" i="2" s="1"/>
  <c r="AE37" i="2"/>
  <c r="Q37" i="2" s="1"/>
  <c r="AE38" i="2"/>
  <c r="Q38" i="2" s="1"/>
  <c r="AE39" i="2"/>
  <c r="Q39" i="2" s="1"/>
  <c r="T11" i="20" s="1"/>
  <c r="AE40" i="2"/>
  <c r="Q40" i="2" s="1"/>
  <c r="AE41" i="2"/>
  <c r="Q42" i="2"/>
  <c r="AE43" i="2"/>
  <c r="Q43" i="2" s="1"/>
  <c r="AE44" i="2"/>
  <c r="Q44" i="2" s="1"/>
  <c r="AE45" i="2"/>
  <c r="Q45" i="2" s="1"/>
  <c r="AE46" i="2"/>
  <c r="Q46" i="2" s="1"/>
  <c r="AE50" i="2"/>
  <c r="Q50" i="2" s="1"/>
  <c r="AE52" i="2"/>
  <c r="Q52" i="2" s="1"/>
  <c r="AE53" i="2"/>
  <c r="Q53" i="2" s="1"/>
  <c r="T14" i="20" s="1"/>
  <c r="AE54" i="2"/>
  <c r="Q54" i="2" s="1"/>
  <c r="AE55" i="2"/>
  <c r="Q55" i="2" s="1"/>
  <c r="AE58" i="2"/>
  <c r="Q58" i="2" s="1"/>
  <c r="AE68" i="2"/>
  <c r="Q68" i="2" s="1"/>
  <c r="T17" i="20" s="1"/>
  <c r="AE70" i="2"/>
  <c r="Q70" i="2" s="1"/>
  <c r="AE74" i="2"/>
  <c r="Q74" i="2" s="1"/>
  <c r="AE75" i="2"/>
  <c r="Q75" i="2" s="1"/>
  <c r="Q80" i="2"/>
  <c r="Q81" i="2"/>
  <c r="AE16" i="2"/>
  <c r="AE17" i="2"/>
  <c r="AE18" i="2"/>
  <c r="AE19" i="2"/>
  <c r="U4" i="20" s="1"/>
  <c r="AE20" i="2"/>
  <c r="AE22" i="2"/>
  <c r="AE25" i="2"/>
  <c r="AE31" i="2"/>
  <c r="AE32" i="2"/>
  <c r="AE35" i="2"/>
  <c r="AE47" i="2"/>
  <c r="AE48" i="2"/>
  <c r="AE49" i="2"/>
  <c r="AE51" i="2"/>
  <c r="AE56" i="2"/>
  <c r="AE57" i="2"/>
  <c r="AE59" i="2"/>
  <c r="AE60" i="2"/>
  <c r="AE63" i="2"/>
  <c r="AE64" i="2"/>
  <c r="AE67" i="2"/>
  <c r="AE69" i="2"/>
  <c r="AE73" i="2"/>
  <c r="AE78" i="2"/>
  <c r="U51" i="9"/>
  <c r="U52" i="9"/>
  <c r="U53" i="9"/>
  <c r="U60" i="9"/>
  <c r="U61" i="9"/>
  <c r="U62" i="9"/>
  <c r="W34" i="1"/>
  <c r="W35" i="1"/>
  <c r="W36" i="1"/>
  <c r="W42" i="1"/>
  <c r="W37" i="1"/>
  <c r="W38" i="1"/>
  <c r="W26" i="1"/>
  <c r="W27" i="1"/>
  <c r="W28" i="1"/>
  <c r="W29" i="1"/>
  <c r="W30" i="1"/>
  <c r="W31" i="1"/>
  <c r="W40" i="1"/>
  <c r="W8" i="1"/>
  <c r="V26" i="1"/>
  <c r="V27" i="1"/>
  <c r="V28" i="1"/>
  <c r="V29" i="1"/>
  <c r="V30" i="1"/>
  <c r="V31" i="1"/>
  <c r="V8" i="1"/>
  <c r="AD15" i="2"/>
  <c r="P15" i="2" s="1"/>
  <c r="R3" i="20" s="1"/>
  <c r="AD21" i="2"/>
  <c r="P21" i="2" s="1"/>
  <c r="R4" i="20" s="1"/>
  <c r="AD23" i="2"/>
  <c r="P23" i="2" s="1"/>
  <c r="AD24" i="2"/>
  <c r="P24" i="2" s="1"/>
  <c r="AD26" i="2"/>
  <c r="P7" i="2"/>
  <c r="P8" i="2"/>
  <c r="P9" i="2"/>
  <c r="AD27" i="2"/>
  <c r="P27" i="2" s="1"/>
  <c r="AD28" i="2"/>
  <c r="P28" i="2" s="1"/>
  <c r="AD29" i="2"/>
  <c r="P29" i="2" s="1"/>
  <c r="AD30" i="2"/>
  <c r="P30" i="2" s="1"/>
  <c r="AD33" i="2"/>
  <c r="AD34" i="2"/>
  <c r="P34" i="2" s="1"/>
  <c r="R9" i="20" s="1"/>
  <c r="AD36" i="2"/>
  <c r="P36" i="2" s="1"/>
  <c r="AD37" i="2"/>
  <c r="P37" i="2" s="1"/>
  <c r="AD38" i="2"/>
  <c r="P38" i="2" s="1"/>
  <c r="AD39" i="2"/>
  <c r="P39" i="2" s="1"/>
  <c r="R11" i="20" s="1"/>
  <c r="AD40" i="2"/>
  <c r="P40" i="2" s="1"/>
  <c r="AD41" i="2"/>
  <c r="P41" i="2" s="1"/>
  <c r="P42" i="2"/>
  <c r="AD43" i="2"/>
  <c r="P43" i="2" s="1"/>
  <c r="AD44" i="2"/>
  <c r="P44" i="2" s="1"/>
  <c r="AD45" i="2"/>
  <c r="P45" i="2" s="1"/>
  <c r="AD46" i="2"/>
  <c r="P46" i="2" s="1"/>
  <c r="AD50" i="2"/>
  <c r="P50" i="2" s="1"/>
  <c r="AD52" i="2"/>
  <c r="P52" i="2" s="1"/>
  <c r="AD53" i="2"/>
  <c r="P53" i="2" s="1"/>
  <c r="R14" i="20" s="1"/>
  <c r="AD54" i="2"/>
  <c r="P54" i="2" s="1"/>
  <c r="AD55" i="2"/>
  <c r="P55" i="2" s="1"/>
  <c r="AD58" i="2"/>
  <c r="P58" i="2" s="1"/>
  <c r="AD61" i="2"/>
  <c r="P3" i="2"/>
  <c r="P4" i="2"/>
  <c r="P5" i="2"/>
  <c r="AD68" i="2"/>
  <c r="P68" i="2" s="1"/>
  <c r="R17" i="20" s="1"/>
  <c r="AD70" i="2"/>
  <c r="P13" i="2"/>
  <c r="AD74" i="2"/>
  <c r="P74" i="2" s="1"/>
  <c r="AD75" i="2"/>
  <c r="P75" i="2" s="1"/>
  <c r="P69" i="2"/>
  <c r="P72" i="2"/>
  <c r="P80" i="2"/>
  <c r="P81" i="2"/>
  <c r="AD13" i="2"/>
  <c r="AD14" i="2"/>
  <c r="AD16" i="2"/>
  <c r="AD17" i="2"/>
  <c r="AD18" i="2"/>
  <c r="AD19" i="2"/>
  <c r="AD20" i="2"/>
  <c r="AD22" i="2"/>
  <c r="AD25" i="2"/>
  <c r="AD31" i="2"/>
  <c r="AD32" i="2"/>
  <c r="AD35" i="2"/>
  <c r="AD47" i="2"/>
  <c r="AD48" i="2"/>
  <c r="AD49" i="2"/>
  <c r="AD51" i="2"/>
  <c r="AD56" i="2"/>
  <c r="AD57" i="2"/>
  <c r="AD59" i="2"/>
  <c r="AD60" i="2"/>
  <c r="AD63" i="2"/>
  <c r="AD64" i="2"/>
  <c r="AD67" i="2"/>
  <c r="AD69" i="2"/>
  <c r="AD73" i="2"/>
  <c r="AD77" i="2"/>
  <c r="AD78" i="2"/>
  <c r="V3" i="1"/>
  <c r="V4" i="1"/>
  <c r="V5" i="1"/>
  <c r="V6" i="1"/>
  <c r="V7" i="1"/>
  <c r="T51" i="9"/>
  <c r="T52" i="9"/>
  <c r="T53" i="9"/>
  <c r="T60" i="9"/>
  <c r="T61" i="9"/>
  <c r="T62" i="9"/>
  <c r="V18" i="1"/>
  <c r="O3" i="16"/>
  <c r="O4" i="16"/>
  <c r="O5" i="16"/>
  <c r="V17" i="1"/>
  <c r="V16" i="1" s="1"/>
  <c r="V19" i="1"/>
  <c r="V21" i="1"/>
  <c r="W19" i="1"/>
  <c r="W16" i="1"/>
  <c r="P14" i="16"/>
  <c r="P7" i="16"/>
  <c r="P8" i="16"/>
  <c r="P9" i="16"/>
  <c r="U2" i="20"/>
  <c r="U3" i="20"/>
  <c r="U8" i="20"/>
  <c r="U18" i="20"/>
  <c r="U19" i="20"/>
  <c r="U20" i="20"/>
  <c r="T2" i="20"/>
  <c r="T18" i="20"/>
  <c r="T19" i="20"/>
  <c r="T20" i="20"/>
  <c r="R2" i="20"/>
  <c r="R18" i="20"/>
  <c r="R19" i="20"/>
  <c r="R20" i="20"/>
  <c r="AH54" i="9"/>
  <c r="AH63" i="9"/>
  <c r="V7" i="22"/>
  <c r="V10" i="22" s="1"/>
  <c r="V9" i="22"/>
  <c r="AA94" i="3"/>
  <c r="AA10" i="3"/>
  <c r="AA20" i="3"/>
  <c r="AA29" i="3"/>
  <c r="AA40" i="3"/>
  <c r="AA50" i="3"/>
  <c r="AA60" i="3"/>
  <c r="AA70" i="3"/>
  <c r="AA78" i="3"/>
  <c r="AA86" i="3"/>
  <c r="V6" i="22"/>
  <c r="V5" i="22"/>
  <c r="V4" i="22"/>
  <c r="V3" i="22"/>
  <c r="V34" i="1"/>
  <c r="V35" i="1"/>
  <c r="V36" i="1"/>
  <c r="V37" i="1"/>
  <c r="O16" i="16"/>
  <c r="O13" i="16"/>
  <c r="O12" i="16"/>
  <c r="O7" i="16"/>
  <c r="O9" i="16"/>
  <c r="N16" i="16"/>
  <c r="AG54" i="9"/>
  <c r="AG63" i="9"/>
  <c r="V38" i="1"/>
  <c r="V42" i="1"/>
  <c r="AH22" i="18"/>
  <c r="Q2" i="20"/>
  <c r="O3" i="20"/>
  <c r="AI22" i="18"/>
  <c r="AJ22" i="18"/>
  <c r="V19" i="22"/>
  <c r="V18" i="22"/>
  <c r="O4" i="20"/>
  <c r="M4" i="20"/>
  <c r="M3" i="20"/>
  <c r="K4" i="20"/>
  <c r="K3" i="20"/>
  <c r="I4" i="20"/>
  <c r="I3" i="20"/>
  <c r="L7" i="25"/>
  <c r="L9" i="25"/>
  <c r="L16" i="25"/>
  <c r="M26" i="25"/>
  <c r="M27" i="25"/>
  <c r="M28" i="25"/>
  <c r="M29" i="25"/>
  <c r="M3" i="25"/>
  <c r="M4" i="25"/>
  <c r="M34" i="25"/>
  <c r="M35" i="25"/>
  <c r="M36" i="25"/>
  <c r="M42" i="25"/>
  <c r="M5" i="25"/>
  <c r="M6" i="25"/>
  <c r="M7" i="25"/>
  <c r="K34" i="25"/>
  <c r="K36" i="25"/>
  <c r="K37" i="25"/>
  <c r="K38" i="25"/>
  <c r="J34" i="25"/>
  <c r="J36" i="25"/>
  <c r="I36" i="25"/>
  <c r="H36" i="25"/>
  <c r="H42" i="25"/>
  <c r="G34" i="25"/>
  <c r="G36" i="25"/>
  <c r="F42" i="25"/>
  <c r="E42" i="25"/>
  <c r="D42" i="25"/>
  <c r="C42" i="25"/>
  <c r="M37" i="25"/>
  <c r="M38" i="25"/>
  <c r="J37" i="25"/>
  <c r="J38" i="25"/>
  <c r="I37" i="25"/>
  <c r="I38" i="25"/>
  <c r="H37" i="25"/>
  <c r="H38" i="25"/>
  <c r="G37" i="25"/>
  <c r="F38" i="25"/>
  <c r="E38" i="25"/>
  <c r="D38" i="25"/>
  <c r="C38" i="25"/>
  <c r="F36" i="25"/>
  <c r="E36" i="25"/>
  <c r="D36" i="25"/>
  <c r="C36" i="25"/>
  <c r="K26" i="25"/>
  <c r="K27" i="25"/>
  <c r="K28" i="25"/>
  <c r="K29" i="25"/>
  <c r="J26" i="25"/>
  <c r="J27" i="25"/>
  <c r="J28" i="25"/>
  <c r="J29" i="25"/>
  <c r="I26" i="25"/>
  <c r="I27" i="25"/>
  <c r="I28" i="25"/>
  <c r="I29" i="25"/>
  <c r="H26" i="25"/>
  <c r="H27" i="25"/>
  <c r="H28" i="25"/>
  <c r="H30" i="25"/>
  <c r="H31" i="25"/>
  <c r="H8" i="25"/>
  <c r="G26" i="25"/>
  <c r="G27" i="25"/>
  <c r="G28" i="25"/>
  <c r="G30" i="25"/>
  <c r="G31" i="25"/>
  <c r="G8" i="25"/>
  <c r="F31" i="25"/>
  <c r="E31" i="25"/>
  <c r="D31" i="25"/>
  <c r="C31" i="25"/>
  <c r="F28" i="25"/>
  <c r="E28" i="25"/>
  <c r="D28" i="25"/>
  <c r="C28" i="25"/>
  <c r="M19" i="25"/>
  <c r="M21" i="25"/>
  <c r="H7" i="25"/>
  <c r="H9" i="25"/>
  <c r="H15" i="25"/>
  <c r="H16" i="25"/>
  <c r="H20" i="25"/>
  <c r="H23" i="25"/>
  <c r="G7" i="25"/>
  <c r="G9" i="25"/>
  <c r="G15" i="25"/>
  <c r="G16" i="25"/>
  <c r="G20" i="25"/>
  <c r="G23" i="25"/>
  <c r="F8" i="25"/>
  <c r="F9" i="25"/>
  <c r="F10" i="25"/>
  <c r="F13" i="25"/>
  <c r="F15" i="25" s="1"/>
  <c r="F20" i="25" s="1"/>
  <c r="F23" i="25" s="1"/>
  <c r="F16" i="25"/>
  <c r="E8" i="25"/>
  <c r="E9" i="25"/>
  <c r="E13" i="25"/>
  <c r="E16" i="25"/>
  <c r="D8" i="25"/>
  <c r="D9" i="25"/>
  <c r="D13" i="25"/>
  <c r="D15" i="25" s="1"/>
  <c r="D20" i="25" s="1"/>
  <c r="D23" i="25" s="1"/>
  <c r="D16" i="25"/>
  <c r="C8" i="25"/>
  <c r="C9" i="25"/>
  <c r="C13" i="25"/>
  <c r="C16" i="25"/>
  <c r="E7" i="24"/>
  <c r="B29" i="24" s="1"/>
  <c r="B33" i="24" s="1"/>
  <c r="E19" i="24"/>
  <c r="E4" i="24"/>
  <c r="E5" i="24"/>
  <c r="E9" i="24"/>
  <c r="L9" i="24"/>
  <c r="L6" i="24"/>
  <c r="E27" i="24"/>
  <c r="B31" i="24"/>
  <c r="M4" i="24"/>
  <c r="M28" i="24"/>
  <c r="L4" i="24"/>
  <c r="L28" i="24"/>
  <c r="K19" i="24"/>
  <c r="K4" i="24"/>
  <c r="J19" i="24"/>
  <c r="J4" i="24"/>
  <c r="J5" i="24"/>
  <c r="J7" i="24"/>
  <c r="J8" i="24" s="1"/>
  <c r="J13" i="24" s="1"/>
  <c r="J15" i="24" s="1"/>
  <c r="J9" i="24"/>
  <c r="I19" i="24"/>
  <c r="I4" i="24"/>
  <c r="H19" i="24"/>
  <c r="H4" i="24"/>
  <c r="H28" i="24"/>
  <c r="G19" i="24"/>
  <c r="G4" i="24"/>
  <c r="F19" i="24"/>
  <c r="F4" i="24"/>
  <c r="F5" i="24"/>
  <c r="F7" i="24"/>
  <c r="F8" i="24" s="1"/>
  <c r="F13" i="24" s="1"/>
  <c r="F15" i="24" s="1"/>
  <c r="F9" i="24"/>
  <c r="E28" i="24"/>
  <c r="D19" i="24"/>
  <c r="D4" i="24"/>
  <c r="D28" i="24"/>
  <c r="C19" i="24"/>
  <c r="C4" i="24"/>
  <c r="B19" i="24"/>
  <c r="B4" i="24"/>
  <c r="B28" i="24"/>
  <c r="K27" i="24"/>
  <c r="J27" i="24"/>
  <c r="I27" i="24"/>
  <c r="H27" i="24"/>
  <c r="G27" i="24"/>
  <c r="F27" i="24"/>
  <c r="D27" i="24"/>
  <c r="C27" i="24"/>
  <c r="B27" i="24"/>
  <c r="K23" i="24"/>
  <c r="J23" i="24"/>
  <c r="I23" i="24"/>
  <c r="H23" i="24"/>
  <c r="G23" i="24"/>
  <c r="F23" i="24"/>
  <c r="E23" i="24"/>
  <c r="D23" i="24"/>
  <c r="C23" i="24"/>
  <c r="B23" i="24"/>
  <c r="K6" i="24"/>
  <c r="L10" i="25" s="1"/>
  <c r="K7" i="24"/>
  <c r="L13" i="25" s="1"/>
  <c r="K9" i="24"/>
  <c r="I7" i="24"/>
  <c r="I8" i="24" s="1"/>
  <c r="I13" i="24" s="1"/>
  <c r="I15" i="24" s="1"/>
  <c r="I9" i="24"/>
  <c r="H7" i="24"/>
  <c r="H8" i="24" s="1"/>
  <c r="H13" i="24" s="1"/>
  <c r="H15" i="24" s="1"/>
  <c r="H9" i="24"/>
  <c r="G7" i="24"/>
  <c r="G8" i="24" s="1"/>
  <c r="G13" i="24" s="1"/>
  <c r="G15" i="24" s="1"/>
  <c r="G9" i="24"/>
  <c r="D7" i="24"/>
  <c r="D8" i="24" s="1"/>
  <c r="D13" i="24" s="1"/>
  <c r="D15" i="24" s="1"/>
  <c r="D9" i="24"/>
  <c r="C7" i="24"/>
  <c r="C8" i="24" s="1"/>
  <c r="C13" i="24" s="1"/>
  <c r="C15" i="24" s="1"/>
  <c r="C9" i="24"/>
  <c r="B7" i="24"/>
  <c r="B8" i="24" s="1"/>
  <c r="B13" i="24" s="1"/>
  <c r="B15" i="24" s="1"/>
  <c r="B9" i="24"/>
  <c r="M14" i="24"/>
  <c r="L14" i="24"/>
  <c r="M12" i="24"/>
  <c r="L12" i="24"/>
  <c r="M11" i="24"/>
  <c r="L11" i="24"/>
  <c r="M10" i="24"/>
  <c r="L10" i="24"/>
  <c r="M9" i="24"/>
  <c r="M6" i="24"/>
  <c r="Q18" i="20"/>
  <c r="Q19" i="20"/>
  <c r="Q20" i="20"/>
  <c r="O2" i="20"/>
  <c r="O5" i="20"/>
  <c r="O6" i="20"/>
  <c r="O7" i="20"/>
  <c r="O8" i="20"/>
  <c r="O9" i="20"/>
  <c r="O10" i="20"/>
  <c r="O11" i="20"/>
  <c r="O12" i="20"/>
  <c r="O13" i="20"/>
  <c r="O14" i="20"/>
  <c r="O15" i="20"/>
  <c r="O17" i="20"/>
  <c r="O18" i="20"/>
  <c r="O19" i="20"/>
  <c r="O20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" i="20"/>
  <c r="N20" i="20"/>
  <c r="K2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I2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S51" i="9"/>
  <c r="S52" i="9"/>
  <c r="S53" i="9"/>
  <c r="S60" i="9"/>
  <c r="S61" i="9"/>
  <c r="S62" i="9"/>
  <c r="U3" i="1"/>
  <c r="U4" i="1"/>
  <c r="U5" i="1"/>
  <c r="U6" i="1"/>
  <c r="U7" i="1"/>
  <c r="U7" i="22"/>
  <c r="U10" i="22" s="1"/>
  <c r="U9" i="22"/>
  <c r="O13" i="2"/>
  <c r="P2" i="20"/>
  <c r="AC15" i="2"/>
  <c r="Q3" i="20" s="1"/>
  <c r="AC21" i="2"/>
  <c r="O21" i="2" s="1"/>
  <c r="AC23" i="2"/>
  <c r="O23" i="2" s="1"/>
  <c r="AC24" i="2"/>
  <c r="O24" i="2" s="1"/>
  <c r="O7" i="2"/>
  <c r="O8" i="2"/>
  <c r="O9" i="2"/>
  <c r="AC26" i="2"/>
  <c r="O26" i="2" s="1"/>
  <c r="P6" i="20" s="1"/>
  <c r="AC27" i="2"/>
  <c r="O27" i="2" s="1"/>
  <c r="AC28" i="2"/>
  <c r="O28" i="2" s="1"/>
  <c r="AC29" i="2"/>
  <c r="O29" i="2" s="1"/>
  <c r="AC30" i="2"/>
  <c r="O30" i="2" s="1"/>
  <c r="AC33" i="2"/>
  <c r="O33" i="2" s="1"/>
  <c r="P8" i="20" s="1"/>
  <c r="AC34" i="2"/>
  <c r="O34" i="2" s="1"/>
  <c r="P9" i="20" s="1"/>
  <c r="AC36" i="2"/>
  <c r="O36" i="2" s="1"/>
  <c r="AC37" i="2"/>
  <c r="O37" i="2" s="1"/>
  <c r="AC38" i="2"/>
  <c r="O38" i="2" s="1"/>
  <c r="AC39" i="2"/>
  <c r="Q11" i="20" s="1"/>
  <c r="AC40" i="2"/>
  <c r="O40" i="2" s="1"/>
  <c r="AC41" i="2"/>
  <c r="O41" i="2" s="1"/>
  <c r="O42" i="2"/>
  <c r="AC43" i="2"/>
  <c r="O43" i="2" s="1"/>
  <c r="AC44" i="2"/>
  <c r="O44" i="2" s="1"/>
  <c r="AC45" i="2"/>
  <c r="O45" i="2" s="1"/>
  <c r="AC46" i="2"/>
  <c r="O46" i="2" s="1"/>
  <c r="AC50" i="2"/>
  <c r="O50" i="2" s="1"/>
  <c r="AC52" i="2"/>
  <c r="O52" i="2" s="1"/>
  <c r="AC53" i="2"/>
  <c r="Q14" i="20" s="1"/>
  <c r="AC54" i="2"/>
  <c r="O54" i="2" s="1"/>
  <c r="AC55" i="2"/>
  <c r="O55" i="2" s="1"/>
  <c r="AC58" i="2"/>
  <c r="O58" i="2" s="1"/>
  <c r="AC61" i="2"/>
  <c r="O3" i="2"/>
  <c r="O4" i="2"/>
  <c r="AC68" i="2"/>
  <c r="Q17" i="20" s="1"/>
  <c r="Q16" i="20"/>
  <c r="O71" i="2"/>
  <c r="P18" i="20"/>
  <c r="O72" i="2"/>
  <c r="P19" i="20"/>
  <c r="AC74" i="2"/>
  <c r="O74" i="2" s="1"/>
  <c r="AC75" i="2"/>
  <c r="O75" i="2" s="1"/>
  <c r="O80" i="2"/>
  <c r="O81" i="2"/>
  <c r="AC16" i="2"/>
  <c r="AC17" i="2"/>
  <c r="AC18" i="2"/>
  <c r="AC19" i="2"/>
  <c r="AC20" i="2"/>
  <c r="AC22" i="2"/>
  <c r="AC25" i="2"/>
  <c r="AC31" i="2"/>
  <c r="AC32" i="2"/>
  <c r="AC35" i="2"/>
  <c r="AC48" i="2"/>
  <c r="AC49" i="2"/>
  <c r="AC51" i="2"/>
  <c r="AC56" i="2"/>
  <c r="AC57" i="2"/>
  <c r="AC59" i="2"/>
  <c r="AC60" i="2"/>
  <c r="AC63" i="2"/>
  <c r="AC64" i="2"/>
  <c r="AC67" i="2"/>
  <c r="AC69" i="2"/>
  <c r="AC73" i="2"/>
  <c r="AC77" i="2"/>
  <c r="AC78" i="2"/>
  <c r="U26" i="1"/>
  <c r="U27" i="1"/>
  <c r="U28" i="1"/>
  <c r="R18" i="22"/>
  <c r="R19" i="22"/>
  <c r="R20" i="22"/>
  <c r="R17" i="22"/>
  <c r="R3" i="22"/>
  <c r="R4" i="22"/>
  <c r="R5" i="22"/>
  <c r="R6" i="22"/>
  <c r="R7" i="22"/>
  <c r="R27" i="22"/>
  <c r="R29" i="22"/>
  <c r="R31" i="22"/>
  <c r="R8" i="22"/>
  <c r="P51" i="9"/>
  <c r="P52" i="9"/>
  <c r="P53" i="9"/>
  <c r="P60" i="9"/>
  <c r="P61" i="9"/>
  <c r="R12" i="22"/>
  <c r="L15" i="2"/>
  <c r="J3" i="20"/>
  <c r="L17" i="2"/>
  <c r="L21" i="2"/>
  <c r="J4" i="20"/>
  <c r="L23" i="2"/>
  <c r="L24" i="2"/>
  <c r="L7" i="2"/>
  <c r="L8" i="2"/>
  <c r="L9" i="2"/>
  <c r="L27" i="2"/>
  <c r="L28" i="2"/>
  <c r="L29" i="2"/>
  <c r="L30" i="2"/>
  <c r="J7" i="20" s="1"/>
  <c r="L33" i="2"/>
  <c r="L34" i="2"/>
  <c r="J9" i="20"/>
  <c r="L36" i="2"/>
  <c r="L37" i="2"/>
  <c r="L38" i="2"/>
  <c r="L40" i="2"/>
  <c r="L42" i="2"/>
  <c r="L43" i="2"/>
  <c r="L44" i="2"/>
  <c r="L45" i="2"/>
  <c r="L46" i="2"/>
  <c r="L50" i="2"/>
  <c r="L52" i="2"/>
  <c r="L54" i="2"/>
  <c r="J5" i="20" s="1"/>
  <c r="L55" i="2"/>
  <c r="L58" i="2"/>
  <c r="L3" i="2"/>
  <c r="L69" i="2"/>
  <c r="L4" i="2"/>
  <c r="L71" i="2"/>
  <c r="J18" i="20"/>
  <c r="L72" i="2"/>
  <c r="J19" i="20"/>
  <c r="L74" i="2"/>
  <c r="L75" i="2"/>
  <c r="Z79" i="2"/>
  <c r="Z82" i="2"/>
  <c r="N7" i="16"/>
  <c r="N10" i="16"/>
  <c r="M18" i="25"/>
  <c r="M16" i="25" s="1"/>
  <c r="Z88" i="3"/>
  <c r="Z91" i="3"/>
  <c r="Z94" i="3"/>
  <c r="Z90" i="3"/>
  <c r="Z83" i="3"/>
  <c r="Z82" i="3"/>
  <c r="Z81" i="3"/>
  <c r="Z80" i="3"/>
  <c r="U22" i="22"/>
  <c r="N3" i="16"/>
  <c r="N4" i="16"/>
  <c r="U4" i="22"/>
  <c r="U5" i="22"/>
  <c r="U6" i="22"/>
  <c r="U3" i="22"/>
  <c r="Z20" i="3"/>
  <c r="Z29" i="3"/>
  <c r="Z40" i="3"/>
  <c r="Z50" i="3"/>
  <c r="Z60" i="3"/>
  <c r="Z70" i="3"/>
  <c r="Z78" i="3"/>
  <c r="Z86" i="3"/>
  <c r="U21" i="1"/>
  <c r="U19" i="1"/>
  <c r="U18" i="1"/>
  <c r="U19" i="22"/>
  <c r="U29" i="1"/>
  <c r="U34" i="1"/>
  <c r="U35" i="1"/>
  <c r="U36" i="1"/>
  <c r="U37" i="1"/>
  <c r="U38" i="1"/>
  <c r="T35" i="1"/>
  <c r="T37" i="1"/>
  <c r="T34" i="1"/>
  <c r="T36" i="1"/>
  <c r="L12" i="16"/>
  <c r="L13" i="16"/>
  <c r="AG22" i="18"/>
  <c r="AF22" i="18"/>
  <c r="E15" i="18"/>
  <c r="AE22" i="18"/>
  <c r="F15" i="18"/>
  <c r="AF54" i="9"/>
  <c r="AF63" i="9"/>
  <c r="AF66" i="9"/>
  <c r="P20" i="20"/>
  <c r="Z10" i="3"/>
  <c r="AE54" i="9"/>
  <c r="AE63" i="9"/>
  <c r="T3" i="22"/>
  <c r="T4" i="22"/>
  <c r="T5" i="22"/>
  <c r="T6" i="22"/>
  <c r="T7" i="22"/>
  <c r="T27" i="22"/>
  <c r="T28" i="22"/>
  <c r="T29" i="22"/>
  <c r="T30" i="22"/>
  <c r="T31" i="22"/>
  <c r="R51" i="9"/>
  <c r="R36" i="17" s="1"/>
  <c r="R52" i="9"/>
  <c r="R37" i="17" s="1"/>
  <c r="R53" i="9"/>
  <c r="R38" i="17" s="1"/>
  <c r="R60" i="9"/>
  <c r="R45" i="17" s="1"/>
  <c r="R61" i="9"/>
  <c r="R46" i="17" s="1"/>
  <c r="R62" i="9"/>
  <c r="T12" i="22"/>
  <c r="N13" i="2"/>
  <c r="N15" i="2"/>
  <c r="N3" i="20"/>
  <c r="N21" i="2"/>
  <c r="N23" i="2"/>
  <c r="N24" i="2"/>
  <c r="N7" i="2"/>
  <c r="N8" i="2"/>
  <c r="N9" i="2"/>
  <c r="N26" i="2"/>
  <c r="N6" i="20"/>
  <c r="N27" i="2"/>
  <c r="N7" i="20" s="1"/>
  <c r="N28" i="2"/>
  <c r="N29" i="2"/>
  <c r="N30" i="2"/>
  <c r="N33" i="2"/>
  <c r="N8" i="20" s="1"/>
  <c r="N34" i="2"/>
  <c r="N9" i="20"/>
  <c r="N36" i="2"/>
  <c r="N10" i="20" s="1"/>
  <c r="N37" i="2"/>
  <c r="N38" i="2"/>
  <c r="N40" i="2"/>
  <c r="N42" i="2"/>
  <c r="N12" i="20" s="1"/>
  <c r="N43" i="2"/>
  <c r="N44" i="2"/>
  <c r="N45" i="2"/>
  <c r="N46" i="2"/>
  <c r="N50" i="2"/>
  <c r="N13" i="20"/>
  <c r="N52" i="2"/>
  <c r="N54" i="2"/>
  <c r="N5" i="20" s="1"/>
  <c r="N55" i="2"/>
  <c r="N58" i="2"/>
  <c r="N3" i="2"/>
  <c r="N69" i="2" s="1"/>
  <c r="N4" i="2"/>
  <c r="AB70" i="2"/>
  <c r="N71" i="2"/>
  <c r="N18" i="20"/>
  <c r="N72" i="2"/>
  <c r="N19" i="20"/>
  <c r="N74" i="2"/>
  <c r="N75" i="2"/>
  <c r="R22" i="22"/>
  <c r="S22" i="22"/>
  <c r="T22" i="22"/>
  <c r="S20" i="22"/>
  <c r="T20" i="22"/>
  <c r="T17" i="22"/>
  <c r="F43" i="22"/>
  <c r="E43" i="22"/>
  <c r="D43" i="22"/>
  <c r="C43" i="22"/>
  <c r="F39" i="22"/>
  <c r="E39" i="22"/>
  <c r="D39" i="22"/>
  <c r="C39" i="22"/>
  <c r="S38" i="22"/>
  <c r="R38" i="22"/>
  <c r="N38" i="22"/>
  <c r="M38" i="22"/>
  <c r="K38" i="22"/>
  <c r="J38" i="22"/>
  <c r="I38" i="22"/>
  <c r="H38" i="22"/>
  <c r="G38" i="22"/>
  <c r="P37" i="22"/>
  <c r="P43" i="22"/>
  <c r="O37" i="22"/>
  <c r="O39" i="22"/>
  <c r="I37" i="22"/>
  <c r="I39" i="22"/>
  <c r="H37" i="22"/>
  <c r="H43" i="22"/>
  <c r="F37" i="22"/>
  <c r="E37" i="22"/>
  <c r="D37" i="22"/>
  <c r="C37" i="22"/>
  <c r="T36" i="22"/>
  <c r="T38" i="22"/>
  <c r="T35" i="22"/>
  <c r="S35" i="22"/>
  <c r="S37" i="22"/>
  <c r="S39" i="22"/>
  <c r="R35" i="22"/>
  <c r="R37" i="22"/>
  <c r="N35" i="22"/>
  <c r="N37" i="22"/>
  <c r="N39" i="22"/>
  <c r="M35" i="22"/>
  <c r="M37" i="22"/>
  <c r="M39" i="22"/>
  <c r="K35" i="22"/>
  <c r="K37" i="22"/>
  <c r="K39" i="22"/>
  <c r="J35" i="22"/>
  <c r="J37" i="22"/>
  <c r="J39" i="22"/>
  <c r="G35" i="22"/>
  <c r="G37" i="22"/>
  <c r="G43" i="22"/>
  <c r="F32" i="22"/>
  <c r="F9" i="22"/>
  <c r="F10" i="22"/>
  <c r="E32" i="22"/>
  <c r="E9" i="22"/>
  <c r="E10" i="22"/>
  <c r="D32" i="22"/>
  <c r="C32" i="22"/>
  <c r="C9" i="22"/>
  <c r="C10" i="22"/>
  <c r="H31" i="22"/>
  <c r="G31" i="22"/>
  <c r="S30" i="22"/>
  <c r="N30" i="22"/>
  <c r="M30" i="22"/>
  <c r="L30" i="22"/>
  <c r="K30" i="22"/>
  <c r="J30" i="22"/>
  <c r="I30" i="22"/>
  <c r="P29" i="22"/>
  <c r="P32" i="22"/>
  <c r="P9" i="22"/>
  <c r="P7" i="22"/>
  <c r="P10" i="22"/>
  <c r="P11" i="22"/>
  <c r="P14" i="22"/>
  <c r="P16" i="22"/>
  <c r="O29" i="22"/>
  <c r="O32" i="22"/>
  <c r="O9" i="22"/>
  <c r="O7" i="22"/>
  <c r="O10" i="22"/>
  <c r="O11" i="22"/>
  <c r="O14" i="22"/>
  <c r="O16" i="22"/>
  <c r="F29" i="22"/>
  <c r="E29" i="22"/>
  <c r="D29" i="22"/>
  <c r="C29" i="22"/>
  <c r="S28" i="22"/>
  <c r="N28" i="22"/>
  <c r="M28" i="22"/>
  <c r="L28" i="22"/>
  <c r="K28" i="22"/>
  <c r="J28" i="22"/>
  <c r="I28" i="22"/>
  <c r="H28" i="22"/>
  <c r="G28" i="22"/>
  <c r="S27" i="22"/>
  <c r="S29" i="22"/>
  <c r="N27" i="22"/>
  <c r="M27" i="22"/>
  <c r="M29" i="22"/>
  <c r="L27" i="22"/>
  <c r="K27" i="22"/>
  <c r="J27" i="22"/>
  <c r="I27" i="22"/>
  <c r="H27" i="22"/>
  <c r="G27" i="22"/>
  <c r="P22" i="22"/>
  <c r="O22" i="22"/>
  <c r="P21" i="22"/>
  <c r="P24" i="22"/>
  <c r="O21" i="22"/>
  <c r="O24" i="22"/>
  <c r="P20" i="22"/>
  <c r="O20" i="22"/>
  <c r="S19" i="22"/>
  <c r="P19" i="22"/>
  <c r="O19" i="22"/>
  <c r="S18" i="22"/>
  <c r="S17" i="22"/>
  <c r="P18" i="22"/>
  <c r="O18" i="22"/>
  <c r="P17" i="22"/>
  <c r="O17" i="22"/>
  <c r="H17" i="22"/>
  <c r="G17" i="22"/>
  <c r="F17" i="22"/>
  <c r="E17" i="22"/>
  <c r="D17" i="22"/>
  <c r="C17" i="22"/>
  <c r="F14" i="22"/>
  <c r="F16" i="22" s="1"/>
  <c r="F21" i="22" s="1"/>
  <c r="E14" i="22"/>
  <c r="E16" i="22" s="1"/>
  <c r="E21" i="22" s="1"/>
  <c r="E24" i="22" s="1"/>
  <c r="D14" i="22"/>
  <c r="D16" i="22" s="1"/>
  <c r="D21" i="22" s="1"/>
  <c r="D24" i="22" s="1"/>
  <c r="C14" i="22"/>
  <c r="C16" i="22" s="1"/>
  <c r="C21" i="22" s="1"/>
  <c r="C24" i="22" s="1"/>
  <c r="F11" i="22"/>
  <c r="Q9" i="22"/>
  <c r="D9" i="22"/>
  <c r="D10" i="22"/>
  <c r="H7" i="22"/>
  <c r="G7" i="22"/>
  <c r="S6" i="22"/>
  <c r="S5" i="22"/>
  <c r="S4" i="22"/>
  <c r="S3" i="22"/>
  <c r="S7" i="22"/>
  <c r="H39" i="22"/>
  <c r="H29" i="22"/>
  <c r="H32" i="22"/>
  <c r="H9" i="22"/>
  <c r="H10" i="22"/>
  <c r="H16" i="22"/>
  <c r="H21" i="22"/>
  <c r="H24" i="22"/>
  <c r="L29" i="22"/>
  <c r="L31" i="22"/>
  <c r="O43" i="22"/>
  <c r="S43" i="22"/>
  <c r="T37" i="22"/>
  <c r="T39" i="22"/>
  <c r="P39" i="22"/>
  <c r="I29" i="22"/>
  <c r="I31" i="22"/>
  <c r="I32" i="22"/>
  <c r="I9" i="22"/>
  <c r="N29" i="22"/>
  <c r="N31" i="22"/>
  <c r="G29" i="22"/>
  <c r="G32" i="22"/>
  <c r="G9" i="22"/>
  <c r="G10" i="22"/>
  <c r="G16" i="22"/>
  <c r="G21" i="22"/>
  <c r="G24" i="22"/>
  <c r="K29" i="22"/>
  <c r="K31" i="22"/>
  <c r="K32" i="22"/>
  <c r="K9" i="22"/>
  <c r="G39" i="22"/>
  <c r="J29" i="22"/>
  <c r="J31" i="22"/>
  <c r="J32" i="22"/>
  <c r="J9" i="22"/>
  <c r="T43" i="22"/>
  <c r="T4" i="1"/>
  <c r="S4" i="1"/>
  <c r="T3" i="1"/>
  <c r="T5" i="1"/>
  <c r="T6" i="1"/>
  <c r="T7" i="1"/>
  <c r="S3" i="1"/>
  <c r="S5" i="1"/>
  <c r="S6" i="1"/>
  <c r="S7" i="1"/>
  <c r="R4" i="1"/>
  <c r="R5" i="1"/>
  <c r="R3" i="1"/>
  <c r="R6" i="1"/>
  <c r="R7" i="1"/>
  <c r="N5" i="1"/>
  <c r="N21" i="1"/>
  <c r="N6" i="1"/>
  <c r="N19" i="1"/>
  <c r="N18" i="1"/>
  <c r="N17" i="1"/>
  <c r="N14" i="1"/>
  <c r="N13" i="1"/>
  <c r="N11" i="1"/>
  <c r="R21" i="1"/>
  <c r="R11" i="1"/>
  <c r="R19" i="1"/>
  <c r="R18" i="1"/>
  <c r="R17" i="1"/>
  <c r="R16" i="1"/>
  <c r="S21" i="1"/>
  <c r="S19" i="1"/>
  <c r="S18" i="1"/>
  <c r="S17" i="1"/>
  <c r="S11" i="1"/>
  <c r="S12" i="22"/>
  <c r="R13" i="9"/>
  <c r="P41" i="9"/>
  <c r="P37" i="9"/>
  <c r="P34" i="9"/>
  <c r="P38" i="9" s="1"/>
  <c r="P43" i="9" s="1"/>
  <c r="P46" i="9" s="1"/>
  <c r="Q41" i="9"/>
  <c r="Q37" i="9"/>
  <c r="Q34" i="9"/>
  <c r="Q38" i="9" s="1"/>
  <c r="P17" i="9"/>
  <c r="P20" i="9"/>
  <c r="Q43" i="9"/>
  <c r="Q46" i="9" s="1"/>
  <c r="R40" i="9"/>
  <c r="Q24" i="9"/>
  <c r="Q23" i="9"/>
  <c r="P22" i="9"/>
  <c r="P25" i="9" s="1"/>
  <c r="P26" i="9" s="1"/>
  <c r="P28" i="9" s="1"/>
  <c r="P29" i="9" s="1"/>
  <c r="P47" i="9" s="1"/>
  <c r="P33" i="17" s="1"/>
  <c r="Q17" i="9"/>
  <c r="Q20" i="9"/>
  <c r="Q13" i="17"/>
  <c r="T21" i="1"/>
  <c r="T11" i="1"/>
  <c r="AB22" i="18"/>
  <c r="AD4" i="18"/>
  <c r="AD5" i="18"/>
  <c r="AD6" i="18"/>
  <c r="AD7" i="18"/>
  <c r="AD8" i="18"/>
  <c r="AD9" i="18"/>
  <c r="AD10" i="18"/>
  <c r="AD11" i="18"/>
  <c r="AD12" i="18"/>
  <c r="AD13" i="18"/>
  <c r="AD14" i="18"/>
  <c r="AD15" i="18"/>
  <c r="AD3" i="18"/>
  <c r="AD22" i="18"/>
  <c r="AC5" i="18"/>
  <c r="AC6" i="18"/>
  <c r="AC7" i="18"/>
  <c r="AC8" i="18"/>
  <c r="AC9" i="18"/>
  <c r="AC10" i="18"/>
  <c r="AC11" i="18"/>
  <c r="AC12" i="18"/>
  <c r="AC13" i="18"/>
  <c r="AC14" i="18"/>
  <c r="AC15" i="18"/>
  <c r="AC4" i="18"/>
  <c r="AC3" i="18"/>
  <c r="AC22" i="18"/>
  <c r="Y88" i="3"/>
  <c r="Y83" i="3"/>
  <c r="Y82" i="3"/>
  <c r="Y80" i="3"/>
  <c r="T27" i="1"/>
  <c r="S37" i="1"/>
  <c r="T29" i="1"/>
  <c r="T26" i="1"/>
  <c r="T28" i="1"/>
  <c r="S27" i="1"/>
  <c r="S26" i="1"/>
  <c r="S28" i="1"/>
  <c r="T38" i="1"/>
  <c r="T30" i="1"/>
  <c r="Y91" i="3"/>
  <c r="Y94" i="3"/>
  <c r="Y40" i="3"/>
  <c r="Y50" i="3"/>
  <c r="Y60" i="3"/>
  <c r="Y70" i="3"/>
  <c r="Y78" i="3"/>
  <c r="Y86" i="3"/>
  <c r="Y29" i="3"/>
  <c r="Y20" i="3"/>
  <c r="Y10" i="3"/>
  <c r="T18" i="1"/>
  <c r="L77" i="3"/>
  <c r="K77" i="3"/>
  <c r="J77" i="3"/>
  <c r="I77" i="3"/>
  <c r="H77" i="3"/>
  <c r="G77" i="3"/>
  <c r="F77" i="3"/>
  <c r="E77" i="3"/>
  <c r="D77" i="3"/>
  <c r="C77" i="3"/>
  <c r="S76" i="3"/>
  <c r="W76" i="3"/>
  <c r="Q74" i="3"/>
  <c r="P74" i="3"/>
  <c r="Q72" i="3"/>
  <c r="P72" i="3"/>
  <c r="N72" i="3"/>
  <c r="M72" i="3"/>
  <c r="P71" i="3"/>
  <c r="M71" i="3"/>
  <c r="M76" i="3"/>
  <c r="N71" i="3"/>
  <c r="Q70" i="3"/>
  <c r="S66" i="3"/>
  <c r="T66" i="3"/>
  <c r="W66" i="3"/>
  <c r="O66" i="3"/>
  <c r="P61" i="3"/>
  <c r="P66" i="3"/>
  <c r="Q61" i="3"/>
  <c r="Q66" i="3"/>
  <c r="R66" i="3"/>
  <c r="M61" i="3"/>
  <c r="M66" i="3"/>
  <c r="N61" i="3"/>
  <c r="N66" i="3"/>
  <c r="V60" i="3"/>
  <c r="P60" i="3"/>
  <c r="P70" i="3"/>
  <c r="R24" i="17"/>
  <c r="R26" i="17"/>
  <c r="R13" i="17"/>
  <c r="R15" i="17"/>
  <c r="R16" i="17"/>
  <c r="R47" i="17"/>
  <c r="R39" i="9"/>
  <c r="R32" i="9"/>
  <c r="R35" i="9"/>
  <c r="R38" i="9"/>
  <c r="R43" i="9" s="1"/>
  <c r="R27" i="9"/>
  <c r="R29" i="17"/>
  <c r="R30" i="17" s="1"/>
  <c r="R17" i="9"/>
  <c r="AE38" i="9"/>
  <c r="AE43" i="9" s="1"/>
  <c r="AE46" i="9" s="1"/>
  <c r="AE29" i="9"/>
  <c r="AE47" i="9" s="1"/>
  <c r="AD29" i="9"/>
  <c r="AD47" i="9" s="1"/>
  <c r="Y90" i="3"/>
  <c r="T19" i="1"/>
  <c r="T76" i="3"/>
  <c r="X66" i="3"/>
  <c r="X76" i="3"/>
  <c r="P73" i="3"/>
  <c r="P76" i="3"/>
  <c r="Q71" i="3"/>
  <c r="T17" i="1"/>
  <c r="T16" i="1" s="1"/>
  <c r="R76" i="3"/>
  <c r="V40" i="3"/>
  <c r="V20" i="3"/>
  <c r="V2" i="3"/>
  <c r="H15" i="16"/>
  <c r="Q27" i="17"/>
  <c r="R27" i="17"/>
  <c r="Y12" i="18"/>
  <c r="Y11" i="18"/>
  <c r="Z11" i="18"/>
  <c r="Y10" i="18"/>
  <c r="Y9" i="18"/>
  <c r="AA9" i="18"/>
  <c r="Y8" i="18"/>
  <c r="Y7" i="18"/>
  <c r="Y6" i="18"/>
  <c r="Y3" i="18"/>
  <c r="Y4" i="18"/>
  <c r="Y5" i="18"/>
  <c r="Y22" i="18"/>
  <c r="AA3" i="18"/>
  <c r="Z17" i="18"/>
  <c r="AA17" i="18"/>
  <c r="Z18" i="18"/>
  <c r="AA18" i="18"/>
  <c r="Z19" i="18"/>
  <c r="AA19" i="18"/>
  <c r="Z20" i="18"/>
  <c r="AA20" i="18"/>
  <c r="AA4" i="18"/>
  <c r="AA7" i="18"/>
  <c r="AA8" i="18"/>
  <c r="AA10" i="18"/>
  <c r="AA11" i="18"/>
  <c r="AA12" i="18"/>
  <c r="AA13" i="18"/>
  <c r="AA14" i="18"/>
  <c r="AA15" i="18"/>
  <c r="AA16" i="18"/>
  <c r="Z4" i="18"/>
  <c r="Z7" i="18"/>
  <c r="Z8" i="18"/>
  <c r="Z10" i="18"/>
  <c r="Z12" i="18"/>
  <c r="Z13" i="18"/>
  <c r="Z14" i="18"/>
  <c r="Z15" i="18"/>
  <c r="Z16" i="18"/>
  <c r="Z3" i="18"/>
  <c r="X83" i="3"/>
  <c r="X82" i="3"/>
  <c r="X80" i="3"/>
  <c r="X88" i="3"/>
  <c r="S29" i="1"/>
  <c r="S34" i="1"/>
  <c r="S36" i="1"/>
  <c r="S38" i="1"/>
  <c r="L8" i="16"/>
  <c r="X91" i="3"/>
  <c r="X94" i="3"/>
  <c r="L3" i="16"/>
  <c r="L4" i="16"/>
  <c r="L6" i="16" s="1"/>
  <c r="X90" i="3"/>
  <c r="X40" i="3"/>
  <c r="X50" i="3"/>
  <c r="X60" i="3"/>
  <c r="X70" i="3"/>
  <c r="X29" i="3"/>
  <c r="X20" i="3"/>
  <c r="X10" i="3"/>
  <c r="L20" i="20"/>
  <c r="M8" i="2"/>
  <c r="M7" i="2"/>
  <c r="M4" i="2"/>
  <c r="M3" i="2"/>
  <c r="M69" i="2"/>
  <c r="X78" i="3"/>
  <c r="X86" i="3"/>
  <c r="L7" i="16"/>
  <c r="L10" i="16" s="1"/>
  <c r="M9" i="2"/>
  <c r="M72" i="2"/>
  <c r="L19" i="20"/>
  <c r="M71" i="2"/>
  <c r="L18" i="20"/>
  <c r="M21" i="2"/>
  <c r="L4" i="20"/>
  <c r="M23" i="2"/>
  <c r="M24" i="2"/>
  <c r="M27" i="2"/>
  <c r="M28" i="2"/>
  <c r="M29" i="2"/>
  <c r="M30" i="2"/>
  <c r="M33" i="2"/>
  <c r="L8" i="20"/>
  <c r="M34" i="2"/>
  <c r="L9" i="20" s="1"/>
  <c r="M36" i="2"/>
  <c r="M37" i="2"/>
  <c r="L10" i="20" s="1"/>
  <c r="M38" i="2"/>
  <c r="M40" i="2"/>
  <c r="M41" i="2"/>
  <c r="M42" i="2"/>
  <c r="M43" i="2"/>
  <c r="M44" i="2"/>
  <c r="M45" i="2"/>
  <c r="M46" i="2"/>
  <c r="M50" i="2"/>
  <c r="M52" i="2"/>
  <c r="M53" i="2"/>
  <c r="L14" i="20" s="1"/>
  <c r="M54" i="2"/>
  <c r="M55" i="2"/>
  <c r="M58" i="2"/>
  <c r="M74" i="2"/>
  <c r="M75" i="2"/>
  <c r="M15" i="2"/>
  <c r="L3" i="20"/>
  <c r="Q48" i="17"/>
  <c r="Q61" i="9"/>
  <c r="Q60" i="9"/>
  <c r="Q53" i="9"/>
  <c r="Q38" i="17" s="1"/>
  <c r="Q51" i="9"/>
  <c r="Q36" i="17" s="1"/>
  <c r="Q52" i="9"/>
  <c r="Q37" i="17" s="1"/>
  <c r="AA79" i="2"/>
  <c r="AA82" i="2"/>
  <c r="P17" i="17"/>
  <c r="Q17" i="17"/>
  <c r="R17" i="17"/>
  <c r="R18" i="17"/>
  <c r="R20" i="17"/>
  <c r="Q15" i="17"/>
  <c r="Q16" i="17"/>
  <c r="Q18" i="17"/>
  <c r="Q20" i="17"/>
  <c r="R21" i="17"/>
  <c r="P15" i="17"/>
  <c r="Q26" i="17"/>
  <c r="Q28" i="17"/>
  <c r="Q27" i="9"/>
  <c r="Q29" i="17" s="1"/>
  <c r="Q30" i="17" s="1"/>
  <c r="Q31" i="17" s="1"/>
  <c r="Q32" i="17" s="1"/>
  <c r="P26" i="17"/>
  <c r="P28" i="17"/>
  <c r="P30" i="17"/>
  <c r="P27" i="9"/>
  <c r="Q13" i="9"/>
  <c r="Q16" i="9"/>
  <c r="Q21" i="9" s="1"/>
  <c r="AD63" i="9"/>
  <c r="AD54" i="9"/>
  <c r="AD66" i="9" s="1"/>
  <c r="AD38" i="9"/>
  <c r="AD43" i="9"/>
  <c r="AD46" i="9"/>
  <c r="R26" i="1"/>
  <c r="K46" i="2"/>
  <c r="J46" i="2"/>
  <c r="K72" i="2"/>
  <c r="H19" i="20"/>
  <c r="K71" i="2"/>
  <c r="H18" i="20"/>
  <c r="P48" i="17"/>
  <c r="D45" i="17"/>
  <c r="W78" i="3"/>
  <c r="W86" i="3"/>
  <c r="W87" i="3"/>
  <c r="W88" i="3"/>
  <c r="W89" i="3"/>
  <c r="W90" i="3"/>
  <c r="W91" i="3"/>
  <c r="W92" i="3"/>
  <c r="W83" i="3"/>
  <c r="W82" i="3"/>
  <c r="W81" i="3"/>
  <c r="W80" i="3"/>
  <c r="V7" i="18"/>
  <c r="W7" i="18"/>
  <c r="V11" i="18"/>
  <c r="X11" i="18"/>
  <c r="W11" i="18"/>
  <c r="W12" i="18"/>
  <c r="W13" i="18"/>
  <c r="W14" i="18"/>
  <c r="W15" i="18"/>
  <c r="W16" i="18"/>
  <c r="V6" i="18"/>
  <c r="W6" i="18"/>
  <c r="X6" i="18"/>
  <c r="V10" i="18"/>
  <c r="X10" i="18"/>
  <c r="X12" i="18"/>
  <c r="X13" i="18"/>
  <c r="X14" i="18"/>
  <c r="X15" i="18"/>
  <c r="X16" i="18"/>
  <c r="V9" i="18"/>
  <c r="W9" i="18"/>
  <c r="V8" i="18"/>
  <c r="W8" i="18"/>
  <c r="X7" i="18"/>
  <c r="V5" i="18"/>
  <c r="X5" i="18"/>
  <c r="W5" i="18"/>
  <c r="V4" i="18"/>
  <c r="W4" i="18"/>
  <c r="V3" i="18"/>
  <c r="X3" i="18"/>
  <c r="X4" i="18"/>
  <c r="X8" i="18"/>
  <c r="X9" i="18"/>
  <c r="X22" i="18"/>
  <c r="W3" i="18"/>
  <c r="V22" i="18"/>
  <c r="R37" i="1"/>
  <c r="N37" i="1"/>
  <c r="R34" i="1"/>
  <c r="R36" i="1"/>
  <c r="R38" i="1"/>
  <c r="R28" i="1"/>
  <c r="R30" i="1"/>
  <c r="R31" i="1"/>
  <c r="R8" i="1"/>
  <c r="R9" i="1"/>
  <c r="Q8" i="1"/>
  <c r="V29" i="3"/>
  <c r="K4" i="16"/>
  <c r="W94" i="3"/>
  <c r="K12" i="16"/>
  <c r="K15" i="16"/>
  <c r="J20" i="20"/>
  <c r="J8" i="20"/>
  <c r="P39" i="17"/>
  <c r="O38" i="9"/>
  <c r="O43" i="9" s="1"/>
  <c r="P31" i="17"/>
  <c r="P13" i="17"/>
  <c r="P16" i="17"/>
  <c r="P18" i="17"/>
  <c r="P20" i="17"/>
  <c r="AC63" i="9"/>
  <c r="AC54" i="9"/>
  <c r="AC66" i="9"/>
  <c r="K3" i="16"/>
  <c r="K6" i="16"/>
  <c r="K7" i="16"/>
  <c r="K10" i="16" s="1"/>
  <c r="S16" i="1"/>
  <c r="AC38" i="9"/>
  <c r="AC43" i="9"/>
  <c r="AC46" i="9"/>
  <c r="AC21" i="9"/>
  <c r="AC26" i="9" s="1"/>
  <c r="AC28" i="9" s="1"/>
  <c r="AC29" i="9" s="1"/>
  <c r="AC47" i="9"/>
  <c r="P13" i="9"/>
  <c r="P16" i="9"/>
  <c r="P21" i="9"/>
  <c r="S42" i="1"/>
  <c r="X87" i="3"/>
  <c r="R42" i="1"/>
  <c r="S4" i="18"/>
  <c r="U4" i="18"/>
  <c r="S8" i="18"/>
  <c r="U8" i="18"/>
  <c r="U11" i="18"/>
  <c r="U12" i="18"/>
  <c r="U13" i="18"/>
  <c r="U14" i="18"/>
  <c r="U15" i="18"/>
  <c r="U16" i="18"/>
  <c r="T16" i="18"/>
  <c r="T4" i="18"/>
  <c r="T8" i="18"/>
  <c r="T11" i="18"/>
  <c r="T12" i="18"/>
  <c r="T13" i="18"/>
  <c r="T14" i="18"/>
  <c r="T15" i="18"/>
  <c r="S10" i="18"/>
  <c r="U10" i="18"/>
  <c r="S9" i="18"/>
  <c r="U9" i="18"/>
  <c r="S7" i="18"/>
  <c r="U7" i="18"/>
  <c r="S6" i="18"/>
  <c r="T6" i="18"/>
  <c r="S5" i="18"/>
  <c r="U5" i="18"/>
  <c r="S3" i="18"/>
  <c r="U3" i="18"/>
  <c r="U6" i="18"/>
  <c r="U22" i="18"/>
  <c r="T3" i="18"/>
  <c r="T7" i="18"/>
  <c r="T10" i="18"/>
  <c r="T9" i="18"/>
  <c r="T5" i="18"/>
  <c r="T22" i="18"/>
  <c r="S22" i="18"/>
  <c r="T52" i="3"/>
  <c r="T81" i="3"/>
  <c r="S32" i="3"/>
  <c r="T31" i="3"/>
  <c r="O13" i="17"/>
  <c r="M37" i="1"/>
  <c r="I37" i="1"/>
  <c r="O36" i="1"/>
  <c r="O38" i="1"/>
  <c r="P36" i="1"/>
  <c r="P38" i="1"/>
  <c r="N34" i="1"/>
  <c r="N36" i="1"/>
  <c r="N38" i="1"/>
  <c r="N29" i="1"/>
  <c r="N27" i="1"/>
  <c r="N26" i="1"/>
  <c r="N28" i="1"/>
  <c r="J12" i="16"/>
  <c r="J15" i="16"/>
  <c r="T88" i="3"/>
  <c r="T83" i="3"/>
  <c r="T82" i="3"/>
  <c r="T80" i="3"/>
  <c r="T15" i="3"/>
  <c r="J7" i="16"/>
  <c r="J10" i="16"/>
  <c r="O7" i="1"/>
  <c r="P7" i="1"/>
  <c r="H20" i="20"/>
  <c r="K17" i="2"/>
  <c r="K21" i="2"/>
  <c r="H4" i="20"/>
  <c r="K23" i="2"/>
  <c r="K24" i="2"/>
  <c r="K27" i="2"/>
  <c r="K28" i="2"/>
  <c r="K29" i="2"/>
  <c r="K30" i="2"/>
  <c r="H7" i="20" s="1"/>
  <c r="K33" i="2"/>
  <c r="H8" i="20"/>
  <c r="K34" i="2"/>
  <c r="H9" i="20"/>
  <c r="K36" i="2"/>
  <c r="K37" i="2"/>
  <c r="K38" i="2"/>
  <c r="H10" i="20" s="1"/>
  <c r="K40" i="2"/>
  <c r="K42" i="2"/>
  <c r="K43" i="2"/>
  <c r="K44" i="2"/>
  <c r="K45" i="2"/>
  <c r="K50" i="2"/>
  <c r="K52" i="2"/>
  <c r="K54" i="2"/>
  <c r="K55" i="2"/>
  <c r="K58" i="2"/>
  <c r="K74" i="2"/>
  <c r="K75" i="2"/>
  <c r="K15" i="2"/>
  <c r="H3" i="20"/>
  <c r="K7" i="2"/>
  <c r="K8" i="2"/>
  <c r="J3" i="2"/>
  <c r="J5" i="2"/>
  <c r="J61" i="2"/>
  <c r="G15" i="20" s="1"/>
  <c r="J69" i="2"/>
  <c r="R82" i="3"/>
  <c r="K3" i="2"/>
  <c r="T54" i="3"/>
  <c r="J4" i="16"/>
  <c r="T33" i="3"/>
  <c r="T14" i="3"/>
  <c r="J3" i="16"/>
  <c r="O48" i="17"/>
  <c r="O39" i="17"/>
  <c r="O50" i="17"/>
  <c r="O26" i="17"/>
  <c r="O28" i="17"/>
  <c r="K5" i="2"/>
  <c r="K61" i="2"/>
  <c r="K69" i="2"/>
  <c r="T91" i="3"/>
  <c r="T90" i="3"/>
  <c r="Y79" i="2"/>
  <c r="Y82" i="2"/>
  <c r="K9" i="2"/>
  <c r="K39" i="2" s="1"/>
  <c r="H11" i="20" s="1"/>
  <c r="K26" i="2"/>
  <c r="H6" i="20"/>
  <c r="K68" i="2"/>
  <c r="H17" i="20"/>
  <c r="O15" i="17"/>
  <c r="O19" i="17"/>
  <c r="O16" i="17"/>
  <c r="O18" i="17"/>
  <c r="O20" i="17"/>
  <c r="O61" i="9"/>
  <c r="O63" i="9"/>
  <c r="O53" i="9"/>
  <c r="O51" i="9"/>
  <c r="O52" i="9"/>
  <c r="AB63" i="9"/>
  <c r="AB54" i="9"/>
  <c r="AB43" i="9"/>
  <c r="AB66" i="9"/>
  <c r="O27" i="9"/>
  <c r="O17" i="9"/>
  <c r="O13" i="9"/>
  <c r="O21" i="9"/>
  <c r="O26" i="9" s="1"/>
  <c r="O28" i="9" s="1"/>
  <c r="AB21" i="9"/>
  <c r="AB26" i="9"/>
  <c r="AB28" i="9" s="1"/>
  <c r="AB29" i="9" s="1"/>
  <c r="G20" i="20"/>
  <c r="D18" i="20"/>
  <c r="D19" i="20"/>
  <c r="C18" i="20"/>
  <c r="C19" i="20"/>
  <c r="V70" i="2"/>
  <c r="V79" i="2"/>
  <c r="V82" i="2"/>
  <c r="R10" i="18"/>
  <c r="R11" i="18"/>
  <c r="R12" i="18"/>
  <c r="R13" i="18"/>
  <c r="R14" i="18"/>
  <c r="R15" i="18"/>
  <c r="P5" i="18"/>
  <c r="R5" i="18"/>
  <c r="P7" i="18"/>
  <c r="Q7" i="18"/>
  <c r="P9" i="18"/>
  <c r="Q9" i="18"/>
  <c r="Q10" i="18"/>
  <c r="Q11" i="18"/>
  <c r="Q12" i="18"/>
  <c r="Q13" i="18"/>
  <c r="Q14" i="18"/>
  <c r="Q15" i="18"/>
  <c r="R9" i="18"/>
  <c r="P8" i="18"/>
  <c r="Q8" i="18"/>
  <c r="R7" i="18"/>
  <c r="P6" i="18"/>
  <c r="R6" i="18"/>
  <c r="P4" i="18"/>
  <c r="R4" i="18"/>
  <c r="Q4" i="18"/>
  <c r="P3" i="18"/>
  <c r="R3" i="18"/>
  <c r="P22" i="18"/>
  <c r="R8" i="18"/>
  <c r="O3" i="18"/>
  <c r="I13" i="16"/>
  <c r="I12" i="16"/>
  <c r="I15" i="16"/>
  <c r="I16" i="16"/>
  <c r="M20" i="22"/>
  <c r="N16" i="1"/>
  <c r="G6" i="16"/>
  <c r="K17" i="25"/>
  <c r="K18" i="22"/>
  <c r="O46" i="3"/>
  <c r="O88" i="3"/>
  <c r="O89" i="3"/>
  <c r="O90" i="3"/>
  <c r="O91" i="3"/>
  <c r="O87" i="3"/>
  <c r="S88" i="3"/>
  <c r="O83" i="3"/>
  <c r="O82" i="3"/>
  <c r="O81" i="3"/>
  <c r="O80" i="3"/>
  <c r="O84" i="3"/>
  <c r="S83" i="3"/>
  <c r="R83" i="3"/>
  <c r="Q83" i="3"/>
  <c r="S82" i="3"/>
  <c r="Q82" i="3"/>
  <c r="Q81" i="3"/>
  <c r="S80" i="3"/>
  <c r="R80" i="3"/>
  <c r="Q80" i="3"/>
  <c r="P80" i="3"/>
  <c r="P82" i="3"/>
  <c r="P83" i="3"/>
  <c r="I4" i="16"/>
  <c r="I6" i="16" s="1"/>
  <c r="P33" i="3"/>
  <c r="T20" i="3"/>
  <c r="T29" i="3"/>
  <c r="S35" i="3"/>
  <c r="T30" i="3"/>
  <c r="T32" i="3"/>
  <c r="T35" i="3"/>
  <c r="O92" i="3"/>
  <c r="P31" i="3"/>
  <c r="R15" i="3"/>
  <c r="R91" i="3"/>
  <c r="R14" i="3"/>
  <c r="S15" i="3"/>
  <c r="S14" i="3"/>
  <c r="Q15" i="3"/>
  <c r="Q14" i="3"/>
  <c r="P15" i="3"/>
  <c r="P91" i="3"/>
  <c r="P14" i="3"/>
  <c r="P11" i="3"/>
  <c r="S81" i="3"/>
  <c r="R81" i="3"/>
  <c r="P81" i="3"/>
  <c r="M34" i="1"/>
  <c r="M36" i="1"/>
  <c r="M38" i="1"/>
  <c r="M29" i="1"/>
  <c r="M27" i="1"/>
  <c r="M26" i="1"/>
  <c r="S20" i="3"/>
  <c r="S29" i="3"/>
  <c r="Q34" i="3"/>
  <c r="Q91" i="3"/>
  <c r="R33" i="3"/>
  <c r="R31" i="3"/>
  <c r="Q31" i="3"/>
  <c r="O26" i="3"/>
  <c r="N26" i="3"/>
  <c r="R20" i="3"/>
  <c r="R29" i="3"/>
  <c r="Q20" i="3"/>
  <c r="Q29" i="3"/>
  <c r="O20" i="3"/>
  <c r="O29" i="3"/>
  <c r="J75" i="2"/>
  <c r="J74" i="2"/>
  <c r="J72" i="2"/>
  <c r="G19" i="20"/>
  <c r="J71" i="2"/>
  <c r="G18" i="20"/>
  <c r="J58" i="2"/>
  <c r="J55" i="2"/>
  <c r="J54" i="2"/>
  <c r="J52" i="2"/>
  <c r="J50" i="2"/>
  <c r="J45" i="2"/>
  <c r="J44" i="2"/>
  <c r="J43" i="2"/>
  <c r="J42" i="2"/>
  <c r="J40" i="2"/>
  <c r="J38" i="2"/>
  <c r="J37" i="2"/>
  <c r="J36" i="2"/>
  <c r="G10" i="20" s="1"/>
  <c r="J34" i="2"/>
  <c r="G9" i="20" s="1"/>
  <c r="J33" i="2"/>
  <c r="G8" i="20"/>
  <c r="J30" i="2"/>
  <c r="J29" i="2"/>
  <c r="J28" i="2"/>
  <c r="J27" i="2"/>
  <c r="J24" i="2"/>
  <c r="J23" i="2"/>
  <c r="J21" i="2"/>
  <c r="J17" i="2"/>
  <c r="J15" i="2"/>
  <c r="J8" i="2"/>
  <c r="J7" i="2"/>
  <c r="J9" i="2"/>
  <c r="M28" i="1"/>
  <c r="P13" i="3"/>
  <c r="I3" i="16"/>
  <c r="S90" i="3"/>
  <c r="I7" i="16"/>
  <c r="I10" i="16" s="1"/>
  <c r="S91" i="3"/>
  <c r="P32" i="3"/>
  <c r="P35" i="3"/>
  <c r="Q30" i="3"/>
  <c r="X79" i="2"/>
  <c r="X82" i="2"/>
  <c r="N46" i="17"/>
  <c r="N48" i="17"/>
  <c r="N38" i="17"/>
  <c r="N37" i="17"/>
  <c r="N36" i="17"/>
  <c r="N39" i="17"/>
  <c r="N26" i="17"/>
  <c r="N28" i="17"/>
  <c r="X48" i="17"/>
  <c r="X39" i="17"/>
  <c r="W26" i="17"/>
  <c r="W28" i="17"/>
  <c r="V26" i="17"/>
  <c r="V28" i="17"/>
  <c r="W31" i="17"/>
  <c r="W16" i="17"/>
  <c r="W18" i="17"/>
  <c r="W20" i="17"/>
  <c r="V16" i="17"/>
  <c r="V18" i="17"/>
  <c r="V20" i="17"/>
  <c r="W21" i="17"/>
  <c r="W32" i="17"/>
  <c r="X26" i="17"/>
  <c r="X28" i="17"/>
  <c r="X16" i="17"/>
  <c r="X18" i="17"/>
  <c r="X20" i="17"/>
  <c r="Y21" i="17"/>
  <c r="N19" i="17"/>
  <c r="X50" i="17"/>
  <c r="N50" i="17"/>
  <c r="N15" i="17"/>
  <c r="N13" i="17"/>
  <c r="N16" i="17"/>
  <c r="N18" i="17"/>
  <c r="N20" i="17"/>
  <c r="M16" i="17"/>
  <c r="M18" i="17"/>
  <c r="M19" i="17"/>
  <c r="M20" i="17"/>
  <c r="N21" i="17"/>
  <c r="N54" i="9"/>
  <c r="N63" i="9"/>
  <c r="N38" i="9"/>
  <c r="N43" i="9" s="1"/>
  <c r="N46" i="9" s="1"/>
  <c r="AA63" i="9"/>
  <c r="AA54" i="9"/>
  <c r="AA66" i="9"/>
  <c r="AA43" i="9"/>
  <c r="AA46" i="9" s="1"/>
  <c r="AA26" i="9"/>
  <c r="AA28" i="9"/>
  <c r="N27" i="9"/>
  <c r="N17" i="9"/>
  <c r="N13" i="9"/>
  <c r="N21" i="9"/>
  <c r="N26" i="9"/>
  <c r="N28" i="9" s="1"/>
  <c r="N29" i="9" s="1"/>
  <c r="N47" i="9" s="1"/>
  <c r="N43" i="22"/>
  <c r="M22" i="18"/>
  <c r="J2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G22" i="18"/>
  <c r="D22" i="18"/>
  <c r="I4" i="18"/>
  <c r="I5" i="18"/>
  <c r="I6" i="18"/>
  <c r="I7" i="18"/>
  <c r="I8" i="18"/>
  <c r="I9" i="18"/>
  <c r="I10" i="18"/>
  <c r="I11" i="18"/>
  <c r="I12" i="18"/>
  <c r="I13" i="18"/>
  <c r="I14" i="18"/>
  <c r="I15" i="18"/>
  <c r="K4" i="18"/>
  <c r="L4" i="18"/>
  <c r="K5" i="18"/>
  <c r="L5" i="18"/>
  <c r="L3" i="18"/>
  <c r="L6" i="18"/>
  <c r="L7" i="18"/>
  <c r="L8" i="18"/>
  <c r="L9" i="18"/>
  <c r="L10" i="18"/>
  <c r="L11" i="18"/>
  <c r="L12" i="18"/>
  <c r="L13" i="18"/>
  <c r="L14" i="18"/>
  <c r="L15" i="18"/>
  <c r="L22" i="18"/>
  <c r="K6" i="18"/>
  <c r="K7" i="18"/>
  <c r="K8" i="18"/>
  <c r="K9" i="18"/>
  <c r="K10" i="18"/>
  <c r="K11" i="18"/>
  <c r="K12" i="18"/>
  <c r="K13" i="18"/>
  <c r="K14" i="18"/>
  <c r="K15" i="18"/>
  <c r="N4" i="18"/>
  <c r="N5" i="18"/>
  <c r="N6" i="18"/>
  <c r="N7" i="18"/>
  <c r="N8" i="18"/>
  <c r="N9" i="18"/>
  <c r="N10" i="18"/>
  <c r="N11" i="18"/>
  <c r="N12" i="18"/>
  <c r="N13" i="18"/>
  <c r="N14" i="18"/>
  <c r="N15" i="18"/>
  <c r="O4" i="18"/>
  <c r="O5" i="18"/>
  <c r="O6" i="18"/>
  <c r="O7" i="18"/>
  <c r="O8" i="18"/>
  <c r="O9" i="18"/>
  <c r="O10" i="18"/>
  <c r="O11" i="18"/>
  <c r="O12" i="18"/>
  <c r="O13" i="18"/>
  <c r="O14" i="18"/>
  <c r="O15" i="18"/>
  <c r="I3" i="18"/>
  <c r="I22" i="18"/>
  <c r="N3" i="18"/>
  <c r="N22" i="18"/>
  <c r="K3" i="18"/>
  <c r="K22" i="18"/>
  <c r="F4" i="18"/>
  <c r="F5" i="18"/>
  <c r="F3" i="18"/>
  <c r="F6" i="18"/>
  <c r="F7" i="18"/>
  <c r="F8" i="18"/>
  <c r="F9" i="18"/>
  <c r="F10" i="18"/>
  <c r="F11" i="18"/>
  <c r="F12" i="18"/>
  <c r="F13" i="18"/>
  <c r="F14" i="18"/>
  <c r="F22" i="18"/>
  <c r="E14" i="18"/>
  <c r="E13" i="18"/>
  <c r="E12" i="18"/>
  <c r="E11" i="18"/>
  <c r="E10" i="18"/>
  <c r="E9" i="18"/>
  <c r="E8" i="18"/>
  <c r="E7" i="18"/>
  <c r="E6" i="18"/>
  <c r="E5" i="18"/>
  <c r="E4" i="18"/>
  <c r="E3" i="18"/>
  <c r="E22" i="18"/>
  <c r="W48" i="17"/>
  <c r="V48" i="17"/>
  <c r="U48" i="17"/>
  <c r="T48" i="17"/>
  <c r="M46" i="17"/>
  <c r="L46" i="17"/>
  <c r="K46" i="17"/>
  <c r="J46" i="17"/>
  <c r="M44" i="17"/>
  <c r="L44" i="17"/>
  <c r="K44" i="17"/>
  <c r="J44" i="17"/>
  <c r="M43" i="17"/>
  <c r="M48" i="17"/>
  <c r="L43" i="17"/>
  <c r="K43" i="17"/>
  <c r="K48" i="17"/>
  <c r="J43" i="17"/>
  <c r="J48" i="17"/>
  <c r="W39" i="17"/>
  <c r="W50" i="17"/>
  <c r="V39" i="17"/>
  <c r="V50" i="17"/>
  <c r="U39" i="17"/>
  <c r="U50" i="17"/>
  <c r="T39" i="17"/>
  <c r="T50" i="17"/>
  <c r="M38" i="17"/>
  <c r="L38" i="17"/>
  <c r="K38" i="17"/>
  <c r="J38" i="17"/>
  <c r="M37" i="17"/>
  <c r="L37" i="17"/>
  <c r="K37" i="17"/>
  <c r="J37" i="17"/>
  <c r="M36" i="17"/>
  <c r="M39" i="17"/>
  <c r="M50" i="17"/>
  <c r="L36" i="17"/>
  <c r="L39" i="17"/>
  <c r="K36" i="17"/>
  <c r="K39" i="17"/>
  <c r="K50" i="17"/>
  <c r="J36" i="17"/>
  <c r="J39" i="17"/>
  <c r="J50" i="17"/>
  <c r="U26" i="17"/>
  <c r="U28" i="17"/>
  <c r="V31" i="17"/>
  <c r="T26" i="17"/>
  <c r="T28" i="17"/>
  <c r="M26" i="17"/>
  <c r="M28" i="17"/>
  <c r="L26" i="17"/>
  <c r="L28" i="17"/>
  <c r="K26" i="17"/>
  <c r="K28" i="17"/>
  <c r="L31" i="17"/>
  <c r="J26" i="17"/>
  <c r="J28" i="17"/>
  <c r="K31" i="17"/>
  <c r="I26" i="17"/>
  <c r="I28" i="17"/>
  <c r="L19" i="17"/>
  <c r="K19" i="17"/>
  <c r="J19" i="17"/>
  <c r="U16" i="17"/>
  <c r="U18" i="17"/>
  <c r="U20" i="17"/>
  <c r="T16" i="17"/>
  <c r="T18" i="17"/>
  <c r="T20" i="17"/>
  <c r="U21" i="17"/>
  <c r="L16" i="17"/>
  <c r="L18" i="17"/>
  <c r="L20" i="17"/>
  <c r="M21" i="17"/>
  <c r="K16" i="17"/>
  <c r="K18" i="17"/>
  <c r="K20" i="17"/>
  <c r="J16" i="17"/>
  <c r="J18" i="17"/>
  <c r="J20" i="17"/>
  <c r="I16" i="17"/>
  <c r="I18" i="17"/>
  <c r="I20" i="17"/>
  <c r="J21" i="17"/>
  <c r="X21" i="17"/>
  <c r="L21" i="17"/>
  <c r="M31" i="17"/>
  <c r="L4" i="1"/>
  <c r="J31" i="17"/>
  <c r="I4" i="25"/>
  <c r="L4" i="22"/>
  <c r="I4" i="22"/>
  <c r="L32" i="17"/>
  <c r="I4" i="2"/>
  <c r="M61" i="9"/>
  <c r="M59" i="9"/>
  <c r="M58" i="9"/>
  <c r="M63" i="9" s="1"/>
  <c r="M53" i="9"/>
  <c r="M51" i="9"/>
  <c r="M52" i="9"/>
  <c r="I7" i="2"/>
  <c r="I8" i="2"/>
  <c r="I3" i="2"/>
  <c r="I72" i="2"/>
  <c r="F19" i="20"/>
  <c r="I71" i="2"/>
  <c r="F18" i="20"/>
  <c r="U70" i="2"/>
  <c r="U79" i="2"/>
  <c r="U82" i="2"/>
  <c r="T70" i="2"/>
  <c r="T79" i="2"/>
  <c r="T82" i="2"/>
  <c r="I81" i="2"/>
  <c r="I80" i="2"/>
  <c r="I75" i="2"/>
  <c r="I74" i="2"/>
  <c r="I58" i="2"/>
  <c r="I55" i="2"/>
  <c r="I54" i="2"/>
  <c r="I52" i="2"/>
  <c r="I50" i="2"/>
  <c r="I45" i="2"/>
  <c r="I44" i="2"/>
  <c r="I43" i="2"/>
  <c r="I42" i="2"/>
  <c r="F12" i="20" s="1"/>
  <c r="I40" i="2"/>
  <c r="I38" i="2"/>
  <c r="I37" i="2"/>
  <c r="I36" i="2"/>
  <c r="F10" i="20" s="1"/>
  <c r="H36" i="2"/>
  <c r="H37" i="2"/>
  <c r="I34" i="2"/>
  <c r="F9" i="20"/>
  <c r="I33" i="2"/>
  <c r="F8" i="20"/>
  <c r="I30" i="2"/>
  <c r="I29" i="2"/>
  <c r="F7" i="20" s="1"/>
  <c r="I28" i="2"/>
  <c r="I27" i="2"/>
  <c r="I24" i="2"/>
  <c r="I23" i="2"/>
  <c r="F5" i="20" s="1"/>
  <c r="I21" i="2"/>
  <c r="I15" i="2"/>
  <c r="W79" i="2"/>
  <c r="W82" i="2"/>
  <c r="I46" i="2"/>
  <c r="H46" i="2"/>
  <c r="G46" i="2"/>
  <c r="F46" i="2"/>
  <c r="M21" i="9"/>
  <c r="M26" i="9" s="1"/>
  <c r="M28" i="9" s="1"/>
  <c r="M27" i="9"/>
  <c r="M38" i="9"/>
  <c r="M43" i="9"/>
  <c r="M46" i="9" s="1"/>
  <c r="L38" i="9"/>
  <c r="L43" i="9"/>
  <c r="L46" i="9" s="1"/>
  <c r="Z63" i="9"/>
  <c r="Z66" i="9" s="1"/>
  <c r="Z54" i="9"/>
  <c r="Z43" i="9"/>
  <c r="Z21" i="9"/>
  <c r="Z26" i="9"/>
  <c r="Z28" i="9" s="1"/>
  <c r="AA29" i="9" s="1"/>
  <c r="L29" i="1"/>
  <c r="L26" i="1"/>
  <c r="L27" i="1"/>
  <c r="L28" i="1"/>
  <c r="L30" i="1"/>
  <c r="L31" i="1"/>
  <c r="L8" i="1"/>
  <c r="H10" i="16"/>
  <c r="R54" i="3"/>
  <c r="H4" i="16"/>
  <c r="H6" i="16" s="1"/>
  <c r="Q54" i="3"/>
  <c r="Q90" i="3"/>
  <c r="R52" i="3"/>
  <c r="R88" i="3"/>
  <c r="S56" i="3"/>
  <c r="T51" i="3"/>
  <c r="T53" i="3"/>
  <c r="K17" i="1"/>
  <c r="D15" i="16"/>
  <c r="F15" i="16"/>
  <c r="G15" i="16"/>
  <c r="G16" i="16"/>
  <c r="E15" i="16"/>
  <c r="H16" i="16"/>
  <c r="G10" i="16"/>
  <c r="K18" i="25"/>
  <c r="F10" i="16"/>
  <c r="E10" i="16"/>
  <c r="I18" i="25"/>
  <c r="E6" i="16"/>
  <c r="F6" i="16"/>
  <c r="J34" i="1"/>
  <c r="J36" i="1"/>
  <c r="J37" i="1"/>
  <c r="J38" i="1"/>
  <c r="K34" i="1"/>
  <c r="K36" i="1"/>
  <c r="L27" i="9"/>
  <c r="K27" i="9"/>
  <c r="J27" i="9"/>
  <c r="L61" i="9"/>
  <c r="L58" i="9"/>
  <c r="L63" i="9" s="1"/>
  <c r="L59" i="9"/>
  <c r="K61" i="9"/>
  <c r="J61" i="9"/>
  <c r="K59" i="9"/>
  <c r="J59" i="9"/>
  <c r="K58" i="9"/>
  <c r="K63" i="9" s="1"/>
  <c r="J58" i="9"/>
  <c r="L53" i="9"/>
  <c r="L51" i="9"/>
  <c r="L52" i="9"/>
  <c r="K53" i="9"/>
  <c r="J53" i="9"/>
  <c r="K52" i="9"/>
  <c r="K51" i="9"/>
  <c r="K54" i="9"/>
  <c r="J52" i="9"/>
  <c r="J51" i="9"/>
  <c r="Y63" i="9"/>
  <c r="X63" i="9"/>
  <c r="W63" i="9"/>
  <c r="Y38" i="9"/>
  <c r="Y43" i="9"/>
  <c r="X38" i="9"/>
  <c r="X43" i="9" s="1"/>
  <c r="X46" i="9" s="1"/>
  <c r="W38" i="9"/>
  <c r="W43" i="9"/>
  <c r="Y21" i="9"/>
  <c r="Y26" i="9" s="1"/>
  <c r="Y28" i="9" s="1"/>
  <c r="X21" i="9"/>
  <c r="X26" i="9"/>
  <c r="X28" i="9" s="1"/>
  <c r="X29" i="9" s="1"/>
  <c r="X47" i="9" s="1"/>
  <c r="W21" i="9"/>
  <c r="W26" i="9"/>
  <c r="W28" i="9"/>
  <c r="W54" i="9"/>
  <c r="X54" i="9"/>
  <c r="Y54" i="9"/>
  <c r="Y66" i="9" s="1"/>
  <c r="L21" i="9"/>
  <c r="L26" i="9" s="1"/>
  <c r="K21" i="9"/>
  <c r="K26" i="9" s="1"/>
  <c r="K28" i="9" s="1"/>
  <c r="J21" i="9"/>
  <c r="J26" i="9" s="1"/>
  <c r="J28" i="9" s="1"/>
  <c r="J29" i="9" s="1"/>
  <c r="I21" i="9"/>
  <c r="I26" i="9"/>
  <c r="I28" i="9" s="1"/>
  <c r="I38" i="9"/>
  <c r="I43" i="9" s="1"/>
  <c r="J38" i="9"/>
  <c r="J43" i="9"/>
  <c r="J46" i="9" s="1"/>
  <c r="J47" i="9" s="1"/>
  <c r="K38" i="9"/>
  <c r="K43" i="9" s="1"/>
  <c r="K46" i="9" s="1"/>
  <c r="K26" i="1"/>
  <c r="K27" i="1"/>
  <c r="K28" i="1"/>
  <c r="K29" i="1"/>
  <c r="J29" i="1"/>
  <c r="J27" i="1"/>
  <c r="J26" i="1"/>
  <c r="I29" i="1"/>
  <c r="I27" i="1"/>
  <c r="I26" i="1"/>
  <c r="H7" i="2"/>
  <c r="H8" i="2"/>
  <c r="H9" i="2"/>
  <c r="H26" i="2" s="1"/>
  <c r="G7" i="2"/>
  <c r="G8" i="2"/>
  <c r="F7" i="2"/>
  <c r="F8" i="2"/>
  <c r="F3" i="2"/>
  <c r="F5" i="2" s="1"/>
  <c r="F61" i="2" s="1"/>
  <c r="H15" i="2"/>
  <c r="E2" i="20"/>
  <c r="G15" i="2"/>
  <c r="F15" i="2"/>
  <c r="C2" i="20"/>
  <c r="H21" i="2"/>
  <c r="G21" i="2"/>
  <c r="F21" i="2"/>
  <c r="H23" i="2"/>
  <c r="G23" i="2"/>
  <c r="D5" i="20" s="1"/>
  <c r="F23" i="2"/>
  <c r="H24" i="2"/>
  <c r="G24" i="2"/>
  <c r="F24" i="2"/>
  <c r="H27" i="2"/>
  <c r="G27" i="2"/>
  <c r="F27" i="2"/>
  <c r="H28" i="2"/>
  <c r="G28" i="2"/>
  <c r="F28" i="2"/>
  <c r="H29" i="2"/>
  <c r="G29" i="2"/>
  <c r="D7" i="20" s="1"/>
  <c r="F29" i="2"/>
  <c r="H30" i="2"/>
  <c r="G30" i="2"/>
  <c r="F30" i="2"/>
  <c r="C7" i="20" s="1"/>
  <c r="H33" i="2"/>
  <c r="E8" i="20"/>
  <c r="G33" i="2"/>
  <c r="D8" i="20"/>
  <c r="F33" i="2"/>
  <c r="C8" i="20"/>
  <c r="H34" i="2"/>
  <c r="E9" i="20"/>
  <c r="G34" i="2"/>
  <c r="D9" i="20"/>
  <c r="F34" i="2"/>
  <c r="C9" i="20"/>
  <c r="G36" i="2"/>
  <c r="F36" i="2"/>
  <c r="G37" i="2"/>
  <c r="D10" i="20" s="1"/>
  <c r="F37" i="2"/>
  <c r="H38" i="2"/>
  <c r="G38" i="2"/>
  <c r="F38" i="2"/>
  <c r="H40" i="2"/>
  <c r="G40" i="2"/>
  <c r="F40" i="2"/>
  <c r="H42" i="2"/>
  <c r="G42" i="2"/>
  <c r="F42" i="2"/>
  <c r="H43" i="2"/>
  <c r="G43" i="2"/>
  <c r="F43" i="2"/>
  <c r="H44" i="2"/>
  <c r="G44" i="2"/>
  <c r="F44" i="2"/>
  <c r="H45" i="2"/>
  <c r="G45" i="2"/>
  <c r="F45" i="2"/>
  <c r="H50" i="2"/>
  <c r="G50" i="2"/>
  <c r="F50" i="2"/>
  <c r="H52" i="2"/>
  <c r="G52" i="2"/>
  <c r="F52" i="2"/>
  <c r="H54" i="2"/>
  <c r="G54" i="2"/>
  <c r="F54" i="2"/>
  <c r="H55" i="2"/>
  <c r="G55" i="2"/>
  <c r="F55" i="2"/>
  <c r="H58" i="2"/>
  <c r="G58" i="2"/>
  <c r="F58" i="2"/>
  <c r="H74" i="2"/>
  <c r="G74" i="2"/>
  <c r="F74" i="2"/>
  <c r="H75" i="2"/>
  <c r="G75" i="2"/>
  <c r="F75" i="2"/>
  <c r="H81" i="2"/>
  <c r="G81" i="2"/>
  <c r="F81" i="2"/>
  <c r="F80" i="2"/>
  <c r="F69" i="2"/>
  <c r="H69" i="2"/>
  <c r="Q52" i="3"/>
  <c r="Q50" i="3"/>
  <c r="Q78" i="3"/>
  <c r="Q86" i="3"/>
  <c r="K37" i="1"/>
  <c r="H72" i="2"/>
  <c r="E19" i="20"/>
  <c r="H71" i="2"/>
  <c r="E18" i="20"/>
  <c r="H80" i="2"/>
  <c r="H17" i="2"/>
  <c r="H4" i="2"/>
  <c r="P54" i="3"/>
  <c r="P52" i="3"/>
  <c r="P88" i="3"/>
  <c r="G3" i="2"/>
  <c r="G5" i="2" s="1"/>
  <c r="G61" i="2" s="1"/>
  <c r="G4" i="2"/>
  <c r="G69" i="2"/>
  <c r="P51" i="3"/>
  <c r="P87" i="3"/>
  <c r="P41" i="3"/>
  <c r="P79" i="3"/>
  <c r="P40" i="3"/>
  <c r="P50" i="3"/>
  <c r="P78" i="3"/>
  <c r="P86" i="3"/>
  <c r="P10" i="3"/>
  <c r="P20" i="3"/>
  <c r="P29" i="3"/>
  <c r="O42" i="1"/>
  <c r="P42" i="1"/>
  <c r="G80" i="2"/>
  <c r="D20" i="20"/>
  <c r="E75" i="2"/>
  <c r="E74" i="2"/>
  <c r="E58" i="2"/>
  <c r="E54" i="2"/>
  <c r="E44" i="2"/>
  <c r="E50" i="2"/>
  <c r="E43" i="2"/>
  <c r="E38" i="2"/>
  <c r="E37" i="2"/>
  <c r="E34" i="2"/>
  <c r="E23" i="2"/>
  <c r="D3" i="3"/>
  <c r="D8" i="3"/>
  <c r="E3" i="3"/>
  <c r="C11" i="3"/>
  <c r="C87" i="3"/>
  <c r="C12" i="3"/>
  <c r="C88" i="3"/>
  <c r="D12" i="3"/>
  <c r="D88" i="3"/>
  <c r="E12" i="3"/>
  <c r="E88" i="3"/>
  <c r="F12" i="3"/>
  <c r="F88" i="3"/>
  <c r="G12" i="3"/>
  <c r="G88" i="3"/>
  <c r="H12" i="3"/>
  <c r="H88" i="3"/>
  <c r="I12" i="3"/>
  <c r="I88" i="3"/>
  <c r="J12" i="3"/>
  <c r="J88" i="3"/>
  <c r="K12" i="3"/>
  <c r="L12" i="3"/>
  <c r="L88" i="3"/>
  <c r="M12" i="3"/>
  <c r="M52" i="3"/>
  <c r="M88" i="3"/>
  <c r="N12" i="3"/>
  <c r="C14" i="3"/>
  <c r="C90" i="3"/>
  <c r="C15" i="3"/>
  <c r="C13" i="3"/>
  <c r="C89" i="3"/>
  <c r="C91" i="3"/>
  <c r="C92" i="3"/>
  <c r="D14" i="3"/>
  <c r="D90" i="3"/>
  <c r="E14" i="3"/>
  <c r="E90" i="3"/>
  <c r="F14" i="3"/>
  <c r="F90" i="3"/>
  <c r="G14" i="3"/>
  <c r="G90" i="3"/>
  <c r="H14" i="3"/>
  <c r="H90" i="3"/>
  <c r="I14" i="3"/>
  <c r="I90" i="3"/>
  <c r="J14" i="3"/>
  <c r="J90" i="3"/>
  <c r="K14" i="3"/>
  <c r="K90" i="3"/>
  <c r="L14" i="3"/>
  <c r="L90" i="3"/>
  <c r="M14" i="3"/>
  <c r="M90" i="3"/>
  <c r="N14" i="3"/>
  <c r="N90" i="3"/>
  <c r="D15" i="3"/>
  <c r="D91" i="3"/>
  <c r="E15" i="3"/>
  <c r="E91" i="3"/>
  <c r="F15" i="3"/>
  <c r="F91" i="3"/>
  <c r="G15" i="3"/>
  <c r="G91" i="3"/>
  <c r="I15" i="3"/>
  <c r="I91" i="3"/>
  <c r="J15" i="3"/>
  <c r="J91" i="3"/>
  <c r="K15" i="3"/>
  <c r="K91" i="3"/>
  <c r="L15" i="3"/>
  <c r="L91" i="3"/>
  <c r="M15" i="3"/>
  <c r="M91" i="3"/>
  <c r="N15" i="3"/>
  <c r="C16" i="3"/>
  <c r="D11" i="3"/>
  <c r="D87" i="3"/>
  <c r="M41" i="3"/>
  <c r="M46" i="3"/>
  <c r="N41" i="3"/>
  <c r="N46" i="3"/>
  <c r="M51" i="3"/>
  <c r="M56" i="3"/>
  <c r="N51" i="3"/>
  <c r="N52" i="3"/>
  <c r="N53" i="3"/>
  <c r="C57" i="3"/>
  <c r="D57" i="3"/>
  <c r="E57" i="3"/>
  <c r="F57" i="3"/>
  <c r="G57" i="3"/>
  <c r="H57" i="3"/>
  <c r="I57" i="3"/>
  <c r="J57" i="3"/>
  <c r="K57" i="3"/>
  <c r="L57" i="3"/>
  <c r="C79" i="3"/>
  <c r="C80" i="3"/>
  <c r="C81" i="3"/>
  <c r="C82" i="3"/>
  <c r="C83" i="3"/>
  <c r="C84" i="3"/>
  <c r="D80" i="3"/>
  <c r="E80" i="3"/>
  <c r="F80" i="3"/>
  <c r="G80" i="3"/>
  <c r="H80" i="3"/>
  <c r="I80" i="3"/>
  <c r="J80" i="3"/>
  <c r="K80" i="3"/>
  <c r="L80" i="3"/>
  <c r="M80" i="3"/>
  <c r="N80" i="3"/>
  <c r="D81" i="3"/>
  <c r="E81" i="3"/>
  <c r="F81" i="3"/>
  <c r="G81" i="3"/>
  <c r="H81" i="3"/>
  <c r="I81" i="3"/>
  <c r="J81" i="3"/>
  <c r="K81" i="3"/>
  <c r="L81" i="3"/>
  <c r="M81" i="3"/>
  <c r="N81" i="3"/>
  <c r="D82" i="3"/>
  <c r="E82" i="3"/>
  <c r="F82" i="3"/>
  <c r="G82" i="3"/>
  <c r="H82" i="3"/>
  <c r="I82" i="3"/>
  <c r="J82" i="3"/>
  <c r="K82" i="3"/>
  <c r="L82" i="3"/>
  <c r="M82" i="3"/>
  <c r="N82" i="3"/>
  <c r="D83" i="3"/>
  <c r="E83" i="3"/>
  <c r="F83" i="3"/>
  <c r="G83" i="3"/>
  <c r="H83" i="3"/>
  <c r="I83" i="3"/>
  <c r="J83" i="3"/>
  <c r="K83" i="3"/>
  <c r="L83" i="3"/>
  <c r="M83" i="3"/>
  <c r="N83" i="3"/>
  <c r="K88" i="3"/>
  <c r="H91" i="3"/>
  <c r="N91" i="3"/>
  <c r="G7" i="1"/>
  <c r="H7" i="1"/>
  <c r="O10" i="1"/>
  <c r="P10" i="1"/>
  <c r="P16" i="1"/>
  <c r="C16" i="1"/>
  <c r="D16" i="1"/>
  <c r="E16" i="1"/>
  <c r="F16" i="1"/>
  <c r="G16" i="1"/>
  <c r="H16" i="1"/>
  <c r="O17" i="1"/>
  <c r="P17" i="1"/>
  <c r="O18" i="1"/>
  <c r="P18" i="1"/>
  <c r="O19" i="1"/>
  <c r="P19" i="1"/>
  <c r="O21" i="1"/>
  <c r="P21" i="1"/>
  <c r="G26" i="1"/>
  <c r="G27" i="1"/>
  <c r="G28" i="1"/>
  <c r="G30" i="1"/>
  <c r="G31" i="1"/>
  <c r="G8" i="1"/>
  <c r="G9" i="1"/>
  <c r="G15" i="1"/>
  <c r="G20" i="1"/>
  <c r="G23" i="1"/>
  <c r="H26" i="1"/>
  <c r="H27" i="1"/>
  <c r="C28" i="1"/>
  <c r="D28" i="1"/>
  <c r="E28" i="1"/>
  <c r="F28" i="1"/>
  <c r="O28" i="1"/>
  <c r="O31" i="1"/>
  <c r="O8" i="1"/>
  <c r="O9" i="1"/>
  <c r="O13" i="1"/>
  <c r="O15" i="1"/>
  <c r="P28" i="1"/>
  <c r="P31" i="1"/>
  <c r="P8" i="1"/>
  <c r="P9" i="1"/>
  <c r="P13" i="1"/>
  <c r="P15" i="1"/>
  <c r="H30" i="1"/>
  <c r="C31" i="1"/>
  <c r="C8" i="1"/>
  <c r="C9" i="1"/>
  <c r="D31" i="1"/>
  <c r="E31" i="1"/>
  <c r="E8" i="1"/>
  <c r="E9" i="1"/>
  <c r="E13" i="1"/>
  <c r="E15" i="1" s="1"/>
  <c r="E20" i="1" s="1"/>
  <c r="E23" i="1" s="1"/>
  <c r="F31" i="1"/>
  <c r="F8" i="1"/>
  <c r="F9" i="1"/>
  <c r="G37" i="1"/>
  <c r="H37" i="1"/>
  <c r="G34" i="1"/>
  <c r="G36" i="1"/>
  <c r="G42" i="1"/>
  <c r="G38" i="1"/>
  <c r="C36" i="1"/>
  <c r="D36" i="1"/>
  <c r="E36" i="1"/>
  <c r="F36" i="1"/>
  <c r="H36" i="1"/>
  <c r="H38" i="1"/>
  <c r="I36" i="1"/>
  <c r="I38" i="1"/>
  <c r="C38" i="1"/>
  <c r="D38" i="1"/>
  <c r="E38" i="1"/>
  <c r="F38" i="1"/>
  <c r="C42" i="1"/>
  <c r="D42" i="1"/>
  <c r="E42" i="1"/>
  <c r="F42" i="1"/>
  <c r="H3" i="2"/>
  <c r="H5" i="2" s="1"/>
  <c r="H61" i="2" s="1"/>
  <c r="P53" i="3"/>
  <c r="P89" i="3"/>
  <c r="D8" i="1"/>
  <c r="D9" i="1"/>
  <c r="D13" i="1"/>
  <c r="D15" i="1" s="1"/>
  <c r="D20" i="1" s="1"/>
  <c r="D23" i="1" s="1"/>
  <c r="I28" i="1"/>
  <c r="I30" i="1"/>
  <c r="H42" i="1"/>
  <c r="O16" i="1"/>
  <c r="F13" i="1"/>
  <c r="F15" i="1" s="1"/>
  <c r="F20" i="1" s="1"/>
  <c r="F10" i="1"/>
  <c r="C13" i="1"/>
  <c r="P20" i="1"/>
  <c r="P23" i="1"/>
  <c r="O20" i="1"/>
  <c r="O23" i="1"/>
  <c r="K38" i="1"/>
  <c r="K20" i="22"/>
  <c r="I17" i="1"/>
  <c r="L19" i="1"/>
  <c r="L20" i="22"/>
  <c r="H28" i="1"/>
  <c r="H31" i="1"/>
  <c r="H8" i="1"/>
  <c r="H9" i="1"/>
  <c r="H15" i="1"/>
  <c r="H20" i="1"/>
  <c r="H23" i="1"/>
  <c r="I18" i="1"/>
  <c r="I19" i="22"/>
  <c r="L18" i="1"/>
  <c r="L19" i="22"/>
  <c r="W66" i="9"/>
  <c r="J18" i="22"/>
  <c r="K18" i="1"/>
  <c r="K19" i="22"/>
  <c r="K17" i="22" s="1"/>
  <c r="D13" i="3"/>
  <c r="D89" i="3"/>
  <c r="P84" i="3"/>
  <c r="P46" i="3"/>
  <c r="Q41" i="3"/>
  <c r="K30" i="1"/>
  <c r="K31" i="1"/>
  <c r="K8" i="1"/>
  <c r="I31" i="1"/>
  <c r="I8" i="1"/>
  <c r="Q79" i="3"/>
  <c r="Q84" i="3"/>
  <c r="Q46" i="3"/>
  <c r="R41" i="3"/>
  <c r="R79" i="3"/>
  <c r="R84" i="3"/>
  <c r="L35" i="22"/>
  <c r="L37" i="22" s="1"/>
  <c r="L34" i="1"/>
  <c r="S79" i="3"/>
  <c r="S84" i="3"/>
  <c r="T79" i="3"/>
  <c r="T84" i="3"/>
  <c r="W79" i="3"/>
  <c r="W84" i="3"/>
  <c r="X79" i="3"/>
  <c r="I3" i="25"/>
  <c r="I42" i="25" s="1"/>
  <c r="I3" i="1"/>
  <c r="I3" i="22"/>
  <c r="I7" i="22" s="1"/>
  <c r="I10" i="22" s="1"/>
  <c r="J32" i="17"/>
  <c r="E8" i="3"/>
  <c r="F3" i="3"/>
  <c r="E79" i="3"/>
  <c r="E84" i="3"/>
  <c r="Z29" i="9"/>
  <c r="M3" i="1"/>
  <c r="M42" i="1" s="1"/>
  <c r="M3" i="22"/>
  <c r="M7" i="22" s="1"/>
  <c r="M10" i="22" s="1"/>
  <c r="X31" i="17"/>
  <c r="O31" i="17"/>
  <c r="N4" i="1"/>
  <c r="N31" i="17"/>
  <c r="N32" i="17"/>
  <c r="L3" i="1"/>
  <c r="L7" i="1"/>
  <c r="L9" i="1" s="1"/>
  <c r="M32" i="17"/>
  <c r="L3" i="22"/>
  <c r="L7" i="22" s="1"/>
  <c r="L10" i="22" s="1"/>
  <c r="Q32" i="3"/>
  <c r="Q35" i="3"/>
  <c r="R30" i="3"/>
  <c r="D16" i="3"/>
  <c r="E11" i="3"/>
  <c r="E16" i="16"/>
  <c r="F16" i="16"/>
  <c r="I9" i="2"/>
  <c r="I70" i="2" s="1"/>
  <c r="F16" i="20" s="1"/>
  <c r="I4" i="1"/>
  <c r="K3" i="25"/>
  <c r="K3" i="1"/>
  <c r="K3" i="22"/>
  <c r="M30" i="1"/>
  <c r="M31" i="1"/>
  <c r="M8" i="1"/>
  <c r="M19" i="1"/>
  <c r="Q88" i="3"/>
  <c r="R90" i="3"/>
  <c r="D92" i="3"/>
  <c r="R46" i="3"/>
  <c r="N56" i="3"/>
  <c r="N88" i="3"/>
  <c r="P56" i="3"/>
  <c r="Q51" i="3"/>
  <c r="J18" i="25"/>
  <c r="J19" i="22"/>
  <c r="J18" i="1"/>
  <c r="K19" i="25"/>
  <c r="K19" i="1"/>
  <c r="K16" i="1"/>
  <c r="Z46" i="9"/>
  <c r="V21" i="17"/>
  <c r="V32" i="17"/>
  <c r="K4" i="25"/>
  <c r="K4" i="1"/>
  <c r="K4" i="22"/>
  <c r="O22" i="18"/>
  <c r="N66" i="9"/>
  <c r="M11" i="22" s="1"/>
  <c r="P16" i="3"/>
  <c r="Q11" i="3"/>
  <c r="N30" i="1"/>
  <c r="N31" i="1"/>
  <c r="N8" i="1"/>
  <c r="Q73" i="3"/>
  <c r="Q76" i="3"/>
  <c r="C15" i="1"/>
  <c r="C20" i="1" s="1"/>
  <c r="C23" i="1" s="1"/>
  <c r="F23" i="1"/>
  <c r="D79" i="3"/>
  <c r="D84" i="3"/>
  <c r="J17" i="25"/>
  <c r="J17" i="1"/>
  <c r="K21" i="17"/>
  <c r="U31" i="17"/>
  <c r="U32" i="17"/>
  <c r="L48" i="17"/>
  <c r="L50" i="17"/>
  <c r="P90" i="3"/>
  <c r="P92" i="3"/>
  <c r="R22" i="18"/>
  <c r="Q21" i="17"/>
  <c r="P21" i="17"/>
  <c r="P32" i="17"/>
  <c r="W10" i="18"/>
  <c r="W22" i="18"/>
  <c r="N73" i="3"/>
  <c r="N76" i="3"/>
  <c r="F9" i="2"/>
  <c r="J28" i="1"/>
  <c r="I17" i="25"/>
  <c r="I18" i="22"/>
  <c r="T56" i="3"/>
  <c r="X32" i="17"/>
  <c r="J4" i="25"/>
  <c r="J4" i="1"/>
  <c r="J7" i="1" s="1"/>
  <c r="J9" i="1" s="1"/>
  <c r="J4" i="22"/>
  <c r="J7" i="22" s="1"/>
  <c r="J10" i="22" s="1"/>
  <c r="H22" i="18"/>
  <c r="O21" i="17"/>
  <c r="K16" i="16"/>
  <c r="J16" i="16"/>
  <c r="C20" i="20"/>
  <c r="K16" i="25"/>
  <c r="Q6" i="18"/>
  <c r="Q5" i="18"/>
  <c r="Q22" i="18"/>
  <c r="R39" i="22"/>
  <c r="R43" i="22"/>
  <c r="U30" i="1"/>
  <c r="U31" i="1"/>
  <c r="U8" i="1"/>
  <c r="U9" i="1"/>
  <c r="T31" i="1"/>
  <c r="T8" i="1"/>
  <c r="M31" i="22"/>
  <c r="M32" i="22"/>
  <c r="M9" i="22"/>
  <c r="P50" i="17"/>
  <c r="Z5" i="18"/>
  <c r="Z6" i="18"/>
  <c r="Z9" i="18"/>
  <c r="Z22" i="18"/>
  <c r="AA5" i="18"/>
  <c r="R28" i="17"/>
  <c r="R21" i="9"/>
  <c r="R32" i="22"/>
  <c r="R9" i="22"/>
  <c r="R10" i="22"/>
  <c r="J6" i="16"/>
  <c r="AA6" i="18"/>
  <c r="AA22" i="18"/>
  <c r="S30" i="1"/>
  <c r="S31" i="1"/>
  <c r="S8" i="1"/>
  <c r="S9" i="1"/>
  <c r="T9" i="1"/>
  <c r="S31" i="22"/>
  <c r="S32" i="22"/>
  <c r="S9" i="22"/>
  <c r="S10" i="22"/>
  <c r="X81" i="3"/>
  <c r="X84" i="3"/>
  <c r="X89" i="3"/>
  <c r="X92" i="3"/>
  <c r="T42" i="1"/>
  <c r="N32" i="22"/>
  <c r="L32" i="22"/>
  <c r="L9" i="22"/>
  <c r="F24" i="22"/>
  <c r="T32" i="22"/>
  <c r="T9" i="22"/>
  <c r="T10" i="22"/>
  <c r="L15" i="16"/>
  <c r="C5" i="24"/>
  <c r="C28" i="24"/>
  <c r="K28" i="24"/>
  <c r="K5" i="24"/>
  <c r="M5" i="24"/>
  <c r="L5" i="24"/>
  <c r="I30" i="25"/>
  <c r="I31" i="25"/>
  <c r="I8" i="25"/>
  <c r="N5" i="16"/>
  <c r="U17" i="1"/>
  <c r="U18" i="22" s="1"/>
  <c r="U17" i="22" s="1"/>
  <c r="M17" i="25"/>
  <c r="P63" i="9"/>
  <c r="I28" i="24"/>
  <c r="I5" i="24"/>
  <c r="K30" i="25"/>
  <c r="K31" i="25"/>
  <c r="K8" i="25"/>
  <c r="G42" i="25"/>
  <c r="G38" i="25"/>
  <c r="M30" i="25"/>
  <c r="M31" i="25"/>
  <c r="M8" i="25"/>
  <c r="M9" i="25"/>
  <c r="G28" i="24"/>
  <c r="G5" i="24"/>
  <c r="J30" i="25"/>
  <c r="J31" i="25"/>
  <c r="J8" i="25"/>
  <c r="U42" i="1"/>
  <c r="B5" i="24"/>
  <c r="D5" i="24"/>
  <c r="F28" i="24"/>
  <c r="J28" i="24"/>
  <c r="H5" i="24"/>
  <c r="C15" i="25"/>
  <c r="C20" i="25" s="1"/>
  <c r="C23" i="25" s="1"/>
  <c r="E15" i="25"/>
  <c r="E20" i="25"/>
  <c r="E23" i="25" s="1"/>
  <c r="M10" i="1"/>
  <c r="F68" i="2"/>
  <c r="C17" i="20" s="1"/>
  <c r="F26" i="2"/>
  <c r="C6" i="20" s="1"/>
  <c r="H70" i="2"/>
  <c r="E16" i="20"/>
  <c r="H53" i="2"/>
  <c r="E14" i="20"/>
  <c r="H68" i="2"/>
  <c r="E17" i="20"/>
  <c r="I41" i="2"/>
  <c r="I26" i="2"/>
  <c r="F6" i="20" s="1"/>
  <c r="G9" i="2"/>
  <c r="G41" i="2" s="1"/>
  <c r="D12" i="20" s="1"/>
  <c r="K70" i="2"/>
  <c r="H16" i="20"/>
  <c r="M5" i="2"/>
  <c r="M61" i="2"/>
  <c r="L15" i="20"/>
  <c r="L5" i="2"/>
  <c r="L61" i="2" s="1"/>
  <c r="J15" i="20" s="1"/>
  <c r="H5" i="20"/>
  <c r="F41" i="2"/>
  <c r="I68" i="2"/>
  <c r="F17" i="20"/>
  <c r="K53" i="2"/>
  <c r="H14" i="20"/>
  <c r="N70" i="2"/>
  <c r="N16" i="20"/>
  <c r="N39" i="2"/>
  <c r="N11" i="20"/>
  <c r="I39" i="2"/>
  <c r="F11" i="20"/>
  <c r="N68" i="2"/>
  <c r="N17" i="20"/>
  <c r="N53" i="2"/>
  <c r="N14" i="20" s="1"/>
  <c r="N41" i="2"/>
  <c r="N2" i="20"/>
  <c r="N4" i="20"/>
  <c r="E20" i="20"/>
  <c r="H13" i="20"/>
  <c r="L7" i="20"/>
  <c r="E7" i="20"/>
  <c r="C13" i="20"/>
  <c r="D13" i="20"/>
  <c r="F13" i="20"/>
  <c r="F20" i="20"/>
  <c r="G13" i="20"/>
  <c r="J2" i="20"/>
  <c r="E15" i="20"/>
  <c r="E13" i="20"/>
  <c r="C10" i="20"/>
  <c r="AB79" i="2"/>
  <c r="AB82" i="2"/>
  <c r="E5" i="20"/>
  <c r="G2" i="20"/>
  <c r="F2" i="20"/>
  <c r="L2" i="20"/>
  <c r="J13" i="20"/>
  <c r="J10" i="20"/>
  <c r="O16" i="20"/>
  <c r="D2" i="20"/>
  <c r="H2" i="20"/>
  <c r="L13" i="20"/>
  <c r="R32" i="3"/>
  <c r="R35" i="3"/>
  <c r="N3" i="1"/>
  <c r="N42" i="1" s="1"/>
  <c r="O32" i="17"/>
  <c r="J3" i="25"/>
  <c r="J42" i="25" s="1"/>
  <c r="J3" i="22"/>
  <c r="J43" i="22" s="1"/>
  <c r="K32" i="17"/>
  <c r="J3" i="1"/>
  <c r="Q53" i="3"/>
  <c r="Q56" i="3"/>
  <c r="R51" i="3"/>
  <c r="K7" i="22"/>
  <c r="K10" i="22" s="1"/>
  <c r="K43" i="22"/>
  <c r="I43" i="22"/>
  <c r="L36" i="22"/>
  <c r="L38" i="22" s="1"/>
  <c r="L35" i="1"/>
  <c r="L37" i="1" s="1"/>
  <c r="K42" i="1"/>
  <c r="K7" i="1"/>
  <c r="K9" i="1"/>
  <c r="J19" i="25"/>
  <c r="J19" i="1"/>
  <c r="J16" i="1" s="1"/>
  <c r="J20" i="22"/>
  <c r="E13" i="3"/>
  <c r="E89" i="3"/>
  <c r="E87" i="3"/>
  <c r="E92" i="3"/>
  <c r="M4" i="1"/>
  <c r="M7" i="1" s="1"/>
  <c r="M9" i="1" s="1"/>
  <c r="M4" i="22"/>
  <c r="M43" i="22" s="1"/>
  <c r="I7" i="1"/>
  <c r="I9" i="1" s="1"/>
  <c r="I42" i="1"/>
  <c r="Q13" i="3"/>
  <c r="Q89" i="3"/>
  <c r="Q16" i="3"/>
  <c r="R11" i="3"/>
  <c r="Q87" i="3"/>
  <c r="Q92" i="3"/>
  <c r="J17" i="22"/>
  <c r="K42" i="25"/>
  <c r="K7" i="25"/>
  <c r="K9" i="25"/>
  <c r="I19" i="25"/>
  <c r="I16" i="25"/>
  <c r="I19" i="1"/>
  <c r="I16" i="1" s="1"/>
  <c r="I20" i="22"/>
  <c r="I17" i="22"/>
  <c r="F8" i="3"/>
  <c r="G3" i="3"/>
  <c r="F79" i="3"/>
  <c r="F84" i="3"/>
  <c r="I7" i="25"/>
  <c r="I9" i="25" s="1"/>
  <c r="M16" i="16"/>
  <c r="L16" i="16"/>
  <c r="J30" i="1"/>
  <c r="J31" i="1"/>
  <c r="J8" i="1"/>
  <c r="J16" i="25"/>
  <c r="Z47" i="9"/>
  <c r="G68" i="2"/>
  <c r="D17" i="20"/>
  <c r="G39" i="2"/>
  <c r="D11" i="20"/>
  <c r="G70" i="2"/>
  <c r="D16" i="20"/>
  <c r="E16" i="3"/>
  <c r="F11" i="3"/>
  <c r="N7" i="1"/>
  <c r="N9" i="1" s="1"/>
  <c r="G8" i="3"/>
  <c r="G79" i="3"/>
  <c r="G84" i="3"/>
  <c r="R53" i="3"/>
  <c r="R56" i="3"/>
  <c r="J7" i="25"/>
  <c r="J9" i="25" s="1"/>
  <c r="Y89" i="3"/>
  <c r="Y87" i="3"/>
  <c r="Y92" i="3"/>
  <c r="Y81" i="3"/>
  <c r="Y79" i="3"/>
  <c r="J42" i="1"/>
  <c r="R13" i="3"/>
  <c r="R89" i="3"/>
  <c r="R87" i="3"/>
  <c r="R92" i="3"/>
  <c r="F13" i="3"/>
  <c r="F89" i="3"/>
  <c r="F87" i="3"/>
  <c r="Z89" i="3"/>
  <c r="Z87" i="3"/>
  <c r="Z92" i="3"/>
  <c r="H9" i="3"/>
  <c r="H3" i="3"/>
  <c r="R16" i="3"/>
  <c r="S11" i="3"/>
  <c r="Y84" i="3"/>
  <c r="S87" i="3"/>
  <c r="S13" i="3"/>
  <c r="S89" i="3"/>
  <c r="S92" i="3"/>
  <c r="S16" i="3"/>
  <c r="T11" i="3"/>
  <c r="F16" i="3"/>
  <c r="G11" i="3"/>
  <c r="H8" i="3"/>
  <c r="I3" i="3"/>
  <c r="H79" i="3"/>
  <c r="H84" i="3"/>
  <c r="Z79" i="3"/>
  <c r="Z84" i="3"/>
  <c r="F92" i="3"/>
  <c r="T87" i="3"/>
  <c r="T13" i="3"/>
  <c r="T89" i="3"/>
  <c r="T92" i="3"/>
  <c r="I8" i="3"/>
  <c r="J3" i="3"/>
  <c r="I79" i="3"/>
  <c r="I84" i="3"/>
  <c r="G87" i="3"/>
  <c r="G13" i="3"/>
  <c r="G89" i="3"/>
  <c r="G92" i="3"/>
  <c r="G16" i="3"/>
  <c r="H11" i="3"/>
  <c r="J79" i="3"/>
  <c r="J84" i="3"/>
  <c r="J8" i="3"/>
  <c r="K3" i="3"/>
  <c r="T16" i="3"/>
  <c r="K79" i="3"/>
  <c r="K84" i="3"/>
  <c r="K8" i="3"/>
  <c r="L3" i="3"/>
  <c r="H87" i="3"/>
  <c r="H13" i="3"/>
  <c r="H89" i="3"/>
  <c r="H16" i="3"/>
  <c r="I11" i="3"/>
  <c r="H92" i="3"/>
  <c r="L79" i="3"/>
  <c r="L84" i="3"/>
  <c r="L8" i="3"/>
  <c r="M3" i="3"/>
  <c r="I87" i="3"/>
  <c r="I13" i="3"/>
  <c r="I89" i="3"/>
  <c r="M8" i="3"/>
  <c r="N3" i="3"/>
  <c r="M79" i="3"/>
  <c r="M84" i="3"/>
  <c r="I16" i="3"/>
  <c r="J11" i="3"/>
  <c r="N8" i="3"/>
  <c r="N79" i="3"/>
  <c r="N84" i="3"/>
  <c r="I92" i="3"/>
  <c r="J13" i="3"/>
  <c r="J89" i="3"/>
  <c r="J87" i="3"/>
  <c r="J16" i="3"/>
  <c r="K11" i="3"/>
  <c r="K13" i="3"/>
  <c r="K89" i="3"/>
  <c r="K87" i="3"/>
  <c r="J92" i="3"/>
  <c r="K16" i="3"/>
  <c r="L11" i="3"/>
  <c r="K92" i="3"/>
  <c r="L13" i="3"/>
  <c r="L89" i="3"/>
  <c r="L87" i="3"/>
  <c r="L16" i="3"/>
  <c r="M11" i="3"/>
  <c r="M87" i="3"/>
  <c r="M13" i="3"/>
  <c r="M89" i="3"/>
  <c r="L92" i="3"/>
  <c r="M16" i="3"/>
  <c r="N11" i="3"/>
  <c r="M92" i="3"/>
  <c r="N87" i="3"/>
  <c r="N13" i="3"/>
  <c r="N89" i="3"/>
  <c r="N92" i="3"/>
  <c r="N16" i="3"/>
  <c r="U14" i="20" l="1"/>
  <c r="M13" i="22"/>
  <c r="V17" i="22"/>
  <c r="U9" i="20"/>
  <c r="U5" i="20"/>
  <c r="Q4" i="20"/>
  <c r="U15" i="20"/>
  <c r="U16" i="1"/>
  <c r="K29" i="9"/>
  <c r="K47" i="9" s="1"/>
  <c r="O29" i="9"/>
  <c r="M54" i="9"/>
  <c r="M66" i="9" s="1"/>
  <c r="L10" i="1" s="1"/>
  <c r="L12" i="1" s="1"/>
  <c r="O54" i="9"/>
  <c r="O66" i="9" s="1"/>
  <c r="N10" i="1" s="1"/>
  <c r="O46" i="9"/>
  <c r="R39" i="17"/>
  <c r="L28" i="9"/>
  <c r="L29" i="9" s="1"/>
  <c r="L47" i="9" s="1"/>
  <c r="Q63" i="9"/>
  <c r="R31" i="17"/>
  <c r="R32" i="17" s="1"/>
  <c r="L43" i="22"/>
  <c r="L39" i="22"/>
  <c r="M18" i="22"/>
  <c r="M17" i="1"/>
  <c r="M18" i="1"/>
  <c r="M19" i="22"/>
  <c r="L17" i="1"/>
  <c r="L16" i="1" s="1"/>
  <c r="L18" i="22"/>
  <c r="L17" i="22" s="1"/>
  <c r="L36" i="1"/>
  <c r="C15" i="20"/>
  <c r="Q69" i="2"/>
  <c r="N5" i="2"/>
  <c r="N61" i="2" s="1"/>
  <c r="N15" i="20" s="1"/>
  <c r="N21" i="20" s="1"/>
  <c r="D15" i="20"/>
  <c r="Q61" i="2"/>
  <c r="T15" i="20" s="1"/>
  <c r="F39" i="2"/>
  <c r="C11" i="20" s="1"/>
  <c r="F53" i="2"/>
  <c r="C14" i="20" s="1"/>
  <c r="F70" i="2"/>
  <c r="C16" i="20" s="1"/>
  <c r="E6" i="20"/>
  <c r="Q41" i="2"/>
  <c r="T12" i="20" s="1"/>
  <c r="U12" i="20"/>
  <c r="J70" i="2"/>
  <c r="G16" i="20" s="1"/>
  <c r="J39" i="2"/>
  <c r="G11" i="20" s="1"/>
  <c r="J26" i="2"/>
  <c r="G6" i="20" s="1"/>
  <c r="J41" i="2"/>
  <c r="H15" i="20"/>
  <c r="M39" i="2"/>
  <c r="L11" i="20" s="1"/>
  <c r="M68" i="2"/>
  <c r="L17" i="20" s="1"/>
  <c r="M26" i="2"/>
  <c r="L6" i="20" s="1"/>
  <c r="M70" i="2"/>
  <c r="L16" i="20" s="1"/>
  <c r="L70" i="2"/>
  <c r="J16" i="20" s="1"/>
  <c r="L39" i="2"/>
  <c r="J11" i="20" s="1"/>
  <c r="L41" i="2"/>
  <c r="J12" i="20" s="1"/>
  <c r="L53" i="2"/>
  <c r="J14" i="20" s="1"/>
  <c r="J53" i="2"/>
  <c r="G14" i="20" s="1"/>
  <c r="J68" i="2"/>
  <c r="G17" i="20" s="1"/>
  <c r="L26" i="2"/>
  <c r="J6" i="20" s="1"/>
  <c r="L68" i="2"/>
  <c r="J17" i="20" s="1"/>
  <c r="P61" i="2"/>
  <c r="R15" i="20" s="1"/>
  <c r="P26" i="2"/>
  <c r="R6" i="20" s="1"/>
  <c r="H41" i="2"/>
  <c r="E12" i="20" s="1"/>
  <c r="C12" i="20"/>
  <c r="L12" i="20"/>
  <c r="G53" i="2"/>
  <c r="D14" i="20" s="1"/>
  <c r="G26" i="2"/>
  <c r="K41" i="2"/>
  <c r="H12" i="20" s="1"/>
  <c r="H21" i="20" s="1"/>
  <c r="I53" i="2"/>
  <c r="F14" i="20" s="1"/>
  <c r="H39" i="2"/>
  <c r="E11" i="20" s="1"/>
  <c r="G12" i="20"/>
  <c r="K21" i="20"/>
  <c r="K23" i="20" s="1"/>
  <c r="M21" i="20"/>
  <c r="M23" i="20" s="1"/>
  <c r="I21" i="20"/>
  <c r="I23" i="20" s="1"/>
  <c r="I69" i="2"/>
  <c r="I5" i="2"/>
  <c r="I61" i="2" s="1"/>
  <c r="O69" i="2"/>
  <c r="O5" i="2"/>
  <c r="O21" i="20"/>
  <c r="O23" i="20" s="1"/>
  <c r="G5" i="20"/>
  <c r="G7" i="20"/>
  <c r="E10" i="20"/>
  <c r="C5" i="20"/>
  <c r="K79" i="2"/>
  <c r="K82" i="2" s="1"/>
  <c r="K83" i="2" s="1"/>
  <c r="L5" i="20"/>
  <c r="N79" i="2"/>
  <c r="N82" i="2" s="1"/>
  <c r="T7" i="20"/>
  <c r="O61" i="2"/>
  <c r="P15" i="20" s="1"/>
  <c r="U13" i="20"/>
  <c r="T10" i="20"/>
  <c r="T5" i="20"/>
  <c r="M79" i="2"/>
  <c r="M82" i="2" s="1"/>
  <c r="Q39" i="17"/>
  <c r="Q50" i="17" s="1"/>
  <c r="AB46" i="9"/>
  <c r="AB47" i="9" s="1"/>
  <c r="Q22" i="9"/>
  <c r="AG66" i="9"/>
  <c r="Y29" i="9"/>
  <c r="Y46" i="9"/>
  <c r="R46" i="9"/>
  <c r="R48" i="17"/>
  <c r="R50" i="17" s="1"/>
  <c r="AE66" i="9"/>
  <c r="M12" i="1"/>
  <c r="X66" i="9"/>
  <c r="AA47" i="9"/>
  <c r="K66" i="9"/>
  <c r="J10" i="25" s="1"/>
  <c r="J12" i="25" s="1"/>
  <c r="S54" i="9"/>
  <c r="J63" i="9"/>
  <c r="J66" i="9" s="1"/>
  <c r="J54" i="9"/>
  <c r="P54" i="9"/>
  <c r="P66" i="9" s="1"/>
  <c r="R11" i="22" s="1"/>
  <c r="R13" i="22" s="1"/>
  <c r="S63" i="9"/>
  <c r="L11" i="22"/>
  <c r="L13" i="22" s="1"/>
  <c r="N12" i="1"/>
  <c r="N15" i="1"/>
  <c r="N20" i="1" s="1"/>
  <c r="N23" i="1" s="1"/>
  <c r="R10" i="1"/>
  <c r="Q54" i="9"/>
  <c r="Q66" i="9" s="1"/>
  <c r="R63" i="9"/>
  <c r="L54" i="9"/>
  <c r="L66" i="9" s="1"/>
  <c r="T54" i="9"/>
  <c r="U54" i="9"/>
  <c r="R54" i="9"/>
  <c r="R66" i="9" s="1"/>
  <c r="T63" i="9"/>
  <c r="U63" i="9"/>
  <c r="E8" i="24"/>
  <c r="U16" i="20"/>
  <c r="T13" i="20"/>
  <c r="U17" i="20"/>
  <c r="O53" i="2"/>
  <c r="P14" i="20" s="1"/>
  <c r="U11" i="20"/>
  <c r="U7" i="20"/>
  <c r="O70" i="2"/>
  <c r="P16" i="20" s="1"/>
  <c r="Q15" i="20"/>
  <c r="U10" i="20"/>
  <c r="U6" i="20"/>
  <c r="T16" i="20"/>
  <c r="AE79" i="2"/>
  <c r="AE82" i="2" s="1"/>
  <c r="Q6" i="20"/>
  <c r="R13" i="20"/>
  <c r="O39" i="2"/>
  <c r="P11" i="20" s="1"/>
  <c r="M7" i="24"/>
  <c r="L7" i="24"/>
  <c r="O15" i="2"/>
  <c r="P3" i="20" s="1"/>
  <c r="R7" i="20"/>
  <c r="P5" i="20"/>
  <c r="R5" i="20"/>
  <c r="P13" i="20"/>
  <c r="AD79" i="2"/>
  <c r="AD82" i="2" s="1"/>
  <c r="Q9" i="20"/>
  <c r="Q13" i="20"/>
  <c r="AC79" i="2"/>
  <c r="AC82" i="2" s="1"/>
  <c r="P33" i="2"/>
  <c r="R8" i="20" s="1"/>
  <c r="Q12" i="20"/>
  <c r="Q5" i="20"/>
  <c r="P10" i="20"/>
  <c r="L15" i="25"/>
  <c r="L20" i="25" s="1"/>
  <c r="L23" i="25" s="1"/>
  <c r="L12" i="25"/>
  <c r="P4" i="20"/>
  <c r="P12" i="20"/>
  <c r="R10" i="20"/>
  <c r="P7" i="20"/>
  <c r="R12" i="20"/>
  <c r="O68" i="2"/>
  <c r="P17" i="20" s="1"/>
  <c r="E13" i="24"/>
  <c r="Q7" i="20"/>
  <c r="Q10" i="20"/>
  <c r="Q8" i="20"/>
  <c r="P70" i="2"/>
  <c r="R16" i="20" s="1"/>
  <c r="K8" i="24"/>
  <c r="K13" i="24" s="1"/>
  <c r="K15" i="24" s="1"/>
  <c r="M16" i="1" l="1"/>
  <c r="O47" i="9"/>
  <c r="J11" i="22"/>
  <c r="J13" i="22" s="1"/>
  <c r="M29" i="9"/>
  <c r="M47" i="9" s="1"/>
  <c r="U66" i="9"/>
  <c r="J21" i="20"/>
  <c r="L21" i="20"/>
  <c r="M17" i="22"/>
  <c r="L42" i="1"/>
  <c r="L38" i="1"/>
  <c r="F79" i="2"/>
  <c r="F82" i="2" s="1"/>
  <c r="I14" i="22" s="1"/>
  <c r="I79" i="2"/>
  <c r="I82" i="2" s="1"/>
  <c r="L14" i="22" s="1"/>
  <c r="L16" i="22" s="1"/>
  <c r="L21" i="22" s="1"/>
  <c r="L24" i="22" s="1"/>
  <c r="Q79" i="2"/>
  <c r="Q82" i="2" s="1"/>
  <c r="W13" i="1" s="1"/>
  <c r="C21" i="20"/>
  <c r="J79" i="2"/>
  <c r="J82" i="2" s="1"/>
  <c r="D6" i="20"/>
  <c r="D21" i="20" s="1"/>
  <c r="G79" i="2"/>
  <c r="G82" i="2" s="1"/>
  <c r="E21" i="20"/>
  <c r="L79" i="2"/>
  <c r="L82" i="2" s="1"/>
  <c r="R13" i="1" s="1"/>
  <c r="G21" i="20"/>
  <c r="G23" i="20" s="1"/>
  <c r="H79" i="2"/>
  <c r="H82" i="2" s="1"/>
  <c r="I83" i="2"/>
  <c r="H23" i="20"/>
  <c r="L83" i="2"/>
  <c r="R14" i="22"/>
  <c r="N83" i="2"/>
  <c r="T13" i="1"/>
  <c r="T14" i="22"/>
  <c r="T14" i="1"/>
  <c r="T15" i="22"/>
  <c r="L23" i="20"/>
  <c r="I13" i="25"/>
  <c r="I13" i="1"/>
  <c r="F15" i="20"/>
  <c r="F21" i="20" s="1"/>
  <c r="N23" i="20"/>
  <c r="S15" i="22"/>
  <c r="S14" i="1"/>
  <c r="M83" i="2"/>
  <c r="S14" i="22"/>
  <c r="S13" i="1"/>
  <c r="S66" i="9"/>
  <c r="Q25" i="9"/>
  <c r="Q26" i="9" s="1"/>
  <c r="Q28" i="9" s="1"/>
  <c r="Q29" i="9" s="1"/>
  <c r="Q47" i="9" s="1"/>
  <c r="Q33" i="17" s="1"/>
  <c r="R22" i="9"/>
  <c r="R26" i="9" s="1"/>
  <c r="R28" i="9" s="1"/>
  <c r="R29" i="9" s="1"/>
  <c r="R47" i="9" s="1"/>
  <c r="R33" i="17" s="1"/>
  <c r="J10" i="1"/>
  <c r="J12" i="1" s="1"/>
  <c r="Y47" i="9"/>
  <c r="I10" i="25"/>
  <c r="I12" i="25" s="1"/>
  <c r="I15" i="25" s="1"/>
  <c r="I20" i="25" s="1"/>
  <c r="I23" i="25" s="1"/>
  <c r="I11" i="22"/>
  <c r="I13" i="22" s="1"/>
  <c r="I10" i="1"/>
  <c r="I12" i="1" s="1"/>
  <c r="K10" i="1"/>
  <c r="K12" i="1" s="1"/>
  <c r="K10" i="25"/>
  <c r="K12" i="25" s="1"/>
  <c r="K11" i="22"/>
  <c r="K13" i="22" s="1"/>
  <c r="R12" i="1"/>
  <c r="T11" i="22"/>
  <c r="T13" i="22" s="1"/>
  <c r="T10" i="1"/>
  <c r="S11" i="22"/>
  <c r="S13" i="22" s="1"/>
  <c r="S10" i="1"/>
  <c r="T66" i="9"/>
  <c r="L8" i="24"/>
  <c r="M8" i="24"/>
  <c r="U21" i="20"/>
  <c r="U23" i="20" s="1"/>
  <c r="T21" i="20"/>
  <c r="Q21" i="20"/>
  <c r="Q23" i="20" s="1"/>
  <c r="R21" i="20"/>
  <c r="S23" i="20"/>
  <c r="O79" i="2"/>
  <c r="O82" i="2" s="1"/>
  <c r="E15" i="24"/>
  <c r="M13" i="24"/>
  <c r="L13" i="24"/>
  <c r="P21" i="20"/>
  <c r="P79" i="2"/>
  <c r="P82" i="2" s="1"/>
  <c r="Q83" i="2" l="1"/>
  <c r="T23" i="20"/>
  <c r="I16" i="22"/>
  <c r="I21" i="22" s="1"/>
  <c r="I24" i="22" s="1"/>
  <c r="F23" i="20"/>
  <c r="L13" i="1"/>
  <c r="L15" i="1" s="1"/>
  <c r="L20" i="1" s="1"/>
  <c r="L23" i="1" s="1"/>
  <c r="F83" i="2"/>
  <c r="C23" i="20"/>
  <c r="R16" i="22"/>
  <c r="R21" i="22" s="1"/>
  <c r="R24" i="22" s="1"/>
  <c r="J23" i="20"/>
  <c r="R15" i="22"/>
  <c r="R14" i="1"/>
  <c r="R15" i="1" s="1"/>
  <c r="R20" i="1" s="1"/>
  <c r="R23" i="1" s="1"/>
  <c r="E23" i="20"/>
  <c r="M13" i="1"/>
  <c r="M15" i="1" s="1"/>
  <c r="M20" i="1" s="1"/>
  <c r="M23" i="1" s="1"/>
  <c r="J83" i="2"/>
  <c r="M14" i="22"/>
  <c r="M16" i="22" s="1"/>
  <c r="M21" i="22" s="1"/>
  <c r="M24" i="22" s="1"/>
  <c r="G83" i="2"/>
  <c r="J14" i="22"/>
  <c r="J16" i="22" s="1"/>
  <c r="J21" i="22" s="1"/>
  <c r="J24" i="22" s="1"/>
  <c r="J13" i="1"/>
  <c r="J15" i="1" s="1"/>
  <c r="J20" i="1" s="1"/>
  <c r="J23" i="1" s="1"/>
  <c r="J13" i="25"/>
  <c r="J15" i="25" s="1"/>
  <c r="J20" i="25" s="1"/>
  <c r="J23" i="25" s="1"/>
  <c r="T16" i="22"/>
  <c r="T21" i="22" s="1"/>
  <c r="T24" i="22" s="1"/>
  <c r="D23" i="20"/>
  <c r="W14" i="1"/>
  <c r="H83" i="2"/>
  <c r="K14" i="22"/>
  <c r="K16" i="22" s="1"/>
  <c r="K21" i="22" s="1"/>
  <c r="K24" i="22" s="1"/>
  <c r="K13" i="25"/>
  <c r="K15" i="25" s="1"/>
  <c r="K20" i="25" s="1"/>
  <c r="K23" i="25" s="1"/>
  <c r="K13" i="1"/>
  <c r="K15" i="1" s="1"/>
  <c r="K20" i="1" s="1"/>
  <c r="K23" i="1" s="1"/>
  <c r="S16" i="22"/>
  <c r="S21" i="22" s="1"/>
  <c r="S24" i="22" s="1"/>
  <c r="I15" i="1"/>
  <c r="I20" i="1" s="1"/>
  <c r="I23" i="1" s="1"/>
  <c r="U10" i="1"/>
  <c r="M10" i="25"/>
  <c r="M11" i="25" s="1"/>
  <c r="M12" i="25" s="1"/>
  <c r="U11" i="22"/>
  <c r="W10" i="1"/>
  <c r="W11" i="1" s="1"/>
  <c r="T15" i="1"/>
  <c r="T20" i="1" s="1"/>
  <c r="T23" i="1" s="1"/>
  <c r="T12" i="1"/>
  <c r="S12" i="1"/>
  <c r="S15" i="1"/>
  <c r="S20" i="1" s="1"/>
  <c r="S23" i="1" s="1"/>
  <c r="V11" i="22"/>
  <c r="V13" i="22" s="1"/>
  <c r="V16" i="22" s="1"/>
  <c r="V10" i="1"/>
  <c r="V14" i="22"/>
  <c r="V13" i="1"/>
  <c r="P83" i="2"/>
  <c r="V14" i="1"/>
  <c r="V15" i="22"/>
  <c r="M15" i="24"/>
  <c r="L15" i="24"/>
  <c r="U13" i="1"/>
  <c r="M13" i="25"/>
  <c r="O83" i="2"/>
  <c r="U14" i="22"/>
  <c r="M14" i="25"/>
  <c r="U15" i="22"/>
  <c r="U14" i="1"/>
  <c r="P23" i="20"/>
  <c r="R23" i="20"/>
  <c r="U11" i="1" l="1"/>
  <c r="U12" i="22" s="1"/>
  <c r="U13" i="22" s="1"/>
  <c r="U16" i="22" s="1"/>
  <c r="U21" i="22" s="1"/>
  <c r="U24" i="22" s="1"/>
  <c r="V11" i="1"/>
  <c r="V12" i="1" s="1"/>
  <c r="W15" i="1"/>
  <c r="W20" i="1" s="1"/>
  <c r="W23" i="1" s="1"/>
  <c r="M15" i="25"/>
  <c r="M20" i="25" s="1"/>
  <c r="M23" i="25" s="1"/>
  <c r="V21" i="22"/>
  <c r="V24" i="22" s="1"/>
  <c r="U15" i="1" l="1"/>
  <c r="U20" i="1" s="1"/>
  <c r="U23" i="1" s="1"/>
  <c r="U12" i="1"/>
  <c r="V15" i="1"/>
  <c r="V20" i="1" s="1"/>
  <c r="V23" i="1" s="1"/>
  <c r="W12" i="1"/>
</calcChain>
</file>

<file path=xl/comments1.xml><?xml version="1.0" encoding="utf-8"?>
<comments xmlns="http://schemas.openxmlformats.org/spreadsheetml/2006/main">
  <authors>
    <author>Chanyapat Ussawadharapan</author>
    <author>chanyapat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4" authorId="1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+smart bike </t>
        </r>
      </text>
    </comment>
  </commentList>
</comments>
</file>

<file path=xl/comments2.xml><?xml version="1.0" encoding="utf-8"?>
<comments xmlns="http://schemas.openxmlformats.org/spreadsheetml/2006/main">
  <authors>
    <author>Chanyapat Ussawadharapan</author>
    <author>chanyapat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4" authorId="1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+smart bike </t>
        </r>
      </text>
    </comment>
  </commentList>
</comments>
</file>

<file path=xl/comments3.xml><?xml version="1.0" encoding="utf-8"?>
<comments xmlns="http://schemas.openxmlformats.org/spreadsheetml/2006/main">
  <authors>
    <author>Chanyapat Ussawadharapan</author>
    <author>chanyapat</author>
  </authors>
  <commentList>
    <comment ref="A27" authorId="0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5" authorId="1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+smart bike </t>
        </r>
      </text>
    </comment>
  </commentList>
</comments>
</file>

<file path=xl/comments4.xml><?xml version="1.0" encoding="utf-8"?>
<comments xmlns="http://schemas.openxmlformats.org/spreadsheetml/2006/main">
  <authors>
    <author>Chanyapat Ussawadharapan</author>
    <author>Boris</author>
  </authors>
  <commentList>
    <comment ref="A70" authorId="0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formular</t>
        </r>
      </text>
    </comment>
    <comment ref="W70" authorId="1" shapeId="0">
      <text>
        <r>
          <rPr>
            <b/>
            <sz val="9"/>
            <color indexed="81"/>
            <rFont val="Tahoma"/>
            <family val="2"/>
          </rPr>
          <t>Boris:</t>
        </r>
        <r>
          <rPr>
            <sz val="9"/>
            <color indexed="81"/>
            <rFont val="Tahoma"/>
            <family val="2"/>
          </rPr>
          <t xml:space="preserve">
28037.38 is telephone fees charged by GL - tbd on how to allocate
</t>
        </r>
      </text>
    </comment>
  </commentList>
</comments>
</file>

<file path=xl/comments5.xml><?xml version="1.0" encoding="utf-8"?>
<comments xmlns="http://schemas.openxmlformats.org/spreadsheetml/2006/main">
  <authors>
    <author>Chanyapat</author>
    <author>chanyapat</author>
    <author>Chanyapat Ussawadharapan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As still cannot have the DailyReport because waiting IT to fix that, estimated figures are applied here in Jan'16
</t>
        </r>
      </text>
    </comment>
    <comment ref="C27" authorId="1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Add in Aug'15
</t>
        </r>
      </text>
    </comment>
    <comment ref="AE62" authorId="2" shapeId="0">
      <text>
        <r>
          <rPr>
            <b/>
            <sz val="9"/>
            <color indexed="81"/>
            <rFont val="Tahoma"/>
            <family val="2"/>
          </rPr>
          <t>Chanyapat Ussawadharapan:</t>
        </r>
        <r>
          <rPr>
            <sz val="9"/>
            <color indexed="81"/>
            <rFont val="Tahoma"/>
            <family val="2"/>
          </rPr>
          <t xml:space="preserve">
Car Loan</t>
        </r>
      </text>
    </comment>
    <comment ref="F64" authorId="2" shapeId="0">
      <text>
        <r>
          <rPr>
            <b/>
            <sz val="9"/>
            <color indexed="81"/>
            <rFont val="Tahoma"/>
            <family val="2"/>
          </rPr>
          <t xml:space="preserve">Chanyapat Ussawadharapan: 4301-2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chanyapat</author>
    <author>Chanyapat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MFC+SB</t>
        </r>
      </text>
    </comment>
    <comment ref="S3" authorId="1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MFC+SB</t>
        </r>
      </text>
    </comment>
  </commentList>
</comments>
</file>

<file path=xl/comments7.xml><?xml version="1.0" encoding="utf-8"?>
<comments xmlns="http://schemas.openxmlformats.org/spreadsheetml/2006/main">
  <authors>
    <author>Chanyapat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 92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94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95
</t>
        </r>
      </text>
    </comment>
  </commentList>
</comments>
</file>

<file path=xl/comments8.xml><?xml version="1.0" encoding="utf-8"?>
<comments xmlns="http://schemas.openxmlformats.org/spreadsheetml/2006/main">
  <authors>
    <author>Chanyapat</author>
    <author>chanyapat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2 ล้อ ,  2 ล้อ 3+  ,TNB Cash</t>
        </r>
      </text>
    </comment>
    <comment ref="P14" authorId="1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rounding</t>
        </r>
      </text>
    </comment>
    <comment ref="R14" authorId="1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smart bike</t>
        </r>
      </text>
    </comment>
  </commentList>
</comments>
</file>

<file path=xl/comments9.xml><?xml version="1.0" encoding="utf-8"?>
<comments xmlns="http://schemas.openxmlformats.org/spreadsheetml/2006/main">
  <authors>
    <author>chanyapat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chanyapat:</t>
        </r>
        <r>
          <rPr>
            <sz val="9"/>
            <color indexed="81"/>
            <rFont val="Tahoma"/>
            <family val="2"/>
          </rPr>
          <t xml:space="preserve">
Add in Aug'15
</t>
        </r>
      </text>
    </comment>
  </commentList>
</comments>
</file>

<file path=xl/sharedStrings.xml><?xml version="1.0" encoding="utf-8"?>
<sst xmlns="http://schemas.openxmlformats.org/spreadsheetml/2006/main" count="1295" uniqueCount="507">
  <si>
    <t>Oct</t>
  </si>
  <si>
    <t>Sep</t>
  </si>
  <si>
    <t>Aug</t>
  </si>
  <si>
    <t>เงินเดือนโบนัสและเงินรางวัลพนักงาน</t>
  </si>
  <si>
    <t>ค่าล่วงเวลาและค่าเบี้ยเลี้ยง</t>
  </si>
  <si>
    <t>Overtime</t>
  </si>
  <si>
    <t>ค่าส่งเสริมการขาย</t>
  </si>
  <si>
    <t>ค่าใช้จ่ายเกี่ยวกับทะเบียน</t>
  </si>
  <si>
    <t>Register fee</t>
  </si>
  <si>
    <t>ค่าเช่าอาคาร</t>
  </si>
  <si>
    <t>Rental office expenses</t>
  </si>
  <si>
    <t>ค่าบริการรถยนต์เช่า</t>
  </si>
  <si>
    <t>Rental car expenses</t>
  </si>
  <si>
    <t>ค่าเช่าคอมพิวเตอร์</t>
  </si>
  <si>
    <t>Rental computer expenses</t>
  </si>
  <si>
    <t>ค่าเช่าระบบโททัศน์วงจรปิด</t>
  </si>
  <si>
    <t>Rental CCTV systems expenses</t>
  </si>
  <si>
    <t>ค่าอากรแสตมป์</t>
  </si>
  <si>
    <t>Stamp duty fees</t>
  </si>
  <si>
    <t>ค่าไฟฟ้า ค่าน้ำประปา</t>
  </si>
  <si>
    <t>Electricity and Water  charge</t>
  </si>
  <si>
    <t>Communication  cost</t>
  </si>
  <si>
    <t>ค่าเครื่องเขียนแบบพิมพ์</t>
  </si>
  <si>
    <t>Stationary expenses</t>
  </si>
  <si>
    <t>ATM Service fee</t>
  </si>
  <si>
    <t>ค่าธรรมเนียมธนาคารอื่น</t>
  </si>
  <si>
    <t>Bank Service fee</t>
  </si>
  <si>
    <t>ค่าสาธารณูประโภค</t>
  </si>
  <si>
    <t>Utilities</t>
  </si>
  <si>
    <t>ค่าใช้จ่ายเบ็ดเตล็ด</t>
  </si>
  <si>
    <t>Miscellaneous expenses</t>
  </si>
  <si>
    <t>ค่าใช้จ่ายเกี่ยวกับคอมพิวเตอร์</t>
  </si>
  <si>
    <t>ค่าสอบบัญชี</t>
  </si>
  <si>
    <t>Audit fees</t>
  </si>
  <si>
    <t>ค่าซ่อมแซมและบำรุงรักษา</t>
  </si>
  <si>
    <t>Repairs &amp; Maintenance Expenses</t>
  </si>
  <si>
    <t>ค่าจ้างงานสนับสนุนและบริการอื่นจากTCRB</t>
  </si>
  <si>
    <t>Support and other services to TCRB</t>
  </si>
  <si>
    <t>ค่าสมาชิก NCB</t>
  </si>
  <si>
    <t>NCB membership fee</t>
  </si>
  <si>
    <t>ค่าบริการสืบค้นข้อมูล NCB</t>
  </si>
  <si>
    <t>NCB searching fee</t>
  </si>
  <si>
    <t>รวมค่าใช้จ่ายในการบริการและบริหารก่อนค่าที่ปรึกษา ค่าเสื่อมราคาและค่าตัดจำหน่าย</t>
  </si>
  <si>
    <t>Total expenses before Depreciation</t>
  </si>
  <si>
    <t>ค่าเสื่อมราคา</t>
  </si>
  <si>
    <t>Depreciation</t>
  </si>
  <si>
    <t>ค่าเสื่อมราคาสินทรัพย์ไม่มีตัวตน</t>
  </si>
  <si>
    <t>Amotization Intangible Asset</t>
  </si>
  <si>
    <t>รวมค่าใช้จ่ายในการบริการและบริหาร</t>
  </si>
  <si>
    <t>Total expenses for Service and administrative expenses</t>
  </si>
  <si>
    <t xml:space="preserve">Total TNB </t>
  </si>
  <si>
    <t>Moto for Cash - OPEX</t>
  </si>
  <si>
    <t>% total mfc/total port</t>
  </si>
  <si>
    <t>% total staff tnb</t>
  </si>
  <si>
    <t>ratio staff + brochure</t>
  </si>
  <si>
    <t>Ratio portfolio</t>
  </si>
  <si>
    <t>Number of total contracts</t>
  </si>
  <si>
    <t xml:space="preserve">Interest Income </t>
  </si>
  <si>
    <t>Net Interest Income</t>
  </si>
  <si>
    <t>Net Profit before Provision and Tax</t>
  </si>
  <si>
    <t xml:space="preserve"> -  Provision</t>
  </si>
  <si>
    <t>NPBT</t>
  </si>
  <si>
    <t>Net Profit</t>
  </si>
  <si>
    <t>% Income</t>
  </si>
  <si>
    <t>% OS</t>
  </si>
  <si>
    <t xml:space="preserve"> - Write-Off</t>
  </si>
  <si>
    <t>October</t>
  </si>
  <si>
    <t>July</t>
  </si>
  <si>
    <t>August</t>
  </si>
  <si>
    <t>September</t>
  </si>
  <si>
    <t>Total interest expenses TNB</t>
  </si>
  <si>
    <t>Ratio MFC contracts/total contracts</t>
  </si>
  <si>
    <t>Ratio MFC portfolio/total portfolio</t>
  </si>
  <si>
    <t>Average montly interest per contract</t>
  </si>
  <si>
    <t>Nov</t>
  </si>
  <si>
    <t>Dec</t>
  </si>
  <si>
    <t>November</t>
  </si>
  <si>
    <t>December</t>
  </si>
  <si>
    <t>January</t>
  </si>
  <si>
    <t>February</t>
  </si>
  <si>
    <t>B/F</t>
  </si>
  <si>
    <t>C/F</t>
  </si>
  <si>
    <t>New</t>
  </si>
  <si>
    <t>Repo</t>
  </si>
  <si>
    <t>Write-off</t>
  </si>
  <si>
    <t>Closed</t>
  </si>
  <si>
    <t>100% For MFC</t>
  </si>
  <si>
    <t>Other expenses</t>
  </si>
  <si>
    <t>Welfare</t>
  </si>
  <si>
    <t>Social security payment, Provident fund</t>
  </si>
  <si>
    <t>Directors Remuneration</t>
  </si>
  <si>
    <t>Remuneration</t>
  </si>
  <si>
    <t>Entertainment</t>
  </si>
  <si>
    <t>ค่าของขวัญและของชำร่วย</t>
  </si>
  <si>
    <t>Car expenses</t>
  </si>
  <si>
    <t>Rental strainer expenses</t>
  </si>
  <si>
    <t>Discount expenses</t>
  </si>
  <si>
    <t>Filing service fee</t>
  </si>
  <si>
    <t>Insurance premium expenses</t>
  </si>
  <si>
    <t>Counter Service fee</t>
  </si>
  <si>
    <t>Bank Service fee-TCRB</t>
  </si>
  <si>
    <t>Litigation costs</t>
  </si>
  <si>
    <t>Training expenses</t>
  </si>
  <si>
    <t>Property tax and sign board tax</t>
  </si>
  <si>
    <t>Impairment FA</t>
  </si>
  <si>
    <t>Donation</t>
  </si>
  <si>
    <t>Advertising expenses</t>
  </si>
  <si>
    <t>Membership fee</t>
  </si>
  <si>
    <t>Loss on disposal&amp;write-off FA</t>
  </si>
  <si>
    <t>Accelerated credit collection expenses</t>
  </si>
  <si>
    <t>Indemnity fee</t>
  </si>
  <si>
    <t>Penalty fee &amp; Surcharge</t>
  </si>
  <si>
    <t>Management&amp;other services fee - GLH</t>
  </si>
  <si>
    <t>Auction service fee - GL</t>
  </si>
  <si>
    <t>Management&amp;other services fee- GL</t>
  </si>
  <si>
    <t>IT service fee - TCRB</t>
  </si>
  <si>
    <t>Repayment to TCRB (related to JMT)</t>
  </si>
  <si>
    <t>Fund, promote and improve the lives of people with disabilities.</t>
  </si>
  <si>
    <t>Tax prohibited</t>
  </si>
  <si>
    <t>เงินชดเชยค่าสึกหรอรถใช้งาน</t>
  </si>
  <si>
    <t>ค่าสวัสดิการ</t>
  </si>
  <si>
    <t>เงินสมทบประกันสังคม,กองทุนเงินทดแทน,กองทุนสำรองเลี้ยงชีพ</t>
  </si>
  <si>
    <t>ผลตอบแทนกรรมการ</t>
  </si>
  <si>
    <t>ค่ารักษาความปลอดภัย</t>
  </si>
  <si>
    <t>ค่ารับรอง</t>
  </si>
  <si>
    <t>ค่าใช้จ่ายเกี่ยวกับรถใช้งาน</t>
  </si>
  <si>
    <t>ค่าเช่าเครื่องกรองน้ำ</t>
  </si>
  <si>
    <t>ส่วนลดจ่าย</t>
  </si>
  <si>
    <t>ค่าบริการเก็บเอกสาร</t>
  </si>
  <si>
    <t>ค่าเบี้ยประกันภัย</t>
  </si>
  <si>
    <t>ค่าธรรมเนียมธนาคารเคาน์เตอร์เซอร์วิส</t>
  </si>
  <si>
    <t>ต่าธรรมเนียม ธนาคารไทยเครดิต ATM</t>
  </si>
  <si>
    <t>ค่าใช้จ่ายดำเนินคดี</t>
  </si>
  <si>
    <t>ค่าใช้จ่ายเพื่อการศึกษา</t>
  </si>
  <si>
    <t>ค่าฝึกอบรม</t>
  </si>
  <si>
    <t>ค่าภาษีโรงเรือนและภาษีป้าย</t>
  </si>
  <si>
    <t>ผลขาดทุนจากการด้อยค่าของสินทรัพย์ถาวร</t>
  </si>
  <si>
    <t>ค่าการกุศล</t>
  </si>
  <si>
    <t>ค่าโฆษณา</t>
  </si>
  <si>
    <t>ค่าบำรุงสมาคม</t>
  </si>
  <si>
    <t>ขาดทุนจากการขายและจำหน่ายทรัพย์สิน</t>
  </si>
  <si>
    <t>ค่าใช้จ่ายในการติดตามเร่งรัดหนี้สิน</t>
  </si>
  <si>
    <t>พักเจ้าหนี้เช็คที่ลูกค้ายีงไม่ได้นำไปขึ้นเช็ค</t>
  </si>
  <si>
    <t>เบี้ยปรับและเงินเพิ่ม</t>
  </si>
  <si>
    <t>ค่าเสื่อมราคาสะสม-เครื่องตกแต่งสำนักงาน</t>
  </si>
  <si>
    <t>ค่าบริการด้านระบบงานคอมพิวเตอร์จาก TCRB</t>
  </si>
  <si>
    <t>กองทุนส่งเสริมและพัฒนาคุณถาพชีวิตคนพิการ</t>
  </si>
  <si>
    <t>ภาษีต้องห้าม</t>
  </si>
  <si>
    <t>ผลประโยชน์พนักงาน</t>
  </si>
  <si>
    <t>ค่าเบี้ยประชุมกรรมการ</t>
  </si>
  <si>
    <t>50% For MFC</t>
  </si>
  <si>
    <t>Jul-Aug'14: % total mfc/total port
Sep'14 onward : 100%</t>
  </si>
  <si>
    <t>Jul-Nov'14: 50% For MFC
Dec'14 onward : cancelled</t>
  </si>
  <si>
    <t>N/A</t>
  </si>
  <si>
    <t>Jul-Oct'14: Actual
Nov'14 onward: Bangpu, Nongkam, Sapanmai : 50% (23,158+16,842.11+ 16,843)/2 =28,421.56
the rest : 100%</t>
  </si>
  <si>
    <t>Jul-Oct'14: Actual
Nov'14 onward: %of rental office</t>
  </si>
  <si>
    <t>Jul-Oct'14: Actual
Nov'14 onward:100% For MFC</t>
  </si>
  <si>
    <t>ค่าจ้างงานสนับสนุนและบริการอื่นจาก GLH</t>
  </si>
  <si>
    <t>ค่าบริการด้านรถยึด GL</t>
  </si>
  <si>
    <t>ค่าจ้างบริหารงานและบริการอื่นจาก GL</t>
  </si>
  <si>
    <t>1000THB per unit</t>
  </si>
  <si>
    <t>March</t>
  </si>
  <si>
    <t>Salary, Bonus and Incentive (additional)</t>
  </si>
  <si>
    <t>Salary, Bonus and Incentive (charge to GL)</t>
  </si>
  <si>
    <t>REALAZED PROFIT จาก REPORT</t>
  </si>
  <si>
    <t>REALAZED PROFIT from REPORT</t>
  </si>
  <si>
    <t>บวก</t>
  </si>
  <si>
    <t>R/F ของเงินค้างชำระงวดนี้</t>
  </si>
  <si>
    <t>Add: R/F of accrued income this period</t>
  </si>
  <si>
    <t>หัก</t>
  </si>
  <si>
    <t>R/F ของเงินค้างชำระงวดก่อน(สุทธิ)</t>
  </si>
  <si>
    <t>Less: R/F of accrued income previous period</t>
  </si>
  <si>
    <t>รายได้จากการให้เช่าซื้องวดนี้</t>
  </si>
  <si>
    <t>Realized income this period</t>
  </si>
  <si>
    <t>9.1.2 รายได้ต่อเนื่องจากการให้เช่าซื้อ</t>
  </si>
  <si>
    <t>ดอกเบี้ยปรับล่าช้า</t>
  </si>
  <si>
    <t>Penalty fee</t>
  </si>
  <si>
    <t>หนี้สูญรับคืน</t>
  </si>
  <si>
    <t>Bad Debt Recovery</t>
  </si>
  <si>
    <t>เงินรับค่าเสียหาย</t>
  </si>
  <si>
    <t>Cash received for loss</t>
  </si>
  <si>
    <t>9.1.3 รายได้จากการให้บริการ</t>
  </si>
  <si>
    <t>Income from service income</t>
  </si>
  <si>
    <t>รายได้ค่าที่ปรึกษา</t>
  </si>
  <si>
    <t>Consultant service income</t>
  </si>
  <si>
    <t>รายได้จากการจัดส่งกรมธรรม์</t>
  </si>
  <si>
    <t>Income from send insurance policy</t>
  </si>
  <si>
    <t>รายได้ค่าบริการทางทะเบียน</t>
  </si>
  <si>
    <t>Income from register fee</t>
  </si>
  <si>
    <t>รวมรายได้จากการขายและให้บริการ</t>
  </si>
  <si>
    <t>Total Income from service income</t>
  </si>
  <si>
    <t>Unit</t>
  </si>
  <si>
    <t>MB</t>
  </si>
  <si>
    <t>Closed/Repaid</t>
  </si>
  <si>
    <t>Apr</t>
  </si>
  <si>
    <t>April</t>
  </si>
  <si>
    <t>May</t>
  </si>
  <si>
    <t>Jun</t>
  </si>
  <si>
    <t>Collateral Loan</t>
  </si>
  <si>
    <t>Interest Income (Collateral Loan)</t>
  </si>
  <si>
    <t>Total Interest income</t>
  </si>
  <si>
    <t>Number of MFC contracts-Collateral Loan</t>
  </si>
  <si>
    <t>Total Interest Income</t>
  </si>
  <si>
    <t>Movement of MFC-Collateral Loan</t>
  </si>
  <si>
    <t>ค่าภาษีธุรกิจเฉพาะ</t>
  </si>
  <si>
    <t>Specific Business Tax</t>
  </si>
  <si>
    <t>รายละเอียดประกอบงบกำไร(ขาดทุน) ปี 2558</t>
  </si>
  <si>
    <t>July'15</t>
  </si>
  <si>
    <t>%</t>
  </si>
  <si>
    <t>R/F ค่าทำสัญญา</t>
  </si>
  <si>
    <t>Contract fee</t>
  </si>
  <si>
    <t>รวม รายได้จากการให้เช่าซื้อสุทธิงวดนี้</t>
  </si>
  <si>
    <t>Net Realized income for this period</t>
  </si>
  <si>
    <t>Aug'15</t>
  </si>
  <si>
    <t>Sale Promotion/Commissions</t>
  </si>
  <si>
    <t>No. of repossessed motorbikes MFC</t>
  </si>
  <si>
    <t>No. of repossessed motorbikes TNB</t>
  </si>
  <si>
    <t>Sep'15</t>
  </si>
  <si>
    <t>ค่าจ้างบริหารงานและบริการอื่นจาก GL (Smart bike)</t>
  </si>
  <si>
    <t>ค่าจ้างบริหารงานและบริการอื่นจาก GL (MFC)</t>
  </si>
  <si>
    <t>old ratios</t>
  </si>
  <si>
    <t xml:space="preserve">Total active contracts TNB </t>
  </si>
  <si>
    <t>Unit : Thousand THB</t>
  </si>
  <si>
    <t>MFC &amp; SB</t>
  </si>
  <si>
    <t>Total portfolio MFC - Collateral Loan</t>
  </si>
  <si>
    <t>active contracts for MFC and SB( HP+Collateral loan)</t>
  </si>
  <si>
    <t>New ratio - includes dynamic ratios</t>
  </si>
  <si>
    <t>dynamic, active contracts</t>
  </si>
  <si>
    <t>dynamic, active contracts (not included yet)</t>
  </si>
  <si>
    <t>dynamic, repossession ratio</t>
  </si>
  <si>
    <t>Total portfolio old HP</t>
  </si>
  <si>
    <t>MFC/SB</t>
  </si>
  <si>
    <t>Total TNB</t>
  </si>
  <si>
    <t>ratio</t>
  </si>
  <si>
    <t>Source/Ratio</t>
  </si>
  <si>
    <t>Sum of Realized Paid in Loan Sale rate</t>
  </si>
  <si>
    <t>Total</t>
  </si>
  <si>
    <t>Accumulated</t>
  </si>
  <si>
    <t>monthly</t>
  </si>
  <si>
    <t>HP</t>
  </si>
  <si>
    <t>see ratio above</t>
  </si>
  <si>
    <t>not applicable</t>
  </si>
  <si>
    <t>not applicable anymore, before 100%</t>
  </si>
  <si>
    <t>Non-Interest income</t>
  </si>
  <si>
    <t>100% MFC</t>
  </si>
  <si>
    <t>Delete all data prior to Q3</t>
  </si>
  <si>
    <t>OPEX checked and modified presentation</t>
  </si>
  <si>
    <t>for all dynamic ratio figures, formulas were used.</t>
  </si>
  <si>
    <t>for all 100% MFC ratios, formulas were used</t>
  </si>
  <si>
    <t>Management and Service Fee GL/GLH not yet included (need to check more)</t>
  </si>
  <si>
    <t>Updates in prior month was not done for dynamic ratios, I have updated</t>
  </si>
  <si>
    <t>Irrelevant information or information not being used should be deleted or at least hidden -done</t>
  </si>
  <si>
    <t>P&amp;L Summary</t>
  </si>
  <si>
    <t>updated format</t>
  </si>
  <si>
    <t>coherence adjustments (everything presented in Thousand USD)</t>
  </si>
  <si>
    <t>to check: number of contracts (refer yellow)</t>
  </si>
  <si>
    <t>what is ratio in line 35 supposed to show? if not needed, please delete</t>
  </si>
  <si>
    <t>where are amounts for credit cost from? please include links to source if possible or include note on how to obtain information from which source</t>
  </si>
  <si>
    <t>Income</t>
  </si>
  <si>
    <t>check bad debt recovery ratio for August -it seems low</t>
  </si>
  <si>
    <t>update income figures MFC + SB for HP contracts</t>
  </si>
  <si>
    <t>update income figures MFC Collateral Loan September</t>
  </si>
  <si>
    <t>check why collateral loan income figures as per Sale Rate do not match BS/PL figures. They should be exactly the same no?</t>
  </si>
  <si>
    <t>if possible, instead of ratios use real figures for income categories (easier). But please include some kind of source (Screenshot from Daily Report or similar) in order to verify</t>
  </si>
  <si>
    <t>presentation format modified to match OPEX format - please use this format from now on forward</t>
  </si>
  <si>
    <t>for interest income, the presentation is still on cumulated basis and calculating the monthly interest by deducting cumulated monthly figures from each other</t>
  </si>
  <si>
    <t>for non-interest income, please use the monthly figures available in BS/PL (no need to do cumulated for this)</t>
  </si>
  <si>
    <t>Movement</t>
  </si>
  <si>
    <t>your calculated figures in movement tab should be used wherever necessary in worksheet. No hard values please.</t>
  </si>
  <si>
    <t>July and August active contracts figures were the same -  I have updated</t>
  </si>
  <si>
    <t>closing balances of units need to be rechecked. I cannot retrace the 6000 units closing balance as at end of Aug for HP for example. Please include explanations on how to find data in sale rate</t>
  </si>
  <si>
    <t>General</t>
  </si>
  <si>
    <t>Notes</t>
  </si>
  <si>
    <t>delete all sheets that are not needed</t>
  </si>
  <si>
    <t>from K'Tashiro - includes everything</t>
  </si>
  <si>
    <t>Write-Off</t>
  </si>
  <si>
    <t>Provision</t>
  </si>
  <si>
    <t>HP (MFC + SB)</t>
  </si>
  <si>
    <t>Repossessions of the month for MFC and SB in Sale rate
remaining amount due - unearned balance due date</t>
  </si>
  <si>
    <t>current month contract status = write off
change of contract date = select current month
remaining amount due - unearned balance due date</t>
  </si>
  <si>
    <t>Source (Sale Rate)</t>
  </si>
  <si>
    <t>HP (MFC + SB) cumulated</t>
  </si>
  <si>
    <t>Collateral Loan cumulated</t>
  </si>
  <si>
    <t>Total cumulated</t>
  </si>
  <si>
    <t>Total P&amp;L Impact of the month</t>
  </si>
  <si>
    <t>Total portfolio MFC/SB HP</t>
  </si>
  <si>
    <t>Total portfolio  MFC/SB</t>
  </si>
  <si>
    <t>Total portfolio TNB</t>
  </si>
  <si>
    <t>Number of MFC/SB contracts - HP</t>
  </si>
  <si>
    <t>Portfolio</t>
  </si>
  <si>
    <t>Total of provision for MFC</t>
  </si>
  <si>
    <t>add: Non-Interest Income</t>
  </si>
  <si>
    <t>less: Interest Expenses</t>
  </si>
  <si>
    <t>less: Credit Cost</t>
  </si>
  <si>
    <t>Operational income</t>
  </si>
  <si>
    <t>sale rate: date of subscription on period, count contract numbers</t>
  </si>
  <si>
    <t>sale rate: filter on closed, date of change of contract status on period, count contract numbers</t>
  </si>
  <si>
    <t>sale rate: date of repo on period, count contract numbers</t>
  </si>
  <si>
    <t>sale rate: filter on w/o, date of change of contract status on period, count contract numbers</t>
  </si>
  <si>
    <t>sale rate: date of subscription on period, sum of principal</t>
  </si>
  <si>
    <t>sale rate: date of repo on period, sum of remaining amount due - unearned (due date)</t>
  </si>
  <si>
    <t>sale rate: filter on write off, sum of remaining amount due - unearned (due date)</t>
  </si>
  <si>
    <t>sum of realized paid MFC/SB of the year in HP Sale rate</t>
  </si>
  <si>
    <t>Oct'15</t>
  </si>
  <si>
    <t>Office expenses</t>
  </si>
  <si>
    <t>until December 2015: fixed 190,000 per month
from January 2016: 2000 baht per new contract</t>
  </si>
  <si>
    <t>until December 2015: fixed 200,000 per month
from January 2016: 600 baht per new contract only for old GL customer</t>
  </si>
  <si>
    <t>Contract units (all contract statusses)</t>
  </si>
  <si>
    <t>Computer expenses: printing supplies</t>
  </si>
  <si>
    <t>line 6 calculation in HP Sale rate (Realized unpaid + Accrued EOM - Reversal) only for no blanks</t>
  </si>
  <si>
    <t>line 6 calculation in Loan Sale rate (Realized unpaid + Accrued EOM - Reversal) only for no blanks</t>
  </si>
  <si>
    <t>MFC</t>
  </si>
  <si>
    <t>SB</t>
  </si>
  <si>
    <t>Interest Income - MFC</t>
  </si>
  <si>
    <t>Interest Income- Smart Bike</t>
  </si>
  <si>
    <t>TNB</t>
  </si>
  <si>
    <t>GL</t>
  </si>
  <si>
    <t>MPD</t>
  </si>
  <si>
    <t>Principal</t>
  </si>
  <si>
    <t>Rates</t>
  </si>
  <si>
    <t>dynamic, active contracts (not included yet) - salaries already disclosed seperately</t>
  </si>
  <si>
    <t>Nov'15</t>
  </si>
  <si>
    <t>Movement of SB (HP)</t>
  </si>
  <si>
    <t xml:space="preserve">Movement of MFC HP </t>
  </si>
  <si>
    <t>Total MFC/SB contracts</t>
  </si>
  <si>
    <t>to be tied with (PL MFC tab)</t>
  </si>
  <si>
    <t>Grouping</t>
  </si>
  <si>
    <t>A</t>
  </si>
  <si>
    <t>O</t>
  </si>
  <si>
    <t>I</t>
  </si>
  <si>
    <t>E</t>
  </si>
  <si>
    <t>N</t>
  </si>
  <si>
    <t>B</t>
  </si>
  <si>
    <t>C</t>
  </si>
  <si>
    <t>D</t>
  </si>
  <si>
    <t>F</t>
  </si>
  <si>
    <t>G</t>
  </si>
  <si>
    <t>H</t>
  </si>
  <si>
    <t>J</t>
  </si>
  <si>
    <t>K</t>
  </si>
  <si>
    <t>L</t>
  </si>
  <si>
    <t>M</t>
  </si>
  <si>
    <t>P</t>
  </si>
  <si>
    <t>Q</t>
  </si>
  <si>
    <t>Marketing: Sale/Promotion commission, entertainment, advertising expenses, property tax and signboard</t>
  </si>
  <si>
    <r>
      <t>  </t>
    </r>
    <r>
      <rPr>
        <sz val="10"/>
        <color rgb="FF222222"/>
        <rFont val="Arial"/>
        <family val="2"/>
      </rPr>
      <t>Register fee</t>
    </r>
  </si>
  <si>
    <t>Rental expenses: Car expenses, Rental office, rental car, rental computer</t>
  </si>
  <si>
    <t>Stamp duty</t>
  </si>
  <si>
    <t>Specific business tax</t>
  </si>
  <si>
    <r>
      <t> </t>
    </r>
    <r>
      <rPr>
        <sz val="10"/>
        <color rgb="FF222222"/>
        <rFont val="Arial"/>
        <family val="2"/>
      </rPr>
      <t>Office expenses: electricity, water, communication, stationary, utilities, office expense, computer expenses: printing supplies, repairs and maintenance,</t>
    </r>
  </si>
  <si>
    <r>
      <t>  </t>
    </r>
    <r>
      <rPr>
        <sz val="10"/>
        <color rgb="FF222222"/>
        <rFont val="Arial"/>
        <family val="2"/>
      </rPr>
      <t>Filing service fee</t>
    </r>
  </si>
  <si>
    <t>Service fees: computer service, bank service TCRB, atm service, bank service, IT service fee, NCB membership fee, NCB searching fee</t>
  </si>
  <si>
    <r>
      <t> </t>
    </r>
    <r>
      <rPr>
        <sz val="10"/>
        <color rgb="FF222222"/>
        <rFont val="Arial"/>
        <family val="2"/>
      </rPr>
      <t>Credit collection: Accelerated credit collection expenses, Auction service fee</t>
    </r>
  </si>
  <si>
    <t>Management Fee GL</t>
  </si>
  <si>
    <t>Management Fee GLH</t>
  </si>
  <si>
    <r>
      <t> </t>
    </r>
    <r>
      <rPr>
        <sz val="10"/>
        <color rgb="FF222222"/>
        <rFont val="Arial"/>
        <family val="2"/>
      </rPr>
      <t>Smart Bike Specific Fee</t>
    </r>
  </si>
  <si>
    <t>MFC specific Fee</t>
  </si>
  <si>
    <t>Depreciation and amortization</t>
  </si>
  <si>
    <t>Group</t>
  </si>
  <si>
    <t xml:space="preserve">check </t>
  </si>
  <si>
    <t>Categories</t>
  </si>
  <si>
    <t>Dec'15</t>
  </si>
  <si>
    <t>ค่าใช้จ่ายสำนักงาน</t>
  </si>
  <si>
    <t>รายได้ค่าทวงถาม</t>
  </si>
  <si>
    <t>Income from call</t>
  </si>
  <si>
    <t>Jan'16</t>
  </si>
  <si>
    <t>Feb'16</t>
  </si>
  <si>
    <t>checking</t>
  </si>
  <si>
    <t>Other expenses: miscellaneous,insurance premium expense</t>
  </si>
  <si>
    <t>ภาษาไทย</t>
  </si>
  <si>
    <t>รวม</t>
  </si>
  <si>
    <t>หัก: คชจ ดอกเบี้ย</t>
  </si>
  <si>
    <t>รายได้ดอกเบี้ยสุทธิ</t>
  </si>
  <si>
    <t>บวก: รายได้อื่น</t>
  </si>
  <si>
    <t>รายได้จากการดำเนินงาน</t>
  </si>
  <si>
    <t>หัก: ค่าใช้จ่ายในการดำเนินงาน</t>
  </si>
  <si>
    <t>กำไรสุทธิ ก่อน tax &amp; provision</t>
  </si>
  <si>
    <t>ลบ : Credit cost</t>
  </si>
  <si>
    <t>ขาดทุนจากรถยึด</t>
  </si>
  <si>
    <t>write off</t>
  </si>
  <si>
    <t>กำไรสุทธิก่อนภาษี</t>
  </si>
  <si>
    <t>หัก ภาษี</t>
  </si>
  <si>
    <t>กำไรสุทธิ</t>
  </si>
  <si>
    <t>Port folio รวมของ MFC&amp; SB</t>
  </si>
  <si>
    <t>Port folio รวมของ Coll Loan</t>
  </si>
  <si>
    <t>ยอดรวมของ Portfolio ของ MFC&amp;SB</t>
  </si>
  <si>
    <t>ยอดรวมของ Portfolio เก่า</t>
  </si>
  <si>
    <t>Portfilo รวมของ TNB</t>
  </si>
  <si>
    <t>อัตราส่วน  MFC portfolio ต่อ Portfolio รวม</t>
  </si>
  <si>
    <t>จำนวนสัญญา</t>
  </si>
  <si>
    <t>จำนวนสัญญาของ MFC/SB</t>
  </si>
  <si>
    <t>จำนวนสัญญาของ Coll Loan</t>
  </si>
  <si>
    <t>จำนวนสัญญา รวม MFC/SB</t>
  </si>
  <si>
    <t>จำนวนสัญญาทั้งหมด</t>
  </si>
  <si>
    <t>อัตราส่วนสัญญา MFC/ สัญญารวม</t>
  </si>
  <si>
    <t>ดอกเบี้ยจ่าย</t>
  </si>
  <si>
    <t>ค่าเฉลี่ยดอกเบี้ยต่อเดือนต่อสัญญา</t>
  </si>
  <si>
    <t>Mar'16</t>
  </si>
  <si>
    <t>จำนวนรถยึด MFC</t>
  </si>
  <si>
    <t>จำนวนรถยึด TNB</t>
  </si>
  <si>
    <t>จำนวนสัญญาที่ Active (MFC +SB)</t>
  </si>
  <si>
    <t>จำนวนสัญญาที่ Activeทั้งหมดใน TNB</t>
  </si>
  <si>
    <t>รายได้ดอกเบี้ย- MFC</t>
  </si>
  <si>
    <t>รายได้ดอกเบี้ย- SB</t>
  </si>
  <si>
    <t>ไทย: Filter Col รถยึดและเลือกวันที่ยึดของเดือนปัจจุบัน</t>
  </si>
  <si>
    <t>Col วันที่เปลี่ยนสถานะสัญญา เลือก เดือนปัจจุบัน</t>
  </si>
  <si>
    <t>Loss on Repossessed MC
รถยึด</t>
  </si>
  <si>
    <t>ไทย :ยอดใน Col Provision</t>
  </si>
  <si>
    <t>รวมยอดใน col ค่างวดคงเหลือ ลบ รวมยอดใน Col unearned ณ due date</t>
  </si>
  <si>
    <t>เอายอดรวมเดือนก่อน ลบ ยอดรวมเดือนนี้ จะได้ตัวเลขเดือน ปจบ.</t>
  </si>
  <si>
    <t>Unit ( จำนวนคัน )</t>
  </si>
  <si>
    <t>MB (ล้านบาท )</t>
  </si>
  <si>
    <t>Baht (บาท )</t>
  </si>
  <si>
    <t>Baht ( บาท  )</t>
  </si>
  <si>
    <t>ไทย: Filter Colสถานะสัญญา ปจบ เลือก write off</t>
  </si>
  <si>
    <t>ค่าใช้จ่ายภาษีซื้อไม่ขอคืน</t>
  </si>
  <si>
    <t>ส่วนลดรับ</t>
  </si>
  <si>
    <t>Distcount Received</t>
  </si>
  <si>
    <t>Discount Received</t>
  </si>
  <si>
    <t>Movement of MFC-Collateral Loan (MC)</t>
  </si>
  <si>
    <t>Movement of MFC-Collateral Loan (Car)</t>
  </si>
  <si>
    <t xml:space="preserve"> </t>
  </si>
  <si>
    <t>Interest Income - CFC</t>
  </si>
  <si>
    <t>Interest Income - Old</t>
  </si>
  <si>
    <t>add: Non-Interest Income -OLD</t>
  </si>
  <si>
    <t>less: OPEX for MFC+CFC+SMB</t>
  </si>
  <si>
    <t>less: OPEX -OLD</t>
  </si>
  <si>
    <t>Less: Expenses (Income) Deferred tax Assets-Net</t>
  </si>
  <si>
    <t>REALAZED PROFIT จาก REPORT-MFC</t>
  </si>
  <si>
    <t>REALAZED PROFIT จาก REPORT-SB</t>
  </si>
  <si>
    <t>REALAZED PROFIT from REPORT-MFC</t>
  </si>
  <si>
    <t>REALAZED PROFIT from REPORT-SB</t>
  </si>
  <si>
    <t>REALAZED PROFIT จาก REPORT-Old</t>
  </si>
  <si>
    <t>REALAZED PROFIT from REPORT-Old</t>
  </si>
  <si>
    <t>R/F ของเงินค้างชำระงวดนี้-SB</t>
  </si>
  <si>
    <t>R/F ของเงินค้างชำระงวดนี้-MFC</t>
  </si>
  <si>
    <t>Add: R/F of accrued income this period-MFC</t>
  </si>
  <si>
    <t>R/F ของเงินค้างชำระงวดนี้-Old</t>
  </si>
  <si>
    <t>Add: R/F of accrued income this period-Old</t>
  </si>
  <si>
    <t>Add: R/F of accrued income this period-SB</t>
  </si>
  <si>
    <t xml:space="preserve"> calculation in HP Sale rate (Realized unpaid + Accrued EOM - Reversal) only for no blanks</t>
  </si>
  <si>
    <t>R/F ของเงินค้างชำระงวดก่อน(สุทธิ)-MFC</t>
  </si>
  <si>
    <t>R/F ของเงินค้างชำระงวดก่อน(สุทธิ)-SB</t>
  </si>
  <si>
    <t>R/F ของเงินค้างชำระงวดก่อน(สุทธิ)-Old</t>
  </si>
  <si>
    <t>Less: R/F of accrued income previous period-MFC</t>
  </si>
  <si>
    <t>Less: R/F of accrued income previous period-SB</t>
  </si>
  <si>
    <t>Less: R/F of accrued income previous period-Old</t>
  </si>
  <si>
    <t>Contract fee- SB</t>
  </si>
  <si>
    <t>REALAZED PROFIT from REPORT-CFC</t>
  </si>
  <si>
    <t>Add: R/F of accrued income this period-CFC</t>
  </si>
  <si>
    <t>Less: R/F of accrued income previous period-CFC</t>
  </si>
  <si>
    <t xml:space="preserve"> -  Loss on Repossessed</t>
  </si>
  <si>
    <t xml:space="preserve">Accrued Income Adjustment </t>
  </si>
  <si>
    <t>Apr'16</t>
  </si>
  <si>
    <t>Interest Income - OLD</t>
  </si>
  <si>
    <t>ค่าใช้จ่ายเกี่ยวกับการสื่อสาร</t>
  </si>
  <si>
    <t>Apr'16 (Stat)</t>
  </si>
  <si>
    <t>-</t>
  </si>
  <si>
    <t>L34</t>
  </si>
  <si>
    <t>L26</t>
  </si>
  <si>
    <t>L35</t>
  </si>
  <si>
    <t>Total Dec'15</t>
  </si>
  <si>
    <t>Total Jan'16</t>
  </si>
  <si>
    <t>Total Feb'16</t>
  </si>
  <si>
    <t>Total Mar'16</t>
  </si>
  <si>
    <t>Total Apr'16</t>
  </si>
  <si>
    <t>Unit : Thousands THB</t>
  </si>
  <si>
    <t>Interest Expenses</t>
  </si>
  <si>
    <t>Non-Interest Income</t>
  </si>
  <si>
    <t>OPEX</t>
  </si>
  <si>
    <t>Credit Cost</t>
  </si>
  <si>
    <t xml:space="preserve"> -  Loss on Repossesed MC</t>
  </si>
  <si>
    <t>Tax</t>
  </si>
  <si>
    <t>Total portfolio MFC - Millions THB</t>
  </si>
  <si>
    <t>Total portfolio TNB - Millions THB</t>
  </si>
  <si>
    <t>Number of MFC contracts</t>
  </si>
  <si>
    <t>Break Even calculation - October</t>
  </si>
  <si>
    <t>Average monthly interest</t>
  </si>
  <si>
    <t>Number of contracts to reach break even in October</t>
  </si>
  <si>
    <t>Apr'15</t>
  </si>
  <si>
    <t>A1</t>
  </si>
  <si>
    <t>A2</t>
  </si>
  <si>
    <t>Over Time</t>
  </si>
  <si>
    <t>Director's remuneration</t>
  </si>
  <si>
    <t xml:space="preserve">Payroll </t>
  </si>
  <si>
    <t>May'16</t>
  </si>
  <si>
    <t>ค่าตอบแทนสิทธิการเช่า</t>
  </si>
  <si>
    <t>Leasehold Remuneration</t>
  </si>
  <si>
    <t>Total May'16</t>
  </si>
  <si>
    <t>May'16( Stat)</t>
  </si>
  <si>
    <t>L27</t>
  </si>
  <si>
    <t>June'16  (Stat)</t>
  </si>
  <si>
    <t>June'16</t>
  </si>
  <si>
    <t>Total June'16</t>
  </si>
  <si>
    <t>OLD (รถจักรยนต์ใหม่)</t>
  </si>
  <si>
    <t>Interest Income from GL</t>
  </si>
  <si>
    <t>July'16</t>
  </si>
  <si>
    <t xml:space="preserve">ค่าธรรมเนียมธนาคาร </t>
  </si>
  <si>
    <t>ค่าใช้จ่ายภาษีซื้อไม่ขอคืน-GL</t>
  </si>
  <si>
    <t xml:space="preserve">Movement of HP- MFC </t>
  </si>
  <si>
    <t xml:space="preserve">Movement of  HP -SB </t>
  </si>
  <si>
    <t>July'16 (Stat)</t>
  </si>
  <si>
    <t>Less: Income Tax Expense</t>
  </si>
  <si>
    <t>add: Non-Interest Income for  MFC+CFC+SMB</t>
  </si>
  <si>
    <t>Total July'16</t>
  </si>
  <si>
    <t>L36</t>
  </si>
  <si>
    <t>L28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</si>
</sst>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B1mmm\-yy"/>
    <numFmt numFmtId="168" formatCode="0.0%"/>
    <numFmt numFmtId="169" formatCode="_-* #,##0_-;\-* #,##0_-;_-* &quot;-&quot;??_-;_-@_-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charset val="222"/>
    </font>
    <font>
      <sz val="14"/>
      <name val="AngsanaUPC"/>
      <family val="1"/>
      <charset val="222"/>
    </font>
    <font>
      <sz val="12"/>
      <name val="AngsanaUPC"/>
      <family val="1"/>
      <charset val="22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Tahoma"/>
      <family val="2"/>
      <charset val="222"/>
    </font>
    <font>
      <sz val="14"/>
      <name val="Cordia New"/>
      <family val="2"/>
    </font>
    <font>
      <b/>
      <u/>
      <sz val="10"/>
      <name val="BrowalliaUPC"/>
      <family val="2"/>
      <charset val="222"/>
    </font>
    <font>
      <sz val="10"/>
      <name val="BrowalliaUPC"/>
      <family val="2"/>
      <charset val="222"/>
    </font>
    <font>
      <u/>
      <sz val="10"/>
      <name val="BrowalliaUPC"/>
      <family val="2"/>
      <charset val="222"/>
    </font>
    <font>
      <b/>
      <sz val="10"/>
      <name val="BrowalliaUPC"/>
      <family val="2"/>
      <charset val="222"/>
    </font>
    <font>
      <b/>
      <sz val="10"/>
      <name val="BrowalliaUP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  <charset val="222"/>
    </font>
    <font>
      <b/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rgb="FFFFFFFF"/>
      <name val="Arial"/>
      <family val="2"/>
    </font>
    <font>
      <sz val="11"/>
      <color theme="0"/>
      <name val="Calibri"/>
      <family val="2"/>
      <scheme val="minor"/>
    </font>
    <font>
      <b/>
      <sz val="11"/>
      <color rgb="FF7030A0"/>
      <name val="Arial"/>
      <family val="2"/>
    </font>
    <font>
      <sz val="11"/>
      <color theme="1" tint="0.34998626667073579"/>
      <name val="Arial"/>
      <family val="2"/>
    </font>
    <font>
      <sz val="10"/>
      <color theme="1"/>
      <name val="BrowalliaUPC"/>
      <family val="2"/>
      <charset val="222"/>
    </font>
    <font>
      <sz val="10"/>
      <color rgb="FF7030A0"/>
      <name val="BrowalliaUPC"/>
      <family val="2"/>
      <charset val="22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BrowalliaUPC"/>
      <family val="2"/>
      <charset val="222"/>
    </font>
    <font>
      <u/>
      <sz val="10"/>
      <color rgb="FF7030A0"/>
      <name val="BrowalliaUPC"/>
      <family val="2"/>
      <charset val="222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BrowalliaUPC"/>
      <family val="1"/>
      <charset val="222"/>
    </font>
    <font>
      <sz val="10"/>
      <name val="AngsanaUPC"/>
      <family val="1"/>
      <charset val="222"/>
    </font>
    <font>
      <sz val="10"/>
      <color theme="1"/>
      <name val="BrowalliaUPC"/>
      <family val="1"/>
      <charset val="222"/>
    </font>
    <font>
      <b/>
      <sz val="10"/>
      <name val="BrowalliaUPC"/>
      <family val="1"/>
      <charset val="222"/>
    </font>
    <font>
      <b/>
      <sz val="10"/>
      <color theme="1"/>
      <name val="BrowalliaUPC"/>
      <family val="1"/>
      <charset val="222"/>
    </font>
    <font>
      <sz val="10"/>
      <color theme="4"/>
      <name val="Calibri"/>
      <family val="2"/>
      <scheme val="minor"/>
    </font>
    <font>
      <i/>
      <sz val="10"/>
      <name val="AngsanaUPC"/>
      <family val="1"/>
    </font>
    <font>
      <i/>
      <sz val="10"/>
      <name val="AngsanaUPC"/>
      <family val="1"/>
      <charset val="222"/>
    </font>
    <font>
      <i/>
      <sz val="10"/>
      <color theme="4"/>
      <name val="Calibri"/>
      <family val="2"/>
      <scheme val="minor"/>
    </font>
    <font>
      <i/>
      <sz val="10"/>
      <color theme="1"/>
      <name val="BrowalliaUPC"/>
      <family val="1"/>
      <charset val="222"/>
    </font>
    <font>
      <i/>
      <sz val="10"/>
      <name val="BrowalliaUPC"/>
      <family val="1"/>
      <charset val="222"/>
    </font>
    <font>
      <b/>
      <sz val="10"/>
      <name val="AngsanaUPC"/>
      <family val="1"/>
      <charset val="222"/>
    </font>
    <font>
      <b/>
      <sz val="10"/>
      <name val="Calibri"/>
      <family val="2"/>
      <scheme val="minor"/>
    </font>
    <font>
      <b/>
      <sz val="10"/>
      <name val="BrowalliaUPC"/>
      <family val="2"/>
    </font>
    <font>
      <b/>
      <sz val="10"/>
      <color theme="1"/>
      <name val="BrowalliaUPC"/>
      <family val="2"/>
    </font>
    <font>
      <b/>
      <u/>
      <sz val="10"/>
      <name val="BrowalliaUPC"/>
      <family val="2"/>
    </font>
    <font>
      <b/>
      <u/>
      <sz val="10"/>
      <color theme="1"/>
      <name val="BrowalliaUPC"/>
      <family val="2"/>
    </font>
    <font>
      <b/>
      <sz val="10"/>
      <color rgb="FFFF0000"/>
      <name val="Arial"/>
      <family val="2"/>
    </font>
    <font>
      <b/>
      <sz val="10"/>
      <color rgb="FFFF0000"/>
      <name val="BrowalliaUPC"/>
      <family val="2"/>
    </font>
    <font>
      <b/>
      <u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name val="BrowalliaUPC"/>
      <family val="2"/>
    </font>
    <font>
      <sz val="11"/>
      <name val="Calibri"/>
      <family val="2"/>
      <scheme val="minor"/>
    </font>
    <font>
      <b/>
      <sz val="10"/>
      <name val="AngsanaUPC"/>
      <family val="1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BrowalliaUPC"/>
      <family val="2"/>
      <charset val="222"/>
    </font>
    <font>
      <sz val="10"/>
      <color theme="0" tint="-0.14999847407452621"/>
      <name val="BrowalliaUPC"/>
      <family val="2"/>
      <charset val="222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i/>
      <sz val="11"/>
      <color theme="0" tint="-0.499984740745262"/>
      <name val="Arial"/>
      <family val="2"/>
    </font>
    <font>
      <sz val="10"/>
      <color theme="0" tint="-0.499984740745262"/>
      <name val="Calibri"/>
      <family val="2"/>
      <scheme val="minor"/>
    </font>
    <font>
      <b/>
      <u/>
      <sz val="11"/>
      <color theme="0" tint="-0.499984740745262"/>
      <name val="Arial"/>
      <family val="2"/>
    </font>
    <font>
      <sz val="12"/>
      <color theme="0" tint="-0.499984740745262"/>
      <name val="AngsanaUPC"/>
      <family val="1"/>
      <charset val="222"/>
    </font>
    <font>
      <b/>
      <sz val="14"/>
      <name val="BrowalliaUPC"/>
      <family val="2"/>
    </font>
    <font>
      <sz val="11"/>
      <color theme="9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i/>
      <sz val="1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7"/>
      <color rgb="FF222222"/>
      <name val="Arial"/>
      <family val="2"/>
    </font>
    <font>
      <b/>
      <sz val="10"/>
      <color rgb="FF7030A0"/>
      <name val="BrowalliaUPC"/>
      <family val="2"/>
      <charset val="222"/>
    </font>
    <font>
      <sz val="10"/>
      <color rgb="FF7030A0"/>
      <name val="AngsanaUPC"/>
      <family val="1"/>
      <charset val="222"/>
    </font>
    <font>
      <sz val="10"/>
      <color rgb="FF7030A0"/>
      <name val="BrowalliaUPC"/>
      <family val="1"/>
      <charset val="222"/>
    </font>
    <font>
      <sz val="11"/>
      <color theme="0" tint="-4.9989318521683403E-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579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4C4C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165" fontId="17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8" fillId="0" borderId="0"/>
    <xf numFmtId="0" fontId="19" fillId="0" borderId="0"/>
    <xf numFmtId="9" fontId="1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</cellStyleXfs>
  <cellXfs count="522">
    <xf numFmtId="0" fontId="0" fillId="0" borderId="0" xfId="0"/>
    <xf numFmtId="0" fontId="0" fillId="0" borderId="0" xfId="0" applyFill="1"/>
    <xf numFmtId="0" fontId="0" fillId="3" borderId="0" xfId="0" applyFill="1"/>
    <xf numFmtId="0" fontId="0" fillId="2" borderId="0" xfId="0" applyFill="1"/>
    <xf numFmtId="165" fontId="6" fillId="2" borderId="0" xfId="1" applyFont="1" applyFill="1" applyBorder="1" applyProtection="1">
      <protection locked="0"/>
    </xf>
    <xf numFmtId="165" fontId="18" fillId="2" borderId="0" xfId="1" applyFont="1" applyFill="1" applyBorder="1" applyProtection="1">
      <protection locked="0"/>
    </xf>
    <xf numFmtId="0" fontId="21" fillId="0" borderId="0" xfId="16" applyFont="1" applyFill="1" applyBorder="1" applyAlignment="1">
      <alignment horizontal="left" vertical="center" wrapText="1" readingOrder="1"/>
    </xf>
    <xf numFmtId="0" fontId="22" fillId="0" borderId="0" xfId="16" applyFont="1" applyFill="1" applyBorder="1" applyAlignment="1">
      <alignment horizontal="left" vertical="center" wrapText="1" readingOrder="1"/>
    </xf>
    <xf numFmtId="38" fontId="24" fillId="0" borderId="0" xfId="7" applyNumberFormat="1" applyFont="1" applyFill="1" applyBorder="1"/>
    <xf numFmtId="38" fontId="25" fillId="0" borderId="0" xfId="7" applyNumberFormat="1" applyFont="1" applyFill="1"/>
    <xf numFmtId="38" fontId="24" fillId="2" borderId="0" xfId="7" applyNumberFormat="1" applyFont="1" applyFill="1" applyBorder="1"/>
    <xf numFmtId="9" fontId="24" fillId="2" borderId="0" xfId="17" applyFont="1" applyFill="1" applyBorder="1"/>
    <xf numFmtId="9" fontId="24" fillId="0" borderId="3" xfId="17" applyNumberFormat="1" applyFont="1" applyFill="1" applyBorder="1"/>
    <xf numFmtId="9" fontId="25" fillId="0" borderId="3" xfId="17" applyNumberFormat="1" applyFont="1" applyFill="1" applyBorder="1"/>
    <xf numFmtId="0" fontId="26" fillId="4" borderId="0" xfId="16" applyFont="1" applyFill="1" applyBorder="1" applyAlignment="1">
      <alignment vertical="center" wrapText="1" readingOrder="1"/>
    </xf>
    <xf numFmtId="0" fontId="26" fillId="4" borderId="3" xfId="16" applyFont="1" applyFill="1" applyBorder="1" applyAlignment="1">
      <alignment vertical="center" wrapText="1" readingOrder="1"/>
    </xf>
    <xf numFmtId="0" fontId="26" fillId="4" borderId="0" xfId="16" applyFont="1" applyFill="1" applyBorder="1" applyAlignment="1">
      <alignment horizontal="left" vertical="center" wrapText="1" readingOrder="1"/>
    </xf>
    <xf numFmtId="167" fontId="26" fillId="4" borderId="0" xfId="16" applyNumberFormat="1" applyFont="1" applyFill="1" applyBorder="1" applyAlignment="1">
      <alignment horizontal="center" vertical="center" wrapText="1" readingOrder="1"/>
    </xf>
    <xf numFmtId="167" fontId="26" fillId="4" borderId="3" xfId="16" applyNumberFormat="1" applyFont="1" applyFill="1" applyBorder="1" applyAlignment="1">
      <alignment horizontal="center" vertical="center" wrapText="1" readingOrder="1"/>
    </xf>
    <xf numFmtId="9" fontId="24" fillId="5" borderId="3" xfId="17" applyNumberFormat="1" applyFont="1" applyFill="1" applyBorder="1"/>
    <xf numFmtId="38" fontId="25" fillId="5" borderId="0" xfId="7" applyNumberFormat="1" applyFont="1" applyFill="1"/>
    <xf numFmtId="9" fontId="24" fillId="5" borderId="6" xfId="17" applyNumberFormat="1" applyFont="1" applyFill="1" applyBorder="1"/>
    <xf numFmtId="0" fontId="26" fillId="4" borderId="0" xfId="16" applyFont="1" applyFill="1" applyBorder="1" applyAlignment="1">
      <alignment vertical="center" readingOrder="1"/>
    </xf>
    <xf numFmtId="166" fontId="17" fillId="0" borderId="0" xfId="1" applyNumberFormat="1" applyFont="1"/>
    <xf numFmtId="166" fontId="17" fillId="0" borderId="15" xfId="1" applyNumberFormat="1" applyFont="1" applyBorder="1"/>
    <xf numFmtId="166" fontId="17" fillId="0" borderId="0" xfId="1" applyNumberFormat="1" applyFont="1" applyFill="1"/>
    <xf numFmtId="9" fontId="24" fillId="0" borderId="0" xfId="17" applyFont="1" applyFill="1" applyBorder="1"/>
    <xf numFmtId="165" fontId="6" fillId="0" borderId="0" xfId="1" applyFont="1" applyFill="1" applyBorder="1" applyProtection="1">
      <protection locked="0"/>
    </xf>
    <xf numFmtId="38" fontId="24" fillId="0" borderId="0" xfId="7" applyNumberFormat="1" applyFont="1" applyFill="1"/>
    <xf numFmtId="0" fontId="28" fillId="4" borderId="0" xfId="16" applyFont="1" applyFill="1" applyBorder="1" applyAlignment="1">
      <alignment vertical="center" readingOrder="1"/>
    </xf>
    <xf numFmtId="166" fontId="29" fillId="0" borderId="0" xfId="1" applyNumberFormat="1" applyFont="1"/>
    <xf numFmtId="0" fontId="29" fillId="0" borderId="0" xfId="0" applyFont="1"/>
    <xf numFmtId="166" fontId="0" fillId="0" borderId="0" xfId="0" applyNumberFormat="1"/>
    <xf numFmtId="166" fontId="17" fillId="0" borderId="0" xfId="1" applyNumberFormat="1" applyFont="1" applyBorder="1"/>
    <xf numFmtId="166" fontId="17" fillId="0" borderId="0" xfId="1" applyNumberFormat="1" applyFont="1"/>
    <xf numFmtId="0" fontId="28" fillId="7" borderId="0" xfId="16" applyFont="1" applyFill="1" applyBorder="1" applyAlignment="1">
      <alignment vertical="center" readingOrder="1"/>
    </xf>
    <xf numFmtId="0" fontId="26" fillId="7" borderId="0" xfId="16" applyFont="1" applyFill="1" applyBorder="1" applyAlignment="1">
      <alignment vertical="center" readingOrder="1"/>
    </xf>
    <xf numFmtId="0" fontId="26" fillId="7" borderId="0" xfId="16" applyFont="1" applyFill="1" applyBorder="1" applyAlignment="1">
      <alignment horizontal="left" vertical="center" wrapText="1" readingOrder="1"/>
    </xf>
    <xf numFmtId="167" fontId="26" fillId="7" borderId="0" xfId="16" applyNumberFormat="1" applyFont="1" applyFill="1" applyBorder="1" applyAlignment="1">
      <alignment horizontal="center" vertical="center" wrapText="1" readingOrder="1"/>
    </xf>
    <xf numFmtId="0" fontId="26" fillId="8" borderId="0" xfId="16" applyFont="1" applyFill="1" applyBorder="1" applyAlignment="1">
      <alignment vertical="center" readingOrder="1"/>
    </xf>
    <xf numFmtId="0" fontId="26" fillId="8" borderId="0" xfId="16" applyFont="1" applyFill="1" applyBorder="1" applyAlignment="1">
      <alignment horizontal="left" vertical="center" wrapText="1" readingOrder="1"/>
    </xf>
    <xf numFmtId="167" fontId="26" fillId="8" borderId="0" xfId="16" applyNumberFormat="1" applyFont="1" applyFill="1" applyBorder="1" applyAlignment="1">
      <alignment horizontal="center" vertical="center" wrapText="1" readingOrder="1"/>
    </xf>
    <xf numFmtId="38" fontId="31" fillId="0" borderId="0" xfId="7" applyNumberFormat="1" applyFont="1" applyFill="1" applyBorder="1"/>
    <xf numFmtId="0" fontId="26" fillId="0" borderId="0" xfId="16" applyFont="1" applyFill="1" applyBorder="1" applyAlignment="1">
      <alignment vertical="center" readingOrder="1"/>
    </xf>
    <xf numFmtId="166" fontId="17" fillId="0" borderId="0" xfId="1" applyNumberFormat="1" applyFont="1"/>
    <xf numFmtId="167" fontId="26" fillId="8" borderId="0" xfId="16" applyNumberFormat="1" applyFont="1" applyFill="1" applyBorder="1" applyAlignment="1">
      <alignment vertical="center" readingOrder="1"/>
    </xf>
    <xf numFmtId="0" fontId="0" fillId="0" borderId="0" xfId="0" applyFont="1"/>
    <xf numFmtId="0" fontId="32" fillId="2" borderId="0" xfId="0" applyFont="1" applyFill="1"/>
    <xf numFmtId="0" fontId="12" fillId="2" borderId="0" xfId="9" applyFont="1" applyFill="1" applyAlignment="1" applyProtection="1">
      <protection locked="0"/>
    </xf>
    <xf numFmtId="0" fontId="13" fillId="2" borderId="0" xfId="9" applyFont="1" applyFill="1" applyProtection="1">
      <protection locked="0"/>
    </xf>
    <xf numFmtId="0" fontId="34" fillId="0" borderId="0" xfId="16" applyFont="1" applyBorder="1" applyAlignment="1">
      <alignment horizontal="left" vertical="center" wrapText="1" readingOrder="1"/>
    </xf>
    <xf numFmtId="0" fontId="32" fillId="2" borderId="0" xfId="0" applyFont="1" applyFill="1" applyProtection="1">
      <protection locked="0"/>
    </xf>
    <xf numFmtId="0" fontId="32" fillId="0" borderId="0" xfId="0" applyFont="1" applyFill="1"/>
    <xf numFmtId="0" fontId="32" fillId="2" borderId="0" xfId="0" applyFont="1" applyFill="1" applyBorder="1"/>
    <xf numFmtId="0" fontId="36" fillId="2" borderId="0" xfId="0" applyFont="1" applyFill="1" applyProtection="1">
      <protection locked="0"/>
    </xf>
    <xf numFmtId="0" fontId="15" fillId="2" borderId="0" xfId="9" applyFont="1" applyFill="1" applyAlignment="1" applyProtection="1">
      <alignment horizontal="centerContinuous"/>
      <protection locked="0"/>
    </xf>
    <xf numFmtId="0" fontId="15" fillId="2" borderId="0" xfId="9" applyFont="1" applyFill="1" applyProtection="1">
      <protection locked="0"/>
    </xf>
    <xf numFmtId="0" fontId="12" fillId="2" borderId="0" xfId="9" applyFont="1" applyFill="1" applyBorder="1" applyAlignment="1" applyProtection="1">
      <alignment horizontal="left"/>
      <protection locked="0"/>
    </xf>
    <xf numFmtId="0" fontId="13" fillId="2" borderId="0" xfId="9" applyFont="1" applyFill="1" applyBorder="1" applyProtection="1">
      <protection locked="0"/>
    </xf>
    <xf numFmtId="0" fontId="12" fillId="2" borderId="0" xfId="9" applyFont="1" applyFill="1" applyProtection="1">
      <protection locked="0"/>
    </xf>
    <xf numFmtId="0" fontId="13" fillId="2" borderId="0" xfId="9" quotePrefix="1" applyFont="1" applyFill="1" applyAlignment="1" applyProtection="1">
      <alignment horizontal="left"/>
      <protection locked="0"/>
    </xf>
    <xf numFmtId="0" fontId="14" fillId="2" borderId="0" xfId="9" applyFont="1" applyFill="1" applyProtection="1">
      <protection locked="0"/>
    </xf>
    <xf numFmtId="0" fontId="37" fillId="2" borderId="0" xfId="9" applyFont="1" applyFill="1" applyBorder="1" applyProtection="1">
      <protection locked="0"/>
    </xf>
    <xf numFmtId="0" fontId="33" fillId="2" borderId="0" xfId="9" applyFont="1" applyFill="1" applyBorder="1" applyProtection="1">
      <protection locked="0"/>
    </xf>
    <xf numFmtId="0" fontId="32" fillId="0" borderId="0" xfId="0" applyFont="1" applyFill="1" applyProtection="1">
      <protection locked="0"/>
    </xf>
    <xf numFmtId="0" fontId="13" fillId="0" borderId="0" xfId="9" applyFont="1" applyFill="1" applyProtection="1">
      <protection locked="0"/>
    </xf>
    <xf numFmtId="0" fontId="32" fillId="10" borderId="0" xfId="0" applyFont="1" applyFill="1" applyProtection="1">
      <protection locked="0"/>
    </xf>
    <xf numFmtId="0" fontId="13" fillId="10" borderId="0" xfId="9" applyFont="1" applyFill="1" applyProtection="1">
      <protection locked="0"/>
    </xf>
    <xf numFmtId="0" fontId="16" fillId="10" borderId="0" xfId="9" applyFont="1" applyFill="1" applyProtection="1">
      <protection locked="0"/>
    </xf>
    <xf numFmtId="0" fontId="13" fillId="10" borderId="0" xfId="9" quotePrefix="1" applyFont="1" applyFill="1" applyAlignment="1" applyProtection="1">
      <alignment horizontal="left"/>
      <protection locked="0"/>
    </xf>
    <xf numFmtId="0" fontId="12" fillId="2" borderId="0" xfId="9" applyFont="1" applyFill="1" applyAlignment="1" applyProtection="1">
      <alignment horizontal="left"/>
      <protection locked="0"/>
    </xf>
    <xf numFmtId="0" fontId="15" fillId="2" borderId="0" xfId="9" applyFont="1" applyFill="1" applyAlignment="1" applyProtection="1">
      <alignment horizontal="left"/>
      <protection locked="0"/>
    </xf>
    <xf numFmtId="0" fontId="35" fillId="0" borderId="0" xfId="0" applyFont="1" applyFill="1"/>
    <xf numFmtId="0" fontId="38" fillId="0" borderId="0" xfId="0" applyFont="1" applyFill="1"/>
    <xf numFmtId="9" fontId="15" fillId="0" borderId="0" xfId="17" applyFont="1" applyFill="1" applyBorder="1" applyAlignment="1" applyProtection="1">
      <alignment horizontal="center"/>
      <protection locked="0"/>
    </xf>
    <xf numFmtId="166" fontId="35" fillId="0" borderId="8" xfId="1" applyNumberFormat="1" applyFont="1" applyFill="1" applyBorder="1"/>
    <xf numFmtId="166" fontId="35" fillId="0" borderId="17" xfId="1" applyNumberFormat="1" applyFont="1" applyFill="1" applyBorder="1"/>
    <xf numFmtId="9" fontId="15" fillId="0" borderId="18" xfId="17" applyFont="1" applyFill="1" applyBorder="1" applyAlignment="1" applyProtection="1">
      <alignment horizontal="center"/>
      <protection locked="0"/>
    </xf>
    <xf numFmtId="0" fontId="39" fillId="0" borderId="0" xfId="0" applyFont="1" applyFill="1"/>
    <xf numFmtId="0" fontId="40" fillId="0" borderId="0" xfId="0" applyFont="1" applyFill="1"/>
    <xf numFmtId="165" fontId="15" fillId="0" borderId="0" xfId="1" applyFont="1" applyFill="1" applyBorder="1" applyAlignment="1" applyProtection="1">
      <alignment horizontal="center"/>
      <protection locked="0"/>
    </xf>
    <xf numFmtId="0" fontId="20" fillId="0" borderId="0" xfId="0" applyFont="1" applyFill="1"/>
    <xf numFmtId="166" fontId="35" fillId="0" borderId="0" xfId="1" applyNumberFormat="1" applyFont="1" applyFill="1"/>
    <xf numFmtId="165" fontId="35" fillId="0" borderId="0" xfId="1" applyFont="1" applyFill="1"/>
    <xf numFmtId="0" fontId="44" fillId="4" borderId="2" xfId="9" applyFont="1" applyFill="1" applyBorder="1" applyAlignment="1" applyProtection="1">
      <alignment vertical="center" wrapText="1"/>
      <protection locked="0"/>
    </xf>
    <xf numFmtId="0" fontId="44" fillId="4" borderId="2" xfId="9" applyFont="1" applyFill="1" applyBorder="1" applyAlignment="1" applyProtection="1">
      <alignment horizontal="center" vertical="center" wrapText="1"/>
      <protection locked="0"/>
    </xf>
    <xf numFmtId="165" fontId="45" fillId="4" borderId="2" xfId="2" applyFont="1" applyFill="1" applyBorder="1" applyAlignment="1" applyProtection="1">
      <alignment horizontal="center" wrapText="1"/>
      <protection locked="0"/>
    </xf>
    <xf numFmtId="0" fontId="42" fillId="0" borderId="0" xfId="9" applyFont="1" applyFill="1" applyAlignment="1" applyProtection="1">
      <alignment vertical="center"/>
      <protection locked="0"/>
    </xf>
    <xf numFmtId="165" fontId="41" fillId="3" borderId="0" xfId="2" applyFont="1" applyFill="1" applyBorder="1" applyAlignment="1" applyProtection="1">
      <alignment vertical="center"/>
      <protection locked="0"/>
    </xf>
    <xf numFmtId="165" fontId="41" fillId="0" borderId="0" xfId="2" applyFont="1" applyFill="1" applyBorder="1" applyAlignment="1" applyProtection="1">
      <alignment vertical="center"/>
      <protection locked="0"/>
    </xf>
    <xf numFmtId="165" fontId="41" fillId="0" borderId="0" xfId="2" applyFont="1" applyFill="1" applyAlignment="1" applyProtection="1">
      <alignment vertical="center"/>
      <protection locked="0"/>
    </xf>
    <xf numFmtId="165" fontId="43" fillId="0" borderId="0" xfId="2" applyFont="1" applyFill="1" applyBorder="1" applyAlignment="1" applyProtection="1">
      <alignment vertical="center"/>
      <protection locked="0"/>
    </xf>
    <xf numFmtId="0" fontId="46" fillId="0" borderId="0" xfId="0" applyFont="1" applyFill="1" applyAlignment="1">
      <alignment horizontal="left"/>
    </xf>
    <xf numFmtId="0" fontId="46" fillId="0" borderId="0" xfId="0" applyFont="1" applyFill="1" applyAlignment="1">
      <alignment horizontal="left" wrapText="1"/>
    </xf>
    <xf numFmtId="0" fontId="40" fillId="0" borderId="0" xfId="0" applyFont="1" applyFill="1" applyAlignment="1">
      <alignment horizontal="left"/>
    </xf>
    <xf numFmtId="165" fontId="43" fillId="3" borderId="0" xfId="2" applyFont="1" applyFill="1" applyBorder="1" applyAlignment="1" applyProtection="1">
      <alignment vertical="center"/>
      <protection locked="0"/>
    </xf>
    <xf numFmtId="39" fontId="42" fillId="0" borderId="0" xfId="9" applyNumberFormat="1" applyFont="1" applyFill="1" applyAlignment="1" applyProtection="1">
      <alignment vertical="center"/>
      <protection locked="0"/>
    </xf>
    <xf numFmtId="0" fontId="42" fillId="0" borderId="0" xfId="9" quotePrefix="1" applyFont="1" applyFill="1" applyAlignment="1" applyProtection="1">
      <alignment vertical="center"/>
      <protection locked="0"/>
    </xf>
    <xf numFmtId="9" fontId="46" fillId="0" borderId="0" xfId="0" applyNumberFormat="1" applyFont="1" applyFill="1" applyAlignment="1">
      <alignment horizontal="left"/>
    </xf>
    <xf numFmtId="9" fontId="46" fillId="12" borderId="0" xfId="0" applyNumberFormat="1" applyFont="1" applyFill="1" applyAlignment="1">
      <alignment horizontal="left"/>
    </xf>
    <xf numFmtId="0" fontId="47" fillId="0" borderId="0" xfId="9" applyFont="1" applyFill="1" applyAlignment="1" applyProtection="1">
      <alignment vertical="center"/>
      <protection locked="0"/>
    </xf>
    <xf numFmtId="0" fontId="48" fillId="0" borderId="0" xfId="9" applyFont="1" applyFill="1" applyAlignment="1" applyProtection="1">
      <alignment vertical="center"/>
      <protection locked="0"/>
    </xf>
    <xf numFmtId="9" fontId="49" fillId="0" borderId="0" xfId="0" applyNumberFormat="1" applyFont="1" applyFill="1" applyAlignment="1">
      <alignment horizontal="left"/>
    </xf>
    <xf numFmtId="165" fontId="50" fillId="0" borderId="0" xfId="2" applyFont="1" applyFill="1" applyBorder="1" applyAlignment="1" applyProtection="1">
      <alignment vertical="center"/>
      <protection locked="0"/>
    </xf>
    <xf numFmtId="39" fontId="42" fillId="0" borderId="0" xfId="0" applyNumberFormat="1" applyFont="1" applyFill="1" applyBorder="1" applyAlignment="1" applyProtection="1">
      <alignment vertical="center"/>
    </xf>
    <xf numFmtId="165" fontId="43" fillId="0" borderId="1" xfId="2" applyFont="1" applyFill="1" applyBorder="1" applyAlignment="1" applyProtection="1">
      <alignment vertical="center"/>
      <protection locked="0"/>
    </xf>
    <xf numFmtId="0" fontId="52" fillId="0" borderId="0" xfId="9" applyFont="1" applyFill="1" applyAlignment="1" applyProtection="1">
      <alignment vertical="center"/>
      <protection locked="0"/>
    </xf>
    <xf numFmtId="43" fontId="44" fillId="0" borderId="7" xfId="6" applyNumberFormat="1" applyFont="1" applyFill="1" applyBorder="1" applyAlignment="1" applyProtection="1">
      <alignment vertical="center"/>
      <protection locked="0"/>
    </xf>
    <xf numFmtId="168" fontId="35" fillId="0" borderId="0" xfId="17" applyNumberFormat="1" applyFont="1" applyFill="1"/>
    <xf numFmtId="0" fontId="38" fillId="0" borderId="0" xfId="0" applyFont="1" applyFill="1" applyAlignment="1">
      <alignment horizontal="left"/>
    </xf>
    <xf numFmtId="0" fontId="38" fillId="0" borderId="0" xfId="0" applyFont="1" applyFill="1" applyAlignment="1">
      <alignment horizontal="left" wrapText="1"/>
    </xf>
    <xf numFmtId="9" fontId="38" fillId="0" borderId="0" xfId="0" applyNumberFormat="1" applyFont="1" applyFill="1" applyAlignment="1">
      <alignment horizontal="left"/>
    </xf>
    <xf numFmtId="9" fontId="38" fillId="0" borderId="0" xfId="0" applyNumberFormat="1" applyFont="1" applyFill="1" applyAlignment="1">
      <alignment horizontal="center"/>
    </xf>
    <xf numFmtId="9" fontId="53" fillId="12" borderId="0" xfId="0" applyNumberFormat="1" applyFont="1" applyFill="1" applyAlignment="1">
      <alignment horizontal="left"/>
    </xf>
    <xf numFmtId="43" fontId="16" fillId="13" borderId="2" xfId="6" applyNumberFormat="1" applyFont="1" applyFill="1" applyBorder="1" applyAlignment="1" applyProtection="1">
      <alignment horizontal="center" wrapText="1"/>
      <protection locked="0"/>
    </xf>
    <xf numFmtId="165" fontId="45" fillId="13" borderId="0" xfId="2" applyFont="1" applyFill="1" applyBorder="1" applyAlignment="1" applyProtection="1">
      <alignment horizontal="center" wrapText="1"/>
      <protection locked="0"/>
    </xf>
    <xf numFmtId="165" fontId="41" fillId="13" borderId="0" xfId="2" applyFont="1" applyFill="1" applyBorder="1" applyAlignment="1" applyProtection="1">
      <alignment vertical="center"/>
      <protection locked="0"/>
    </xf>
    <xf numFmtId="165" fontId="41" fillId="13" borderId="0" xfId="2" applyFont="1" applyFill="1" applyAlignment="1" applyProtection="1">
      <alignment vertical="center"/>
      <protection locked="0"/>
    </xf>
    <xf numFmtId="165" fontId="43" fillId="13" borderId="0" xfId="2" applyFont="1" applyFill="1" applyBorder="1" applyAlignment="1" applyProtection="1">
      <alignment vertical="center"/>
      <protection locked="0"/>
    </xf>
    <xf numFmtId="165" fontId="50" fillId="13" borderId="0" xfId="2" applyFont="1" applyFill="1" applyBorder="1" applyAlignment="1" applyProtection="1">
      <alignment vertical="center"/>
      <protection locked="0"/>
    </xf>
    <xf numFmtId="165" fontId="51" fillId="13" borderId="0" xfId="2" applyFont="1" applyFill="1" applyAlignment="1" applyProtection="1">
      <alignment vertical="center"/>
      <protection locked="0"/>
    </xf>
    <xf numFmtId="165" fontId="43" fillId="13" borderId="1" xfId="2" applyFont="1" applyFill="1" applyBorder="1" applyAlignment="1" applyProtection="1">
      <alignment vertical="center"/>
      <protection locked="0"/>
    </xf>
    <xf numFmtId="43" fontId="44" fillId="13" borderId="7" xfId="6" applyNumberFormat="1" applyFont="1" applyFill="1" applyBorder="1" applyAlignment="1" applyProtection="1">
      <alignment vertical="center"/>
      <protection locked="0"/>
    </xf>
    <xf numFmtId="165" fontId="44" fillId="13" borderId="7" xfId="9" applyNumberFormat="1" applyFont="1" applyFill="1" applyBorder="1" applyAlignment="1" applyProtection="1">
      <alignment vertical="center"/>
      <protection locked="0"/>
    </xf>
    <xf numFmtId="0" fontId="54" fillId="2" borderId="0" xfId="9" applyFont="1" applyFill="1" applyProtection="1">
      <protection locked="0"/>
    </xf>
    <xf numFmtId="0" fontId="57" fillId="13" borderId="0" xfId="0" applyFont="1" applyFill="1"/>
    <xf numFmtId="17" fontId="57" fillId="13" borderId="0" xfId="0" applyNumberFormat="1" applyFont="1" applyFill="1"/>
    <xf numFmtId="0" fontId="13" fillId="13" borderId="0" xfId="9" applyFont="1" applyFill="1" applyProtection="1">
      <protection locked="0"/>
    </xf>
    <xf numFmtId="0" fontId="32" fillId="13" borderId="0" xfId="0" applyFont="1" applyFill="1"/>
    <xf numFmtId="0" fontId="56" fillId="11" borderId="0" xfId="9" applyFont="1" applyFill="1" applyProtection="1">
      <protection locked="0"/>
    </xf>
    <xf numFmtId="17" fontId="57" fillId="11" borderId="0" xfId="0" applyNumberFormat="1" applyFont="1" applyFill="1"/>
    <xf numFmtId="0" fontId="14" fillId="11" borderId="0" xfId="9" applyFont="1" applyFill="1" applyAlignment="1" applyProtection="1">
      <alignment horizontal="center"/>
      <protection locked="0"/>
    </xf>
    <xf numFmtId="0" fontId="13" fillId="11" borderId="0" xfId="9" applyFont="1" applyFill="1" applyProtection="1">
      <protection locked="0"/>
    </xf>
    <xf numFmtId="0" fontId="13" fillId="11" borderId="0" xfId="9" applyFont="1" applyFill="1" applyAlignment="1" applyProtection="1">
      <alignment horizontal="center"/>
      <protection locked="0"/>
    </xf>
    <xf numFmtId="0" fontId="32" fillId="11" borderId="0" xfId="0" applyFont="1" applyFill="1"/>
    <xf numFmtId="0" fontId="12" fillId="11" borderId="0" xfId="9" applyFont="1" applyFill="1" applyAlignment="1" applyProtection="1">
      <protection locked="0"/>
    </xf>
    <xf numFmtId="10" fontId="13" fillId="11" borderId="0" xfId="18" applyNumberFormat="1" applyFont="1" applyFill="1" applyProtection="1">
      <protection locked="0"/>
    </xf>
    <xf numFmtId="0" fontId="32" fillId="2" borderId="9" xfId="0" applyFont="1" applyFill="1" applyBorder="1"/>
    <xf numFmtId="0" fontId="32" fillId="2" borderId="24" xfId="0" applyFont="1" applyFill="1" applyBorder="1"/>
    <xf numFmtId="0" fontId="32" fillId="2" borderId="11" xfId="0" applyFont="1" applyFill="1" applyBorder="1"/>
    <xf numFmtId="0" fontId="32" fillId="2" borderId="13" xfId="0" applyFont="1" applyFill="1" applyBorder="1"/>
    <xf numFmtId="0" fontId="32" fillId="2" borderId="25" xfId="0" applyFont="1" applyFill="1" applyBorder="1"/>
    <xf numFmtId="4" fontId="13" fillId="13" borderId="0" xfId="9" applyNumberFormat="1" applyFont="1" applyFill="1" applyProtection="1">
      <protection locked="0"/>
    </xf>
    <xf numFmtId="10" fontId="32" fillId="2" borderId="24" xfId="0" applyNumberFormat="1" applyFont="1" applyFill="1" applyBorder="1"/>
    <xf numFmtId="10" fontId="32" fillId="2" borderId="0" xfId="0" applyNumberFormat="1" applyFont="1" applyFill="1" applyBorder="1"/>
    <xf numFmtId="10" fontId="32" fillId="2" borderId="25" xfId="0" applyNumberFormat="1" applyFont="1" applyFill="1" applyBorder="1"/>
    <xf numFmtId="4" fontId="13" fillId="11" borderId="0" xfId="9" applyNumberFormat="1" applyFont="1" applyFill="1" applyProtection="1">
      <protection locked="0"/>
    </xf>
    <xf numFmtId="17" fontId="56" fillId="11" borderId="0" xfId="9" applyNumberFormat="1" applyFont="1" applyFill="1" applyProtection="1">
      <protection locked="0"/>
    </xf>
    <xf numFmtId="4" fontId="13" fillId="11" borderId="0" xfId="9" applyNumberFormat="1" applyFont="1" applyFill="1" applyAlignment="1" applyProtection="1">
      <alignment horizontal="center"/>
      <protection locked="0"/>
    </xf>
    <xf numFmtId="0" fontId="13" fillId="2" borderId="9" xfId="9" applyFont="1" applyFill="1" applyBorder="1" applyProtection="1">
      <protection locked="0"/>
    </xf>
    <xf numFmtId="0" fontId="13" fillId="2" borderId="11" xfId="9" applyFont="1" applyFill="1" applyBorder="1" applyProtection="1">
      <protection locked="0"/>
    </xf>
    <xf numFmtId="0" fontId="13" fillId="2" borderId="13" xfId="9" applyFont="1" applyFill="1" applyBorder="1" applyProtection="1">
      <protection locked="0"/>
    </xf>
    <xf numFmtId="0" fontId="56" fillId="9" borderId="22" xfId="9" applyFont="1" applyFill="1" applyBorder="1" applyProtection="1">
      <protection locked="0"/>
    </xf>
    <xf numFmtId="0" fontId="13" fillId="9" borderId="23" xfId="9" applyFont="1" applyFill="1" applyBorder="1" applyProtection="1">
      <protection locked="0"/>
    </xf>
    <xf numFmtId="0" fontId="34" fillId="9" borderId="23" xfId="16" applyFont="1" applyFill="1" applyBorder="1" applyAlignment="1">
      <alignment horizontal="left" vertical="center" wrapText="1" readingOrder="1"/>
    </xf>
    <xf numFmtId="0" fontId="32" fillId="9" borderId="23" xfId="0" applyFont="1" applyFill="1" applyBorder="1"/>
    <xf numFmtId="0" fontId="12" fillId="9" borderId="23" xfId="9" applyFont="1" applyFill="1" applyBorder="1" applyAlignment="1" applyProtection="1">
      <protection locked="0"/>
    </xf>
    <xf numFmtId="9" fontId="13" fillId="9" borderId="23" xfId="9" applyNumberFormat="1" applyFont="1" applyFill="1" applyBorder="1" applyProtection="1">
      <protection locked="0"/>
    </xf>
    <xf numFmtId="10" fontId="13" fillId="9" borderId="23" xfId="9" applyNumberFormat="1" applyFont="1" applyFill="1" applyBorder="1" applyProtection="1">
      <protection locked="0"/>
    </xf>
    <xf numFmtId="0" fontId="13" fillId="9" borderId="23" xfId="9" quotePrefix="1" applyFont="1" applyFill="1" applyBorder="1" applyAlignment="1" applyProtection="1">
      <alignment horizontal="left" wrapText="1"/>
      <protection locked="0"/>
    </xf>
    <xf numFmtId="0" fontId="13" fillId="9" borderId="23" xfId="9" applyFont="1" applyFill="1" applyBorder="1" applyAlignment="1" applyProtection="1">
      <alignment wrapText="1"/>
      <protection locked="0"/>
    </xf>
    <xf numFmtId="0" fontId="13" fillId="10" borderId="0" xfId="9" applyFont="1" applyFill="1" applyAlignment="1" applyProtection="1">
      <alignment wrapText="1"/>
      <protection locked="0"/>
    </xf>
    <xf numFmtId="4" fontId="13" fillId="3" borderId="0" xfId="9" applyNumberFormat="1" applyFont="1" applyFill="1" applyProtection="1">
      <protection locked="0"/>
    </xf>
    <xf numFmtId="2" fontId="14" fillId="11" borderId="0" xfId="9" applyNumberFormat="1" applyFont="1" applyFill="1" applyAlignment="1" applyProtection="1">
      <alignment horizontal="center"/>
      <protection locked="0"/>
    </xf>
    <xf numFmtId="2" fontId="13" fillId="11" borderId="0" xfId="9" applyNumberFormat="1" applyFont="1" applyFill="1" applyProtection="1">
      <protection locked="0"/>
    </xf>
    <xf numFmtId="2" fontId="13" fillId="11" borderId="0" xfId="9" applyNumberFormat="1" applyFont="1" applyFill="1" applyAlignment="1" applyProtection="1">
      <alignment horizontal="center"/>
      <protection locked="0"/>
    </xf>
    <xf numFmtId="0" fontId="36" fillId="0" borderId="1" xfId="0" applyFont="1" applyFill="1" applyBorder="1" applyProtection="1">
      <protection locked="0"/>
    </xf>
    <xf numFmtId="0" fontId="15" fillId="0" borderId="1" xfId="9" applyFont="1" applyFill="1" applyBorder="1" applyProtection="1">
      <protection locked="0"/>
    </xf>
    <xf numFmtId="0" fontId="58" fillId="0" borderId="1" xfId="16" applyFont="1" applyBorder="1" applyAlignment="1">
      <alignment horizontal="left" vertical="center" wrapText="1" readingOrder="1"/>
    </xf>
    <xf numFmtId="0" fontId="58" fillId="9" borderId="26" xfId="16" applyFont="1" applyFill="1" applyBorder="1" applyAlignment="1">
      <alignment horizontal="left" vertical="center" wrapText="1" readingOrder="1"/>
    </xf>
    <xf numFmtId="2" fontId="15" fillId="11" borderId="1" xfId="9" applyNumberFormat="1" applyFont="1" applyFill="1" applyBorder="1" applyAlignment="1" applyProtection="1">
      <alignment horizontal="center"/>
      <protection locked="0"/>
    </xf>
    <xf numFmtId="0" fontId="15" fillId="13" borderId="1" xfId="9" applyFont="1" applyFill="1" applyBorder="1" applyProtection="1">
      <protection locked="0"/>
    </xf>
    <xf numFmtId="0" fontId="55" fillId="0" borderId="1" xfId="0" applyFont="1" applyFill="1" applyBorder="1" applyProtection="1">
      <protection locked="0"/>
    </xf>
    <xf numFmtId="0" fontId="54" fillId="0" borderId="1" xfId="9" applyFont="1" applyFill="1" applyBorder="1" applyProtection="1">
      <protection locked="0"/>
    </xf>
    <xf numFmtId="0" fontId="59" fillId="0" borderId="1" xfId="9" applyFont="1" applyFill="1" applyBorder="1" applyProtection="1">
      <protection locked="0"/>
    </xf>
    <xf numFmtId="0" fontId="59" fillId="9" borderId="26" xfId="9" applyFont="1" applyFill="1" applyBorder="1" applyProtection="1">
      <protection locked="0"/>
    </xf>
    <xf numFmtId="0" fontId="54" fillId="11" borderId="1" xfId="9" applyFont="1" applyFill="1" applyBorder="1" applyAlignment="1" applyProtection="1">
      <alignment horizontal="center"/>
      <protection locked="0"/>
    </xf>
    <xf numFmtId="0" fontId="54" fillId="13" borderId="1" xfId="9" applyFont="1" applyFill="1" applyBorder="1" applyProtection="1">
      <protection locked="0"/>
    </xf>
    <xf numFmtId="0" fontId="54" fillId="9" borderId="26" xfId="9" applyFont="1" applyFill="1" applyBorder="1" applyProtection="1">
      <protection locked="0"/>
    </xf>
    <xf numFmtId="4" fontId="54" fillId="11" borderId="1" xfId="9" applyNumberFormat="1" applyFont="1" applyFill="1" applyBorder="1" applyProtection="1">
      <protection locked="0"/>
    </xf>
    <xf numFmtId="4" fontId="15" fillId="13" borderId="1" xfId="9" applyNumberFormat="1" applyFont="1" applyFill="1" applyBorder="1" applyProtection="1">
      <protection locked="0"/>
    </xf>
    <xf numFmtId="4" fontId="54" fillId="13" borderId="1" xfId="9" applyNumberFormat="1" applyFont="1" applyFill="1" applyBorder="1" applyProtection="1">
      <protection locked="0"/>
    </xf>
    <xf numFmtId="4" fontId="54" fillId="11" borderId="0" xfId="9" applyNumberFormat="1" applyFont="1" applyFill="1" applyProtection="1">
      <protection locked="0"/>
    </xf>
    <xf numFmtId="4" fontId="54" fillId="13" borderId="0" xfId="9" applyNumberFormat="1" applyFont="1" applyFill="1" applyProtection="1">
      <protection locked="0"/>
    </xf>
    <xf numFmtId="4" fontId="54" fillId="3" borderId="0" xfId="9" applyNumberFormat="1" applyFont="1" applyFill="1" applyProtection="1">
      <protection locked="0"/>
    </xf>
    <xf numFmtId="0" fontId="54" fillId="13" borderId="0" xfId="9" applyFont="1" applyFill="1" applyProtection="1">
      <protection locked="0"/>
    </xf>
    <xf numFmtId="4" fontId="54" fillId="11" borderId="0" xfId="9" applyNumberFormat="1" applyFont="1" applyFill="1" applyAlignment="1" applyProtection="1">
      <alignment horizontal="right"/>
      <protection locked="0"/>
    </xf>
    <xf numFmtId="164" fontId="24" fillId="5" borderId="0" xfId="7" applyNumberFormat="1" applyFont="1" applyFill="1" applyBorder="1"/>
    <xf numFmtId="164" fontId="24" fillId="0" borderId="0" xfId="7" applyNumberFormat="1" applyFont="1" applyFill="1" applyBorder="1"/>
    <xf numFmtId="164" fontId="25" fillId="0" borderId="0" xfId="7" applyNumberFormat="1" applyFont="1" applyFill="1"/>
    <xf numFmtId="0" fontId="32" fillId="2" borderId="1" xfId="0" applyFont="1" applyFill="1" applyBorder="1"/>
    <xf numFmtId="0" fontId="55" fillId="2" borderId="1" xfId="0" applyFont="1" applyFill="1" applyBorder="1"/>
    <xf numFmtId="0" fontId="32" fillId="9" borderId="26" xfId="0" applyFont="1" applyFill="1" applyBorder="1"/>
    <xf numFmtId="0" fontId="32" fillId="11" borderId="1" xfId="0" applyFont="1" applyFill="1" applyBorder="1"/>
    <xf numFmtId="0" fontId="32" fillId="13" borderId="1" xfId="0" applyFont="1" applyFill="1" applyBorder="1"/>
    <xf numFmtId="4" fontId="55" fillId="11" borderId="1" xfId="0" applyNumberFormat="1" applyFont="1" applyFill="1" applyBorder="1"/>
    <xf numFmtId="4" fontId="55" fillId="13" borderId="1" xfId="0" applyNumberFormat="1" applyFont="1" applyFill="1" applyBorder="1"/>
    <xf numFmtId="9" fontId="53" fillId="14" borderId="0" xfId="0" applyNumberFormat="1" applyFont="1" applyFill="1" applyAlignment="1">
      <alignment horizontal="center"/>
    </xf>
    <xf numFmtId="9" fontId="53" fillId="14" borderId="0" xfId="0" applyNumberFormat="1" applyFont="1" applyFill="1" applyAlignment="1">
      <alignment horizontal="left"/>
    </xf>
    <xf numFmtId="0" fontId="27" fillId="0" borderId="0" xfId="0" applyFont="1"/>
    <xf numFmtId="0" fontId="13" fillId="2" borderId="0" xfId="9" applyFont="1" applyFill="1" applyAlignment="1" applyProtection="1">
      <alignment wrapText="1"/>
      <protection locked="0"/>
    </xf>
    <xf numFmtId="4" fontId="15" fillId="11" borderId="1" xfId="9" applyNumberFormat="1" applyFont="1" applyFill="1" applyBorder="1" applyProtection="1">
      <protection locked="0"/>
    </xf>
    <xf numFmtId="165" fontId="13" fillId="11" borderId="0" xfId="1" applyFont="1" applyFill="1" applyProtection="1">
      <protection locked="0"/>
    </xf>
    <xf numFmtId="43" fontId="13" fillId="11" borderId="0" xfId="5" applyFont="1" applyFill="1" applyProtection="1">
      <protection locked="0"/>
    </xf>
    <xf numFmtId="0" fontId="42" fillId="0" borderId="0" xfId="9" applyFont="1" applyFill="1" applyAlignment="1" applyProtection="1">
      <alignment vertical="center" wrapText="1"/>
      <protection locked="0"/>
    </xf>
    <xf numFmtId="164" fontId="24" fillId="0" borderId="0" xfId="7" applyNumberFormat="1" applyFont="1" applyFill="1"/>
    <xf numFmtId="9" fontId="24" fillId="0" borderId="0" xfId="17" applyFont="1" applyFill="1"/>
    <xf numFmtId="9" fontId="24" fillId="0" borderId="3" xfId="17" applyFont="1" applyFill="1" applyBorder="1"/>
    <xf numFmtId="0" fontId="22" fillId="0" borderId="19" xfId="16" applyFont="1" applyFill="1" applyBorder="1" applyAlignment="1">
      <alignment horizontal="left" vertical="center" wrapText="1" readingOrder="1"/>
    </xf>
    <xf numFmtId="38" fontId="25" fillId="0" borderId="4" xfId="7" applyNumberFormat="1" applyFont="1" applyFill="1" applyBorder="1"/>
    <xf numFmtId="164" fontId="25" fillId="0" borderId="4" xfId="7" applyNumberFormat="1" applyFont="1" applyFill="1" applyBorder="1"/>
    <xf numFmtId="0" fontId="23" fillId="0" borderId="0" xfId="16" applyFont="1" applyFill="1" applyBorder="1" applyAlignment="1">
      <alignment horizontal="left" vertical="center" wrapText="1" readingOrder="1"/>
    </xf>
    <xf numFmtId="38" fontId="30" fillId="0" borderId="0" xfId="7" applyNumberFormat="1" applyFont="1" applyFill="1"/>
    <xf numFmtId="9" fontId="25" fillId="0" borderId="5" xfId="17" applyNumberFormat="1" applyFont="1" applyFill="1" applyBorder="1"/>
    <xf numFmtId="0" fontId="22" fillId="0" borderId="20" xfId="16" applyFont="1" applyFill="1" applyBorder="1" applyAlignment="1">
      <alignment horizontal="left" vertical="center" wrapText="1" readingOrder="1"/>
    </xf>
    <xf numFmtId="38" fontId="25" fillId="0" borderId="1" xfId="7" applyNumberFormat="1" applyFont="1" applyFill="1" applyBorder="1"/>
    <xf numFmtId="38" fontId="25" fillId="0" borderId="2" xfId="7" applyNumberFormat="1" applyFont="1" applyFill="1" applyBorder="1"/>
    <xf numFmtId="164" fontId="25" fillId="0" borderId="2" xfId="7" applyNumberFormat="1" applyFont="1" applyFill="1" applyBorder="1"/>
    <xf numFmtId="0" fontId="6" fillId="0" borderId="0" xfId="9" applyFont="1" applyFill="1" applyProtection="1">
      <protection locked="0"/>
    </xf>
    <xf numFmtId="0" fontId="0" fillId="0" borderId="0" xfId="0" applyFill="1" applyProtection="1">
      <protection locked="0"/>
    </xf>
    <xf numFmtId="165" fontId="18" fillId="0" borderId="0" xfId="1" applyFont="1" applyFill="1" applyBorder="1" applyProtection="1">
      <protection locked="0"/>
    </xf>
    <xf numFmtId="0" fontId="60" fillId="0" borderId="0" xfId="0" applyFont="1"/>
    <xf numFmtId="17" fontId="60" fillId="0" borderId="0" xfId="0" applyNumberFormat="1" applyFont="1"/>
    <xf numFmtId="0" fontId="27" fillId="15" borderId="0" xfId="0" applyFont="1" applyFill="1"/>
    <xf numFmtId="0" fontId="0" fillId="15" borderId="0" xfId="0" applyFill="1" applyAlignment="1">
      <alignment wrapText="1"/>
    </xf>
    <xf numFmtId="0" fontId="0" fillId="15" borderId="0" xfId="0" applyFill="1"/>
    <xf numFmtId="164" fontId="0" fillId="15" borderId="0" xfId="0" applyNumberFormat="1" applyFill="1"/>
    <xf numFmtId="0" fontId="27" fillId="16" borderId="0" xfId="0" applyFont="1" applyFill="1"/>
    <xf numFmtId="0" fontId="0" fillId="16" borderId="0" xfId="0" applyFill="1" applyAlignment="1">
      <alignment wrapText="1"/>
    </xf>
    <xf numFmtId="0" fontId="0" fillId="16" borderId="0" xfId="0" applyFill="1"/>
    <xf numFmtId="164" fontId="0" fillId="16" borderId="0" xfId="0" applyNumberFormat="1" applyFill="1"/>
    <xf numFmtId="164" fontId="27" fillId="15" borderId="0" xfId="0" applyNumberFormat="1" applyFont="1" applyFill="1"/>
    <xf numFmtId="164" fontId="27" fillId="16" borderId="0" xfId="0" applyNumberFormat="1" applyFont="1" applyFill="1"/>
    <xf numFmtId="166" fontId="24" fillId="0" borderId="0" xfId="7" applyNumberFormat="1" applyFont="1" applyFill="1"/>
    <xf numFmtId="0" fontId="61" fillId="17" borderId="0" xfId="16" applyFont="1" applyFill="1" applyBorder="1" applyAlignment="1">
      <alignment horizontal="left" vertical="center" wrapText="1" readingOrder="1"/>
    </xf>
    <xf numFmtId="38" fontId="61" fillId="17" borderId="0" xfId="7" applyNumberFormat="1" applyFont="1" applyFill="1" applyBorder="1"/>
    <xf numFmtId="0" fontId="62" fillId="0" borderId="0" xfId="16" applyFont="1" applyFill="1" applyBorder="1" applyAlignment="1">
      <alignment horizontal="left" vertical="center" wrapText="1" readingOrder="1"/>
    </xf>
    <xf numFmtId="38" fontId="62" fillId="6" borderId="0" xfId="7" applyNumberFormat="1" applyFont="1" applyFill="1" applyBorder="1"/>
    <xf numFmtId="38" fontId="62" fillId="6" borderId="0" xfId="7" applyNumberFormat="1" applyFont="1" applyFill="1" applyBorder="1" applyAlignment="1">
      <alignment vertical="center"/>
    </xf>
    <xf numFmtId="38" fontId="62" fillId="0" borderId="0" xfId="7" applyNumberFormat="1" applyFont="1" applyFill="1" applyBorder="1" applyAlignment="1">
      <alignment vertical="center"/>
    </xf>
    <xf numFmtId="9" fontId="62" fillId="0" borderId="0" xfId="17" applyFont="1" applyFill="1" applyBorder="1"/>
    <xf numFmtId="38" fontId="62" fillId="0" borderId="0" xfId="7" applyNumberFormat="1" applyFont="1" applyFill="1" applyBorder="1"/>
    <xf numFmtId="0" fontId="63" fillId="0" borderId="0" xfId="16" applyFont="1" applyFill="1" applyBorder="1" applyAlignment="1">
      <alignment horizontal="left" vertical="center" wrapText="1" readingOrder="1"/>
    </xf>
    <xf numFmtId="165" fontId="41" fillId="3" borderId="0" xfId="2" applyFont="1" applyFill="1" applyAlignment="1" applyProtection="1">
      <alignment vertical="center"/>
      <protection locked="0"/>
    </xf>
    <xf numFmtId="166" fontId="29" fillId="0" borderId="0" xfId="0" applyNumberFormat="1" applyFont="1"/>
    <xf numFmtId="166" fontId="17" fillId="3" borderId="0" xfId="1" applyNumberFormat="1" applyFont="1" applyFill="1"/>
    <xf numFmtId="4" fontId="64" fillId="13" borderId="0" xfId="9" applyNumberFormat="1" applyFont="1" applyFill="1" applyProtection="1">
      <protection locked="0"/>
    </xf>
    <xf numFmtId="2" fontId="64" fillId="11" borderId="0" xfId="9" applyNumberFormat="1" applyFont="1" applyFill="1" applyProtection="1">
      <protection locked="0"/>
    </xf>
    <xf numFmtId="4" fontId="64" fillId="11" borderId="0" xfId="9" applyNumberFormat="1" applyFont="1" applyFill="1" applyProtection="1">
      <protection locked="0"/>
    </xf>
    <xf numFmtId="9" fontId="38" fillId="0" borderId="0" xfId="0" applyNumberFormat="1" applyFont="1" applyFill="1" applyAlignment="1">
      <alignment horizontal="left" wrapText="1"/>
    </xf>
    <xf numFmtId="10" fontId="32" fillId="0" borderId="0" xfId="0" applyNumberFormat="1" applyFont="1" applyFill="1" applyBorder="1"/>
    <xf numFmtId="10" fontId="32" fillId="2" borderId="24" xfId="17" applyNumberFormat="1" applyFont="1" applyFill="1" applyBorder="1"/>
    <xf numFmtId="10" fontId="32" fillId="2" borderId="0" xfId="17" applyNumberFormat="1" applyFont="1" applyFill="1" applyBorder="1"/>
    <xf numFmtId="10" fontId="32" fillId="2" borderId="25" xfId="17" applyNumberFormat="1" applyFont="1" applyFill="1" applyBorder="1"/>
    <xf numFmtId="39" fontId="42" fillId="3" borderId="0" xfId="9" applyNumberFormat="1" applyFont="1" applyFill="1" applyAlignment="1" applyProtection="1">
      <alignment vertical="center"/>
      <protection locked="0"/>
    </xf>
    <xf numFmtId="0" fontId="42" fillId="3" borderId="0" xfId="9" applyFont="1" applyFill="1" applyAlignment="1" applyProtection="1">
      <alignment vertical="center"/>
      <protection locked="0"/>
    </xf>
    <xf numFmtId="0" fontId="46" fillId="3" borderId="0" xfId="0" applyFont="1" applyFill="1" applyAlignment="1">
      <alignment horizontal="left"/>
    </xf>
    <xf numFmtId="0" fontId="38" fillId="3" borderId="0" xfId="0" applyFont="1" applyFill="1" applyAlignment="1">
      <alignment horizontal="left"/>
    </xf>
    <xf numFmtId="0" fontId="16" fillId="2" borderId="0" xfId="9" applyFont="1" applyFill="1" applyProtection="1">
      <protection locked="0"/>
    </xf>
    <xf numFmtId="164" fontId="0" fillId="0" borderId="0" xfId="0" applyNumberFormat="1"/>
    <xf numFmtId="9" fontId="0" fillId="0" borderId="0" xfId="0" applyNumberFormat="1"/>
    <xf numFmtId="0" fontId="0" fillId="0" borderId="27" xfId="0" applyBorder="1"/>
    <xf numFmtId="9" fontId="0" fillId="0" borderId="27" xfId="0" applyNumberFormat="1" applyBorder="1"/>
    <xf numFmtId="164" fontId="0" fillId="0" borderId="27" xfId="0" applyNumberFormat="1" applyBorder="1"/>
    <xf numFmtId="165" fontId="0" fillId="0" borderId="27" xfId="0" applyNumberFormat="1" applyBorder="1"/>
    <xf numFmtId="0" fontId="0" fillId="0" borderId="27" xfId="0" applyFill="1" applyBorder="1"/>
    <xf numFmtId="0" fontId="27" fillId="0" borderId="28" xfId="0" applyFont="1" applyBorder="1"/>
    <xf numFmtId="0" fontId="27" fillId="0" borderId="2" xfId="0" applyFont="1" applyBorder="1"/>
    <xf numFmtId="0" fontId="60" fillId="0" borderId="27" xfId="0" applyFont="1" applyBorder="1"/>
    <xf numFmtId="0" fontId="27" fillId="0" borderId="1" xfId="0" applyFont="1" applyBorder="1"/>
    <xf numFmtId="164" fontId="27" fillId="0" borderId="1" xfId="0" applyNumberFormat="1" applyFont="1" applyBorder="1"/>
    <xf numFmtId="0" fontId="27" fillId="0" borderId="29" xfId="0" applyFont="1" applyBorder="1"/>
    <xf numFmtId="164" fontId="27" fillId="0" borderId="29" xfId="0" applyNumberFormat="1" applyFont="1" applyBorder="1"/>
    <xf numFmtId="10" fontId="32" fillId="0" borderId="0" xfId="17" applyNumberFormat="1" applyFont="1" applyFill="1" applyBorder="1"/>
    <xf numFmtId="10" fontId="32" fillId="0" borderId="24" xfId="17" applyNumberFormat="1" applyFont="1" applyFill="1" applyBorder="1"/>
    <xf numFmtId="10" fontId="32" fillId="0" borderId="25" xfId="17" applyNumberFormat="1" applyFont="1" applyFill="1" applyBorder="1"/>
    <xf numFmtId="10" fontId="32" fillId="2" borderId="10" xfId="17" applyNumberFormat="1" applyFont="1" applyFill="1" applyBorder="1"/>
    <xf numFmtId="10" fontId="32" fillId="2" borderId="12" xfId="17" applyNumberFormat="1" applyFont="1" applyFill="1" applyBorder="1"/>
    <xf numFmtId="10" fontId="32" fillId="2" borderId="14" xfId="17" applyNumberFormat="1" applyFont="1" applyFill="1" applyBorder="1"/>
    <xf numFmtId="0" fontId="28" fillId="18" borderId="0" xfId="16" applyFont="1" applyFill="1" applyBorder="1" applyAlignment="1">
      <alignment vertical="center" readingOrder="1"/>
    </xf>
    <xf numFmtId="0" fontId="29" fillId="18" borderId="0" xfId="0" applyFont="1" applyFill="1"/>
    <xf numFmtId="0" fontId="26" fillId="18" borderId="0" xfId="16" applyFont="1" applyFill="1" applyBorder="1" applyAlignment="1">
      <alignment horizontal="left" vertical="center" wrapText="1" readingOrder="1"/>
    </xf>
    <xf numFmtId="0" fontId="26" fillId="18" borderId="0" xfId="16" applyFont="1" applyFill="1" applyBorder="1" applyAlignment="1">
      <alignment vertical="center" readingOrder="1"/>
    </xf>
    <xf numFmtId="0" fontId="65" fillId="0" borderId="0" xfId="0" applyFont="1"/>
    <xf numFmtId="166" fontId="65" fillId="0" borderId="0" xfId="0" applyNumberFormat="1" applyFont="1"/>
    <xf numFmtId="1" fontId="65" fillId="0" borderId="0" xfId="0" applyNumberFormat="1" applyFont="1"/>
    <xf numFmtId="166" fontId="0" fillId="0" borderId="0" xfId="0" applyNumberFormat="1" applyFill="1"/>
    <xf numFmtId="0" fontId="29" fillId="0" borderId="0" xfId="0" applyFont="1" applyFill="1"/>
    <xf numFmtId="166" fontId="17" fillId="0" borderId="0" xfId="20" applyNumberFormat="1" applyFont="1"/>
    <xf numFmtId="166" fontId="65" fillId="0" borderId="0" xfId="0" applyNumberFormat="1" applyFont="1"/>
    <xf numFmtId="1" fontId="65" fillId="0" borderId="0" xfId="0" applyNumberFormat="1" applyFont="1"/>
    <xf numFmtId="166" fontId="17" fillId="0" borderId="0" xfId="20" applyNumberFormat="1" applyFont="1"/>
    <xf numFmtId="166" fontId="0" fillId="0" borderId="0" xfId="0" applyNumberFormat="1"/>
    <xf numFmtId="166" fontId="17" fillId="0" borderId="0" xfId="20" applyNumberFormat="1" applyFont="1"/>
    <xf numFmtId="166" fontId="0" fillId="0" borderId="0" xfId="0" applyNumberFormat="1"/>
    <xf numFmtId="166" fontId="17" fillId="0" borderId="0" xfId="20" applyNumberFormat="1" applyFont="1"/>
    <xf numFmtId="166" fontId="0" fillId="0" borderId="0" xfId="0" applyNumberFormat="1"/>
    <xf numFmtId="166" fontId="17" fillId="0" borderId="0" xfId="20" applyNumberFormat="1" applyFont="1"/>
    <xf numFmtId="166" fontId="0" fillId="0" borderId="0" xfId="0" applyNumberFormat="1"/>
    <xf numFmtId="0" fontId="26" fillId="18" borderId="0" xfId="16" applyFont="1" applyFill="1" applyBorder="1" applyAlignment="1">
      <alignment horizontal="left" vertical="center" wrapText="1" readingOrder="1"/>
    </xf>
    <xf numFmtId="0" fontId="26" fillId="18" borderId="0" xfId="16" applyFont="1" applyFill="1" applyBorder="1" applyAlignment="1">
      <alignment vertical="center" readingOrder="1"/>
    </xf>
    <xf numFmtId="0" fontId="65" fillId="0" borderId="0" xfId="0" applyFont="1"/>
    <xf numFmtId="0" fontId="29" fillId="18" borderId="0" xfId="0" applyFont="1" applyFill="1"/>
    <xf numFmtId="166" fontId="65" fillId="0" borderId="0" xfId="0" applyNumberFormat="1" applyFont="1"/>
    <xf numFmtId="1" fontId="65" fillId="0" borderId="0" xfId="0" applyNumberFormat="1" applyFont="1"/>
    <xf numFmtId="43" fontId="0" fillId="0" borderId="27" xfId="0" applyNumberFormat="1" applyBorder="1"/>
    <xf numFmtId="43" fontId="0" fillId="0" borderId="0" xfId="0" applyNumberFormat="1"/>
    <xf numFmtId="166" fontId="29" fillId="0" borderId="0" xfId="1" applyNumberFormat="1" applyFont="1" applyBorder="1"/>
    <xf numFmtId="0" fontId="66" fillId="0" borderId="0" xfId="9" applyFont="1" applyFill="1" applyAlignment="1" applyProtection="1">
      <alignment vertical="center"/>
      <protection locked="0"/>
    </xf>
    <xf numFmtId="0" fontId="69" fillId="0" borderId="0" xfId="0" applyFont="1"/>
    <xf numFmtId="43" fontId="70" fillId="0" borderId="0" xfId="0" applyNumberFormat="1" applyFont="1"/>
    <xf numFmtId="165" fontId="0" fillId="0" borderId="0" xfId="1" applyFont="1"/>
    <xf numFmtId="165" fontId="45" fillId="13" borderId="0" xfId="1" applyFont="1" applyFill="1" applyBorder="1" applyAlignment="1" applyProtection="1">
      <alignment horizontal="center" wrapText="1"/>
      <protection locked="0"/>
    </xf>
    <xf numFmtId="165" fontId="44" fillId="13" borderId="7" xfId="1" applyFont="1" applyFill="1" applyBorder="1" applyAlignment="1" applyProtection="1">
      <alignment vertical="center"/>
      <protection locked="0"/>
    </xf>
    <xf numFmtId="165" fontId="50" fillId="12" borderId="0" xfId="2" applyFont="1" applyFill="1" applyBorder="1" applyAlignment="1" applyProtection="1">
      <alignment vertical="center"/>
      <protection locked="0"/>
    </xf>
    <xf numFmtId="0" fontId="70" fillId="0" borderId="0" xfId="0" applyFont="1"/>
    <xf numFmtId="0" fontId="71" fillId="0" borderId="0" xfId="0" applyFont="1"/>
    <xf numFmtId="0" fontId="72" fillId="0" borderId="0" xfId="0" applyNumberFormat="1" applyFont="1"/>
    <xf numFmtId="43" fontId="72" fillId="0" borderId="0" xfId="0" applyNumberFormat="1" applyFont="1" applyFill="1" applyBorder="1" applyAlignment="1" applyProtection="1"/>
    <xf numFmtId="0" fontId="32" fillId="2" borderId="0" xfId="0" applyFont="1" applyFill="1" applyAlignment="1">
      <alignment horizontal="right"/>
    </xf>
    <xf numFmtId="10" fontId="32" fillId="2" borderId="22" xfId="17" applyNumberFormat="1" applyFont="1" applyFill="1" applyBorder="1"/>
    <xf numFmtId="10" fontId="32" fillId="2" borderId="23" xfId="17" applyNumberFormat="1" applyFont="1" applyFill="1" applyBorder="1"/>
    <xf numFmtId="10" fontId="32" fillId="2" borderId="38" xfId="17" applyNumberFormat="1" applyFont="1" applyFill="1" applyBorder="1"/>
    <xf numFmtId="165" fontId="45" fillId="4" borderId="2" xfId="2" quotePrefix="1" applyFont="1" applyFill="1" applyBorder="1" applyAlignment="1" applyProtection="1">
      <alignment horizontal="center" wrapText="1"/>
      <protection locked="0"/>
    </xf>
    <xf numFmtId="165" fontId="45" fillId="13" borderId="0" xfId="1" quotePrefix="1" applyFont="1" applyFill="1" applyBorder="1" applyAlignment="1" applyProtection="1">
      <alignment horizontal="center" wrapText="1"/>
      <protection locked="0"/>
    </xf>
    <xf numFmtId="165" fontId="43" fillId="13" borderId="1" xfId="1" applyFont="1" applyFill="1" applyBorder="1" applyAlignment="1" applyProtection="1">
      <alignment vertical="center"/>
      <protection locked="0"/>
    </xf>
    <xf numFmtId="167" fontId="26" fillId="0" borderId="0" xfId="16" applyNumberFormat="1" applyFont="1" applyFill="1" applyBorder="1" applyAlignment="1">
      <alignment horizontal="center" vertical="center" wrapText="1" readingOrder="1"/>
    </xf>
    <xf numFmtId="166" fontId="17" fillId="0" borderId="0" xfId="1" applyNumberFormat="1" applyFont="1" applyFill="1" applyBorder="1"/>
    <xf numFmtId="166" fontId="29" fillId="0" borderId="0" xfId="1" applyNumberFormat="1" applyFont="1" applyFill="1" applyBorder="1"/>
    <xf numFmtId="166" fontId="65" fillId="0" borderId="0" xfId="0" applyNumberFormat="1" applyFont="1" applyFill="1"/>
    <xf numFmtId="0" fontId="65" fillId="0" borderId="0" xfId="0" applyFont="1" applyFill="1"/>
    <xf numFmtId="0" fontId="26" fillId="0" borderId="0" xfId="16" applyFont="1" applyFill="1" applyBorder="1" applyAlignment="1">
      <alignment horizontal="left" vertical="center" wrapText="1" readingOrder="1"/>
    </xf>
    <xf numFmtId="166" fontId="17" fillId="0" borderId="0" xfId="20" applyNumberFormat="1" applyFont="1" applyFill="1"/>
    <xf numFmtId="1" fontId="65" fillId="0" borderId="0" xfId="0" applyNumberFormat="1" applyFont="1" applyFill="1"/>
    <xf numFmtId="167" fontId="26" fillId="0" borderId="0" xfId="16" applyNumberFormat="1" applyFont="1" applyFill="1" applyBorder="1" applyAlignment="1">
      <alignment vertical="center" readingOrder="1"/>
    </xf>
    <xf numFmtId="167" fontId="26" fillId="18" borderId="0" xfId="16" applyNumberFormat="1" applyFont="1" applyFill="1" applyBorder="1" applyAlignment="1">
      <alignment horizontal="left" vertical="center" wrapText="1" readingOrder="1"/>
    </xf>
    <xf numFmtId="165" fontId="65" fillId="0" borderId="0" xfId="1" applyFont="1" applyFill="1"/>
    <xf numFmtId="169" fontId="25" fillId="0" borderId="0" xfId="7" applyNumberFormat="1" applyFont="1" applyFill="1"/>
    <xf numFmtId="165" fontId="0" fillId="0" borderId="0" xfId="1" applyFont="1" applyFill="1"/>
    <xf numFmtId="165" fontId="13" fillId="13" borderId="0" xfId="1" applyFont="1" applyFill="1" applyProtection="1">
      <protection locked="0"/>
    </xf>
    <xf numFmtId="0" fontId="32" fillId="2" borderId="39" xfId="0" applyFont="1" applyFill="1" applyBorder="1"/>
    <xf numFmtId="4" fontId="13" fillId="13" borderId="1" xfId="9" applyNumberFormat="1" applyFont="1" applyFill="1" applyBorder="1" applyProtection="1">
      <protection locked="0"/>
    </xf>
    <xf numFmtId="0" fontId="67" fillId="0" borderId="30" xfId="0" applyFont="1" applyBorder="1" applyAlignment="1">
      <alignment wrapText="1"/>
    </xf>
    <xf numFmtId="165" fontId="32" fillId="13" borderId="0" xfId="1" applyFont="1" applyFill="1"/>
    <xf numFmtId="167" fontId="57" fillId="11" borderId="0" xfId="0" applyNumberFormat="1" applyFont="1" applyFill="1"/>
    <xf numFmtId="0" fontId="15" fillId="0" borderId="0" xfId="9" applyFont="1" applyFill="1" applyProtection="1">
      <protection locked="0"/>
    </xf>
    <xf numFmtId="17" fontId="57" fillId="0" borderId="0" xfId="0" applyNumberFormat="1" applyFont="1" applyFill="1"/>
    <xf numFmtId="4" fontId="13" fillId="0" borderId="0" xfId="9" applyNumberFormat="1" applyFont="1" applyFill="1" applyProtection="1">
      <protection locked="0"/>
    </xf>
    <xf numFmtId="165" fontId="13" fillId="0" borderId="0" xfId="1" applyFont="1" applyFill="1" applyProtection="1">
      <protection locked="0"/>
    </xf>
    <xf numFmtId="4" fontId="15" fillId="0" borderId="1" xfId="9" applyNumberFormat="1" applyFont="1" applyFill="1" applyBorder="1" applyProtection="1">
      <protection locked="0"/>
    </xf>
    <xf numFmtId="0" fontId="32" fillId="0" borderId="1" xfId="0" applyFont="1" applyFill="1" applyBorder="1"/>
    <xf numFmtId="4" fontId="73" fillId="11" borderId="0" xfId="9" applyNumberFormat="1" applyFont="1" applyFill="1" applyProtection="1">
      <protection locked="0"/>
    </xf>
    <xf numFmtId="0" fontId="73" fillId="0" borderId="0" xfId="9" applyFont="1" applyFill="1" applyProtection="1">
      <protection locked="0"/>
    </xf>
    <xf numFmtId="0" fontId="74" fillId="2" borderId="11" xfId="0" applyFont="1" applyFill="1" applyBorder="1"/>
    <xf numFmtId="10" fontId="32" fillId="0" borderId="23" xfId="17" applyNumberFormat="1" applyFont="1" applyFill="1" applyBorder="1"/>
    <xf numFmtId="167" fontId="60" fillId="0" borderId="0" xfId="0" applyNumberFormat="1" applyFont="1"/>
    <xf numFmtId="167" fontId="26" fillId="18" borderId="0" xfId="16" applyNumberFormat="1" applyFont="1" applyFill="1" applyBorder="1" applyAlignment="1">
      <alignment vertical="center" readingOrder="1"/>
    </xf>
    <xf numFmtId="166" fontId="0" fillId="0" borderId="0" xfId="1" applyNumberFormat="1" applyFont="1" applyFill="1"/>
    <xf numFmtId="43" fontId="59" fillId="11" borderId="0" xfId="5" applyFont="1" applyFill="1" applyProtection="1">
      <protection locked="0"/>
    </xf>
    <xf numFmtId="43" fontId="73" fillId="11" borderId="0" xfId="5" applyFont="1" applyFill="1" applyProtection="1">
      <protection locked="0"/>
    </xf>
    <xf numFmtId="165" fontId="0" fillId="0" borderId="0" xfId="0" applyNumberFormat="1"/>
    <xf numFmtId="0" fontId="75" fillId="15" borderId="0" xfId="0" applyFont="1" applyFill="1"/>
    <xf numFmtId="0" fontId="76" fillId="0" borderId="30" xfId="16" applyFont="1" applyFill="1" applyBorder="1" applyAlignment="1">
      <alignment horizontal="left" vertical="center" wrapText="1" readingOrder="1"/>
    </xf>
    <xf numFmtId="0" fontId="77" fillId="0" borderId="30" xfId="16" applyFont="1" applyFill="1" applyBorder="1" applyAlignment="1">
      <alignment horizontal="left" vertical="center" wrapText="1" readingOrder="1"/>
    </xf>
    <xf numFmtId="0" fontId="78" fillId="0" borderId="30" xfId="16" applyFont="1" applyFill="1" applyBorder="1" applyAlignment="1">
      <alignment horizontal="left" vertical="center" wrapText="1" readingOrder="1"/>
    </xf>
    <xf numFmtId="0" fontId="77" fillId="0" borderId="40" xfId="16" applyFont="1" applyFill="1" applyBorder="1" applyAlignment="1">
      <alignment horizontal="left" vertical="center" wrapText="1" readingOrder="1"/>
    </xf>
    <xf numFmtId="0" fontId="79" fillId="0" borderId="0" xfId="0" applyFont="1" applyFill="1"/>
    <xf numFmtId="0" fontId="75" fillId="16" borderId="0" xfId="0" applyFont="1" applyFill="1"/>
    <xf numFmtId="0" fontId="27" fillId="15" borderId="0" xfId="0" applyFont="1" applyFill="1" applyAlignment="1">
      <alignment wrapText="1"/>
    </xf>
    <xf numFmtId="167" fontId="26" fillId="4" borderId="0" xfId="16" applyNumberFormat="1" applyFont="1" applyFill="1" applyBorder="1" applyAlignment="1">
      <alignment horizontal="left" vertical="center" wrapText="1" readingOrder="1"/>
    </xf>
    <xf numFmtId="167" fontId="26" fillId="7" borderId="0" xfId="16" applyNumberFormat="1" applyFont="1" applyFill="1" applyBorder="1" applyAlignment="1">
      <alignment horizontal="left" vertical="center" wrapText="1" readingOrder="1"/>
    </xf>
    <xf numFmtId="0" fontId="80" fillId="0" borderId="0" xfId="16" applyFont="1" applyFill="1" applyBorder="1" applyAlignment="1">
      <alignment horizontal="left" vertical="center" wrapText="1" readingOrder="1"/>
    </xf>
    <xf numFmtId="0" fontId="76" fillId="0" borderId="0" xfId="16" applyFont="1" applyFill="1" applyBorder="1" applyAlignment="1">
      <alignment horizontal="left" vertical="center" wrapText="1" readingOrder="1"/>
    </xf>
    <xf numFmtId="0" fontId="77" fillId="17" borderId="0" xfId="16" applyFont="1" applyFill="1" applyBorder="1" applyAlignment="1">
      <alignment horizontal="left" vertical="center" wrapText="1" readingOrder="1"/>
    </xf>
    <xf numFmtId="0" fontId="81" fillId="0" borderId="0" xfId="9" applyFont="1" applyFill="1" applyProtection="1">
      <protection locked="0"/>
    </xf>
    <xf numFmtId="0" fontId="20" fillId="0" borderId="0" xfId="0" quotePrefix="1" applyFont="1" applyFill="1"/>
    <xf numFmtId="0" fontId="28" fillId="19" borderId="0" xfId="16" applyFont="1" applyFill="1" applyBorder="1" applyAlignment="1">
      <alignment vertical="center" readingOrder="1"/>
    </xf>
    <xf numFmtId="0" fontId="26" fillId="19" borderId="0" xfId="16" applyFont="1" applyFill="1" applyBorder="1" applyAlignment="1">
      <alignment vertical="center" readingOrder="1"/>
    </xf>
    <xf numFmtId="0" fontId="26" fillId="19" borderId="0" xfId="16" applyFont="1" applyFill="1" applyBorder="1" applyAlignment="1">
      <alignment horizontal="left" vertical="center" wrapText="1" readingOrder="1"/>
    </xf>
    <xf numFmtId="167" fontId="26" fillId="19" borderId="0" xfId="16" applyNumberFormat="1" applyFont="1" applyFill="1" applyBorder="1" applyAlignment="1">
      <alignment horizontal="center" vertical="center" wrapText="1" readingOrder="1"/>
    </xf>
    <xf numFmtId="167" fontId="26" fillId="19" borderId="0" xfId="16" applyNumberFormat="1" applyFont="1" applyFill="1" applyBorder="1" applyAlignment="1">
      <alignment horizontal="left" vertical="center" wrapText="1" readingOrder="1"/>
    </xf>
    <xf numFmtId="17" fontId="60" fillId="0" borderId="0" xfId="0" quotePrefix="1" applyNumberFormat="1" applyFont="1" applyAlignment="1">
      <alignment horizontal="center"/>
    </xf>
    <xf numFmtId="9" fontId="24" fillId="0" borderId="0" xfId="17" applyNumberFormat="1" applyFont="1" applyFill="1" applyBorder="1"/>
    <xf numFmtId="167" fontId="26" fillId="20" borderId="0" xfId="16" applyNumberFormat="1" applyFont="1" applyFill="1" applyBorder="1" applyAlignment="1">
      <alignment horizontal="center" vertical="center" wrapText="1" readingOrder="1"/>
    </xf>
    <xf numFmtId="0" fontId="21" fillId="21" borderId="0" xfId="16" applyFont="1" applyFill="1" applyBorder="1" applyAlignment="1">
      <alignment horizontal="left" vertical="center" wrapText="1" readingOrder="1"/>
    </xf>
    <xf numFmtId="0" fontId="76" fillId="21" borderId="30" xfId="16" applyFont="1" applyFill="1" applyBorder="1" applyAlignment="1">
      <alignment horizontal="left" vertical="center" wrapText="1" readingOrder="1"/>
    </xf>
    <xf numFmtId="38" fontId="24" fillId="21" borderId="0" xfId="7" applyNumberFormat="1" applyFont="1" applyFill="1" applyBorder="1"/>
    <xf numFmtId="164" fontId="24" fillId="21" borderId="0" xfId="7" applyNumberFormat="1" applyFont="1" applyFill="1" applyBorder="1"/>
    <xf numFmtId="38" fontId="24" fillId="21" borderId="0" xfId="7" applyNumberFormat="1" applyFont="1" applyFill="1"/>
    <xf numFmtId="164" fontId="24" fillId="21" borderId="0" xfId="7" applyNumberFormat="1" applyFont="1" applyFill="1"/>
    <xf numFmtId="0" fontId="22" fillId="21" borderId="0" xfId="16" applyFont="1" applyFill="1" applyBorder="1" applyAlignment="1">
      <alignment horizontal="left" vertical="center" wrapText="1" readingOrder="1"/>
    </xf>
    <xf numFmtId="0" fontId="77" fillId="21" borderId="30" xfId="16" applyFont="1" applyFill="1" applyBorder="1" applyAlignment="1">
      <alignment horizontal="left" vertical="center" wrapText="1" readingOrder="1"/>
    </xf>
    <xf numFmtId="38" fontId="25" fillId="21" borderId="0" xfId="7" applyNumberFormat="1" applyFont="1" applyFill="1"/>
    <xf numFmtId="164" fontId="25" fillId="21" borderId="0" xfId="7" applyNumberFormat="1" applyFont="1" applyFill="1"/>
    <xf numFmtId="0" fontId="23" fillId="21" borderId="0" xfId="16" applyFont="1" applyFill="1" applyBorder="1" applyAlignment="1">
      <alignment horizontal="left" vertical="center" wrapText="1" readingOrder="1"/>
    </xf>
    <xf numFmtId="0" fontId="78" fillId="21" borderId="30" xfId="16" applyFont="1" applyFill="1" applyBorder="1" applyAlignment="1">
      <alignment horizontal="left" vertical="center" wrapText="1" readingOrder="1"/>
    </xf>
    <xf numFmtId="38" fontId="30" fillId="21" borderId="0" xfId="7" applyNumberFormat="1" applyFont="1" applyFill="1"/>
    <xf numFmtId="166" fontId="24" fillId="21" borderId="0" xfId="7" applyNumberFormat="1" applyFont="1" applyFill="1"/>
    <xf numFmtId="0" fontId="21" fillId="21" borderId="21" xfId="16" applyFont="1" applyFill="1" applyBorder="1" applyAlignment="1">
      <alignment horizontal="left" vertical="center" wrapText="1" readingOrder="1"/>
    </xf>
    <xf numFmtId="38" fontId="24" fillId="21" borderId="16" xfId="7" applyNumberFormat="1" applyFont="1" applyFill="1" applyBorder="1"/>
    <xf numFmtId="164" fontId="24" fillId="21" borderId="16" xfId="7" applyNumberFormat="1" applyFont="1" applyFill="1" applyBorder="1"/>
    <xf numFmtId="43" fontId="16" fillId="11" borderId="0" xfId="5" applyFont="1" applyFill="1" applyProtection="1">
      <protection locked="0"/>
    </xf>
    <xf numFmtId="4" fontId="16" fillId="11" borderId="0" xfId="9" applyNumberFormat="1" applyFont="1" applyFill="1" applyProtection="1">
      <protection locked="0"/>
    </xf>
    <xf numFmtId="165" fontId="16" fillId="11" borderId="0" xfId="1" applyFont="1" applyFill="1" applyProtection="1">
      <protection locked="0"/>
    </xf>
    <xf numFmtId="167" fontId="26" fillId="20" borderId="0" xfId="16" applyNumberFormat="1" applyFont="1" applyFill="1" applyBorder="1" applyAlignment="1">
      <alignment horizontal="left" vertical="center" wrapText="1" readingOrder="1"/>
    </xf>
    <xf numFmtId="43" fontId="0" fillId="0" borderId="0" xfId="0" applyNumberFormat="1" applyFill="1"/>
    <xf numFmtId="169" fontId="25" fillId="0" borderId="2" xfId="7" applyNumberFormat="1" applyFont="1" applyFill="1" applyBorder="1"/>
    <xf numFmtId="4" fontId="16" fillId="13" borderId="0" xfId="9" applyNumberFormat="1" applyFont="1" applyFill="1" applyProtection="1">
      <protection locked="0"/>
    </xf>
    <xf numFmtId="4" fontId="82" fillId="13" borderId="1" xfId="9" applyNumberFormat="1" applyFont="1" applyFill="1" applyBorder="1" applyProtection="1">
      <protection locked="0"/>
    </xf>
    <xf numFmtId="165" fontId="41" fillId="13" borderId="0" xfId="2" applyFont="1" applyFill="1" applyAlignment="1" applyProtection="1">
      <alignment horizontal="center" vertical="center"/>
      <protection locked="0"/>
    </xf>
    <xf numFmtId="167" fontId="26" fillId="18" borderId="0" xfId="16" applyNumberFormat="1" applyFont="1" applyFill="1" applyBorder="1" applyAlignment="1">
      <alignment horizontal="center" vertical="center" readingOrder="1"/>
    </xf>
    <xf numFmtId="0" fontId="83" fillId="0" borderId="0" xfId="0" applyFont="1"/>
    <xf numFmtId="0" fontId="84" fillId="0" borderId="0" xfId="0" applyFont="1"/>
    <xf numFmtId="166" fontId="0" fillId="0" borderId="0" xfId="1" applyNumberFormat="1" applyFont="1"/>
    <xf numFmtId="166" fontId="25" fillId="0" borderId="2" xfId="1" applyNumberFormat="1" applyFont="1" applyFill="1" applyBorder="1"/>
    <xf numFmtId="165" fontId="32" fillId="13" borderId="0" xfId="1" applyFont="1" applyFill="1" applyAlignment="1">
      <alignment horizontal="center"/>
    </xf>
    <xf numFmtId="0" fontId="21" fillId="0" borderId="0" xfId="16" applyFont="1" applyBorder="1" applyAlignment="1">
      <alignment horizontal="left" vertical="center" wrapText="1" readingOrder="1"/>
    </xf>
    <xf numFmtId="38" fontId="24" fillId="2" borderId="0" xfId="7" applyNumberFormat="1" applyFont="1" applyFill="1"/>
    <xf numFmtId="9" fontId="24" fillId="2" borderId="0" xfId="17" applyFont="1" applyFill="1"/>
    <xf numFmtId="9" fontId="24" fillId="2" borderId="3" xfId="17" applyFont="1" applyFill="1" applyBorder="1"/>
    <xf numFmtId="0" fontId="21" fillId="5" borderId="0" xfId="16" applyFont="1" applyFill="1" applyBorder="1" applyAlignment="1">
      <alignment horizontal="left" vertical="center" wrapText="1" readingOrder="1"/>
    </xf>
    <xf numFmtId="38" fontId="24" fillId="5" borderId="0" xfId="7" applyNumberFormat="1" applyFont="1" applyFill="1" applyBorder="1"/>
    <xf numFmtId="0" fontId="22" fillId="0" borderId="19" xfId="16" applyFont="1" applyBorder="1" applyAlignment="1">
      <alignment horizontal="left" vertical="center" wrapText="1" readingOrder="1"/>
    </xf>
    <xf numFmtId="38" fontId="25" fillId="2" borderId="4" xfId="7" applyNumberFormat="1" applyFont="1" applyFill="1" applyBorder="1"/>
    <xf numFmtId="9" fontId="25" fillId="2" borderId="5" xfId="17" applyNumberFormat="1" applyFont="1" applyFill="1" applyBorder="1"/>
    <xf numFmtId="38" fontId="24" fillId="5" borderId="0" xfId="7" applyNumberFormat="1" applyFont="1" applyFill="1"/>
    <xf numFmtId="0" fontId="22" fillId="5" borderId="0" xfId="16" applyFont="1" applyFill="1" applyBorder="1" applyAlignment="1">
      <alignment horizontal="left" vertical="center" wrapText="1" readingOrder="1"/>
    </xf>
    <xf numFmtId="9" fontId="25" fillId="5" borderId="3" xfId="17" applyNumberFormat="1" applyFont="1" applyFill="1" applyBorder="1"/>
    <xf numFmtId="0" fontId="23" fillId="5" borderId="0" xfId="16" applyFont="1" applyFill="1" applyBorder="1" applyAlignment="1">
      <alignment horizontal="left" vertical="center" wrapText="1" readingOrder="1"/>
    </xf>
    <xf numFmtId="0" fontId="23" fillId="2" borderId="0" xfId="16" applyFont="1" applyFill="1" applyBorder="1" applyAlignment="1">
      <alignment horizontal="left" vertical="center" wrapText="1" readingOrder="1"/>
    </xf>
    <xf numFmtId="9" fontId="24" fillId="2" borderId="3" xfId="17" applyNumberFormat="1" applyFont="1" applyFill="1" applyBorder="1"/>
    <xf numFmtId="0" fontId="22" fillId="2" borderId="19" xfId="16" applyFont="1" applyFill="1" applyBorder="1" applyAlignment="1">
      <alignment horizontal="left" vertical="center" wrapText="1" readingOrder="1"/>
    </xf>
    <xf numFmtId="0" fontId="21" fillId="5" borderId="21" xfId="16" applyFont="1" applyFill="1" applyBorder="1" applyAlignment="1">
      <alignment horizontal="left" vertical="center" wrapText="1" readingOrder="1"/>
    </xf>
    <xf numFmtId="0" fontId="22" fillId="2" borderId="20" xfId="16" applyFont="1" applyFill="1" applyBorder="1" applyAlignment="1">
      <alignment horizontal="left" vertical="center" wrapText="1" readingOrder="1"/>
    </xf>
    <xf numFmtId="38" fontId="25" fillId="2" borderId="1" xfId="7" applyNumberFormat="1" applyFont="1" applyFill="1" applyBorder="1"/>
    <xf numFmtId="9" fontId="25" fillId="2" borderId="6" xfId="17" applyNumberFormat="1" applyFont="1" applyFill="1" applyBorder="1"/>
    <xf numFmtId="0" fontId="6" fillId="2" borderId="0" xfId="9" applyFont="1" applyFill="1" applyProtection="1">
      <protection locked="0"/>
    </xf>
    <xf numFmtId="0" fontId="21" fillId="2" borderId="0" xfId="16" applyFont="1" applyFill="1" applyBorder="1" applyAlignment="1">
      <alignment horizontal="left" vertical="center" wrapText="1" readingOrder="1"/>
    </xf>
    <xf numFmtId="0" fontId="21" fillId="2" borderId="9" xfId="16" applyFont="1" applyFill="1" applyBorder="1" applyAlignment="1">
      <alignment horizontal="left" vertical="center" wrapText="1" readingOrder="1"/>
    </xf>
    <xf numFmtId="38" fontId="24" fillId="2" borderId="10" xfId="7" applyNumberFormat="1" applyFont="1" applyFill="1" applyBorder="1"/>
    <xf numFmtId="0" fontId="6" fillId="2" borderId="11" xfId="9" applyFont="1" applyFill="1" applyBorder="1" applyProtection="1">
      <protection locked="0"/>
    </xf>
    <xf numFmtId="165" fontId="6" fillId="2" borderId="12" xfId="1" applyFont="1" applyFill="1" applyBorder="1" applyProtection="1">
      <protection locked="0"/>
    </xf>
    <xf numFmtId="0" fontId="21" fillId="2" borderId="11" xfId="16" applyFont="1" applyFill="1" applyBorder="1" applyAlignment="1">
      <alignment horizontal="left" vertical="center" wrapText="1" readingOrder="1"/>
    </xf>
    <xf numFmtId="38" fontId="24" fillId="2" borderId="12" xfId="7" applyNumberFormat="1" applyFont="1" applyFill="1" applyBorder="1"/>
    <xf numFmtId="0" fontId="6" fillId="2" borderId="13" xfId="9" applyFont="1" applyFill="1" applyBorder="1" applyProtection="1">
      <protection locked="0"/>
    </xf>
    <xf numFmtId="165" fontId="6" fillId="2" borderId="14" xfId="1" applyFont="1" applyFill="1" applyBorder="1" applyProtection="1">
      <protection locked="0"/>
    </xf>
    <xf numFmtId="0" fontId="0" fillId="2" borderId="0" xfId="0" applyFill="1" applyProtection="1">
      <protection locked="0"/>
    </xf>
    <xf numFmtId="165" fontId="2" fillId="2" borderId="0" xfId="1" applyFont="1" applyFill="1" applyBorder="1" applyProtection="1">
      <protection locked="0"/>
    </xf>
    <xf numFmtId="169" fontId="0" fillId="0" borderId="0" xfId="0" applyNumberFormat="1" applyFill="1"/>
    <xf numFmtId="38" fontId="0" fillId="0" borderId="0" xfId="0" applyNumberFormat="1" applyFill="1"/>
    <xf numFmtId="164" fontId="0" fillId="0" borderId="0" xfId="0" applyNumberFormat="1" applyFill="1"/>
    <xf numFmtId="43" fontId="25" fillId="0" borderId="2" xfId="7" applyNumberFormat="1" applyFont="1" applyFill="1" applyBorder="1"/>
    <xf numFmtId="0" fontId="68" fillId="0" borderId="30" xfId="0" applyFont="1" applyBorder="1" applyAlignment="1">
      <alignment wrapText="1"/>
    </xf>
    <xf numFmtId="165" fontId="15" fillId="3" borderId="0" xfId="1" applyFont="1" applyFill="1" applyBorder="1" applyAlignment="1" applyProtection="1">
      <alignment horizontal="center"/>
      <protection locked="0"/>
    </xf>
    <xf numFmtId="10" fontId="13" fillId="2" borderId="22" xfId="17" applyNumberFormat="1" applyFont="1" applyFill="1" applyBorder="1"/>
    <xf numFmtId="10" fontId="13" fillId="2" borderId="23" xfId="17" applyNumberFormat="1" applyFont="1" applyFill="1" applyBorder="1"/>
    <xf numFmtId="10" fontId="13" fillId="2" borderId="38" xfId="17" applyNumberFormat="1" applyFont="1" applyFill="1" applyBorder="1"/>
    <xf numFmtId="167" fontId="26" fillId="20" borderId="0" xfId="16" quotePrefix="1" applyNumberFormat="1" applyFont="1" applyFill="1" applyBorder="1" applyAlignment="1">
      <alignment horizontal="center" vertical="center" wrapText="1" readingOrder="1"/>
    </xf>
    <xf numFmtId="167" fontId="26" fillId="4" borderId="0" xfId="16" quotePrefix="1" applyNumberFormat="1" applyFont="1" applyFill="1" applyBorder="1" applyAlignment="1">
      <alignment horizontal="center" vertical="center" wrapText="1" readingOrder="1"/>
    </xf>
    <xf numFmtId="10" fontId="13" fillId="0" borderId="22" xfId="17" applyNumberFormat="1" applyFont="1" applyFill="1" applyBorder="1"/>
    <xf numFmtId="10" fontId="13" fillId="0" borderId="23" xfId="17" applyNumberFormat="1" applyFont="1" applyFill="1" applyBorder="1"/>
    <xf numFmtId="10" fontId="13" fillId="0" borderId="38" xfId="17" applyNumberFormat="1" applyFont="1" applyFill="1" applyBorder="1"/>
    <xf numFmtId="0" fontId="85" fillId="0" borderId="0" xfId="0" applyFont="1" applyFill="1"/>
    <xf numFmtId="166" fontId="85" fillId="0" borderId="0" xfId="1" applyNumberFormat="1" applyFont="1" applyFill="1"/>
    <xf numFmtId="164" fontId="86" fillId="0" borderId="0" xfId="7" applyNumberFormat="1" applyFont="1" applyFill="1"/>
    <xf numFmtId="38" fontId="87" fillId="0" borderId="0" xfId="7" applyNumberFormat="1" applyFont="1" applyFill="1" applyBorder="1"/>
    <xf numFmtId="164" fontId="87" fillId="0" borderId="0" xfId="7" applyNumberFormat="1" applyFont="1" applyFill="1" applyBorder="1"/>
    <xf numFmtId="164" fontId="88" fillId="21" borderId="0" xfId="7" applyNumberFormat="1" applyFont="1" applyFill="1"/>
    <xf numFmtId="166" fontId="88" fillId="21" borderId="0" xfId="7" applyNumberFormat="1" applyFont="1" applyFill="1"/>
    <xf numFmtId="0" fontId="67" fillId="17" borderId="30" xfId="0" applyFont="1" applyFill="1" applyBorder="1" applyAlignment="1">
      <alignment wrapText="1"/>
    </xf>
    <xf numFmtId="0" fontId="68" fillId="23" borderId="35" xfId="0" applyFont="1" applyFill="1" applyBorder="1"/>
    <xf numFmtId="0" fontId="0" fillId="23" borderId="8" xfId="0" applyFill="1" applyBorder="1"/>
    <xf numFmtId="165" fontId="27" fillId="23" borderId="37" xfId="0" applyNumberFormat="1" applyFont="1" applyFill="1" applyBorder="1"/>
    <xf numFmtId="165" fontId="27" fillId="23" borderId="36" xfId="0" applyNumberFormat="1" applyFont="1" applyFill="1" applyBorder="1"/>
    <xf numFmtId="0" fontId="89" fillId="22" borderId="31" xfId="0" applyFont="1" applyFill="1" applyBorder="1" applyAlignment="1">
      <alignment horizontal="center"/>
    </xf>
    <xf numFmtId="0" fontId="89" fillId="22" borderId="32" xfId="0" applyFont="1" applyFill="1" applyBorder="1"/>
    <xf numFmtId="0" fontId="89" fillId="22" borderId="33" xfId="0" applyFont="1" applyFill="1" applyBorder="1"/>
    <xf numFmtId="0" fontId="89" fillId="22" borderId="34" xfId="0" applyFont="1" applyFill="1" applyBorder="1"/>
    <xf numFmtId="0" fontId="89" fillId="22" borderId="34" xfId="0" quotePrefix="1" applyFont="1" applyFill="1" applyBorder="1"/>
    <xf numFmtId="0" fontId="24" fillId="0" borderId="30" xfId="0" applyFont="1" applyBorder="1"/>
    <xf numFmtId="165" fontId="90" fillId="0" borderId="30" xfId="2" applyFont="1" applyFill="1" applyBorder="1" applyAlignment="1" applyProtection="1">
      <alignment vertical="center"/>
      <protection locked="0"/>
    </xf>
    <xf numFmtId="165" fontId="90" fillId="0" borderId="0" xfId="2" applyFont="1" applyFill="1" applyBorder="1" applyAlignment="1" applyProtection="1">
      <alignment vertical="center"/>
      <protection locked="0"/>
    </xf>
    <xf numFmtId="0" fontId="24" fillId="17" borderId="30" xfId="0" applyFont="1" applyFill="1" applyBorder="1"/>
    <xf numFmtId="165" fontId="90" fillId="17" borderId="30" xfId="2" applyFont="1" applyFill="1" applyBorder="1" applyAlignment="1" applyProtection="1">
      <alignment vertical="center"/>
      <protection locked="0"/>
    </xf>
    <xf numFmtId="165" fontId="90" fillId="17" borderId="0" xfId="2" applyFont="1" applyFill="1" applyBorder="1" applyAlignment="1" applyProtection="1">
      <alignment vertical="center"/>
      <protection locked="0"/>
    </xf>
    <xf numFmtId="0" fontId="91" fillId="0" borderId="30" xfId="0" applyFont="1" applyBorder="1" applyAlignment="1">
      <alignment wrapText="1"/>
    </xf>
    <xf numFmtId="0" fontId="91" fillId="17" borderId="30" xfId="0" applyFont="1" applyFill="1" applyBorder="1" applyAlignment="1">
      <alignment wrapText="1"/>
    </xf>
    <xf numFmtId="165" fontId="41" fillId="3" borderId="0" xfId="2" applyFont="1" applyFill="1" applyAlignment="1" applyProtection="1">
      <alignment horizontal="center" vertical="center"/>
      <protection locked="0"/>
    </xf>
    <xf numFmtId="0" fontId="89" fillId="22" borderId="41" xfId="0" applyFont="1" applyFill="1" applyBorder="1"/>
    <xf numFmtId="166" fontId="65" fillId="0" borderId="0" xfId="1" applyNumberFormat="1" applyFont="1" applyFill="1"/>
    <xf numFmtId="165" fontId="29" fillId="0" borderId="0" xfId="1" applyFont="1" applyFill="1"/>
    <xf numFmtId="38" fontId="86" fillId="0" borderId="0" xfId="7" applyNumberFormat="1" applyFont="1" applyFill="1" applyBorder="1"/>
    <xf numFmtId="169" fontId="86" fillId="0" borderId="0" xfId="7" applyNumberFormat="1" applyFont="1" applyFill="1" applyBorder="1"/>
    <xf numFmtId="164" fontId="86" fillId="0" borderId="0" xfId="7" applyNumberFormat="1" applyFont="1" applyFill="1" applyBorder="1"/>
    <xf numFmtId="166" fontId="87" fillId="0" borderId="0" xfId="7" applyNumberFormat="1" applyFont="1" applyFill="1" applyBorder="1"/>
    <xf numFmtId="0" fontId="85" fillId="0" borderId="0" xfId="0" applyFont="1" applyFill="1" applyBorder="1"/>
    <xf numFmtId="165" fontId="27" fillId="23" borderId="8" xfId="0" applyNumberFormat="1" applyFont="1" applyFill="1" applyBorder="1"/>
    <xf numFmtId="165" fontId="90" fillId="0" borderId="17" xfId="2" applyFont="1" applyFill="1" applyBorder="1" applyAlignment="1" applyProtection="1">
      <alignment vertical="center"/>
      <protection locked="0"/>
    </xf>
    <xf numFmtId="0" fontId="89" fillId="22" borderId="44" xfId="0" applyFont="1" applyFill="1" applyBorder="1"/>
    <xf numFmtId="165" fontId="90" fillId="17" borderId="27" xfId="2" applyFont="1" applyFill="1" applyBorder="1" applyAlignment="1" applyProtection="1">
      <alignment vertical="center"/>
      <protection locked="0"/>
    </xf>
    <xf numFmtId="165" fontId="90" fillId="0" borderId="27" xfId="2" applyFont="1" applyFill="1" applyBorder="1" applyAlignment="1" applyProtection="1">
      <alignment vertical="center"/>
      <protection locked="0"/>
    </xf>
    <xf numFmtId="165" fontId="27" fillId="23" borderId="43" xfId="0" applyNumberFormat="1" applyFont="1" applyFill="1" applyBorder="1"/>
    <xf numFmtId="165" fontId="90" fillId="17" borderId="42" xfId="2" applyFont="1" applyFill="1" applyBorder="1" applyAlignment="1" applyProtection="1">
      <alignment vertical="center"/>
      <protection locked="0"/>
    </xf>
    <xf numFmtId="165" fontId="90" fillId="0" borderId="42" xfId="2" applyFont="1" applyFill="1" applyBorder="1" applyAlignment="1" applyProtection="1">
      <alignment vertical="center"/>
      <protection locked="0"/>
    </xf>
    <xf numFmtId="0" fontId="89" fillId="22" borderId="34" xfId="0" quotePrefix="1" applyFont="1" applyFill="1" applyBorder="1"/>
    <xf numFmtId="169" fontId="24" fillId="21" borderId="0" xfId="7" applyNumberFormat="1" applyFont="1" applyFill="1"/>
    <xf numFmtId="0" fontId="33" fillId="2" borderId="0" xfId="0" applyFont="1" applyFill="1" applyProtection="1">
      <protection locked="0"/>
    </xf>
    <xf numFmtId="0" fontId="37" fillId="2" borderId="0" xfId="9" applyFont="1" applyFill="1" applyProtection="1">
      <protection locked="0"/>
    </xf>
    <xf numFmtId="0" fontId="33" fillId="2" borderId="0" xfId="9" applyFont="1" applyFill="1" applyProtection="1">
      <protection locked="0"/>
    </xf>
    <xf numFmtId="0" fontId="33" fillId="9" borderId="23" xfId="9" applyFont="1" applyFill="1" applyBorder="1" applyProtection="1">
      <protection locked="0"/>
    </xf>
    <xf numFmtId="0" fontId="33" fillId="11" borderId="0" xfId="9" applyFont="1" applyFill="1" applyAlignment="1" applyProtection="1">
      <alignment horizontal="center"/>
      <protection locked="0"/>
    </xf>
    <xf numFmtId="4" fontId="33" fillId="11" borderId="0" xfId="9" applyNumberFormat="1" applyFont="1" applyFill="1" applyProtection="1">
      <protection locked="0"/>
    </xf>
    <xf numFmtId="4" fontId="92" fillId="11" borderId="0" xfId="9" applyNumberFormat="1" applyFont="1" applyFill="1" applyProtection="1">
      <protection locked="0"/>
    </xf>
    <xf numFmtId="4" fontId="92" fillId="13" borderId="0" xfId="9" applyNumberFormat="1" applyFont="1" applyFill="1" applyProtection="1">
      <protection locked="0"/>
    </xf>
    <xf numFmtId="4" fontId="33" fillId="13" borderId="0" xfId="9" applyNumberFormat="1" applyFont="1" applyFill="1" applyProtection="1">
      <protection locked="0"/>
    </xf>
    <xf numFmtId="0" fontId="93" fillId="0" borderId="0" xfId="9" applyFont="1" applyFill="1" applyAlignment="1" applyProtection="1">
      <alignment vertical="center"/>
      <protection locked="0"/>
    </xf>
    <xf numFmtId="165" fontId="94" fillId="13" borderId="0" xfId="2" applyFont="1" applyFill="1" applyAlignment="1" applyProtection="1">
      <alignment horizontal="center" vertical="center"/>
      <protection locked="0"/>
    </xf>
    <xf numFmtId="165" fontId="41" fillId="13" borderId="0" xfId="1" applyFont="1" applyFill="1" applyAlignment="1" applyProtection="1">
      <alignment horizontal="center" vertical="center"/>
      <protection locked="0"/>
    </xf>
    <xf numFmtId="38" fontId="24" fillId="21" borderId="2" xfId="7" applyNumberFormat="1" applyFont="1" applyFill="1" applyBorder="1"/>
    <xf numFmtId="164" fontId="24" fillId="21" borderId="2" xfId="7" applyNumberFormat="1" applyFont="1" applyFill="1" applyBorder="1"/>
    <xf numFmtId="9" fontId="24" fillId="5" borderId="2" xfId="17" applyNumberFormat="1" applyFont="1" applyFill="1" applyBorder="1"/>
    <xf numFmtId="0" fontId="95" fillId="0" borderId="0" xfId="0" applyFont="1" applyFill="1"/>
  </cellXfs>
  <cellStyles count="44">
    <cellStyle name="Comma" xfId="1" builtinId="3"/>
    <cellStyle name="Comma 2" xfId="2"/>
    <cellStyle name="Comma 2 2" xfId="3"/>
    <cellStyle name="Comma 2 2 2" xfId="22"/>
    <cellStyle name="Comma 2 2 2 2" xfId="37"/>
    <cellStyle name="Comma 2 2 3" xfId="29"/>
    <cellStyle name="Comma 2 3" xfId="4"/>
    <cellStyle name="Comma 2 3 2" xfId="23"/>
    <cellStyle name="Comma 2 3 2 2" xfId="38"/>
    <cellStyle name="Comma 2 3 3" xfId="30"/>
    <cellStyle name="Comma 2 4" xfId="21"/>
    <cellStyle name="Comma 2 4 2" xfId="36"/>
    <cellStyle name="Comma 3" xfId="5"/>
    <cellStyle name="Comma 3 2" xfId="24"/>
    <cellStyle name="Comma 3 2 2" xfId="39"/>
    <cellStyle name="Comma 3 3" xfId="31"/>
    <cellStyle name="Comma 4" xfId="6"/>
    <cellStyle name="Comma 4 2" xfId="25"/>
    <cellStyle name="Comma 4 2 2" xfId="40"/>
    <cellStyle name="Comma 47" xfId="7"/>
    <cellStyle name="Comma 47 2" xfId="26"/>
    <cellStyle name="Comma 47 2 2" xfId="41"/>
    <cellStyle name="Comma 47 3" xfId="32"/>
    <cellStyle name="Comma 5" xfId="20"/>
    <cellStyle name="Comma 5 2" xfId="35"/>
    <cellStyle name="Normal" xfId="0" builtinId="0"/>
    <cellStyle name="Normal 16 2" xfId="8"/>
    <cellStyle name="Normal 16 2 2" xfId="27"/>
    <cellStyle name="Normal 16 2 2 2" xfId="42"/>
    <cellStyle name="Normal 16 2 3" xfId="33"/>
    <cellStyle name="Normal 2" xfId="9"/>
    <cellStyle name="Normal 2 2" xfId="10"/>
    <cellStyle name="Normal 2 2 2" xfId="11"/>
    <cellStyle name="Normal 2 2 3" xfId="12"/>
    <cellStyle name="Normal 2 3" xfId="13"/>
    <cellStyle name="Normal 2 4" xfId="14"/>
    <cellStyle name="Normal 3" xfId="15"/>
    <cellStyle name="Normal 3 2" xfId="28"/>
    <cellStyle name="Normal 3 2 2" xfId="43"/>
    <cellStyle name="Normal 3 3" xfId="34"/>
    <cellStyle name="Normal 38" xfId="16"/>
    <cellStyle name="Percent" xfId="17" builtinId="5"/>
    <cellStyle name="Percent 2" xfId="18"/>
    <cellStyle name="Percent 7" xfId="19"/>
  </cellStyles>
  <dxfs count="0"/>
  <tableStyles count="0" defaultTableStyle="TableStyleMedium2" defaultPivotStyle="PivotStyleLight16"/>
  <colors>
    <mruColors>
      <color rgb="FFF24C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ccount5.TB001ACCPC006\My%20Documents\&#3591;&#3610;&#3585;&#3634;&#3619;&#3648;&#3591;&#3636;&#3609;%20by%20mail\&#3591;&#3610;&#3585;&#3634;&#3619;&#3648;&#3591;&#3636;&#360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ban_CU/2.Financial%20statement/2016/7.%20July'16/July_2016(Deferred%20Tax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ban_CU/2.Financial%20statement/2016/6.%20June'16/June_2016(Deferred%20Tax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yapat/Desktop/March%202015_Reports/Tanaban/Documents%20and%20Settings/Account7/Local%20Settings/Temporary%20Internet%20Files/Content.IE5/MCQPND2G/&#3591;&#3610;&#3617;&#3637;&#3589;5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ban_CU/2.Financial%20statement/Documents%20and%20Settings/Account7/Local%20Settings/Temporary%20Internet%20Files/Content.IE5/MCQPND2G/&#3591;&#3610;&#3617;&#3637;&#3589;5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yapat/Desktop/March%202015_Reports/Tanaban/Documents%20and%20Settings/Account7/Local%20Settings/Temporary%20Internet%20Files/Content.IE5/MCQPND2G/MAY/&#3591;&#3610;&#3648;&#3617;53_&#3614;&#3637;&#3656;&#3650;&#3629;&#365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ban_CU/2.Financial%20statement/Documents%20and%20Settings/Account7/Local%20Settings/Temporary%20Internet%20Files/Content.IE5/MCQPND2G/MAY/&#3591;&#3610;&#3648;&#3617;53_&#3614;&#3637;&#3656;&#3650;&#3629;&#365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yapat/Desktop/MFC_Apr'16/Final/summary%20PL%20MFC%20(2)_-4_Apr'15_Updat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ban_CU/2.Financial%20statement/2016/5.May'16/May_2016(Deferred%20Tax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yapat/Desktop/MFC_Apr'16/Apr_2016(Deferred%20Tax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anaban_CU/2.Financial%20statement/2016/6.%20June'16/Copy%20of%20June_2016(Deferred%20Tax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>
        <row r="7">
          <cell r="I7">
            <v>2233531.620000001</v>
          </cell>
        </row>
        <row r="8">
          <cell r="I8">
            <v>44000</v>
          </cell>
        </row>
        <row r="9">
          <cell r="B9" t="str">
            <v>xx</v>
          </cell>
          <cell r="C9">
            <v>1002</v>
          </cell>
          <cell r="D9" t="str">
            <v>ตั๋วสัญญาใช้เงิน</v>
          </cell>
          <cell r="E9">
            <v>0</v>
          </cell>
          <cell r="G9">
            <v>149000000</v>
          </cell>
          <cell r="I9">
            <v>149000000</v>
          </cell>
        </row>
        <row r="10">
          <cell r="I10">
            <v>0</v>
          </cell>
        </row>
        <row r="11">
          <cell r="I11">
            <v>3469873</v>
          </cell>
        </row>
        <row r="12">
          <cell r="I12">
            <v>833336565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0</v>
          </cell>
        </row>
        <row r="16">
          <cell r="I16" t="str">
            <v/>
          </cell>
          <cell r="J16">
            <v>1711237.9</v>
          </cell>
        </row>
        <row r="18">
          <cell r="I18">
            <v>9895214</v>
          </cell>
        </row>
        <row r="19">
          <cell r="I19">
            <v>0</v>
          </cell>
          <cell r="J19">
            <v>78731018.299999982</v>
          </cell>
        </row>
        <row r="20">
          <cell r="J20">
            <v>0</v>
          </cell>
        </row>
        <row r="21">
          <cell r="I21">
            <v>414400</v>
          </cell>
        </row>
        <row r="22">
          <cell r="B22" t="str">
            <v>xx</v>
          </cell>
          <cell r="C22">
            <v>1400</v>
          </cell>
          <cell r="D22" t="str">
            <v>สินค้ารถยึด</v>
          </cell>
          <cell r="E22">
            <v>3881216.3399999868</v>
          </cell>
          <cell r="G22">
            <v>10738126.789999999</v>
          </cell>
          <cell r="H22">
            <v>10820190.890000001</v>
          </cell>
          <cell r="I22">
            <v>3799152.2399999853</v>
          </cell>
        </row>
        <row r="23">
          <cell r="I23">
            <v>0</v>
          </cell>
        </row>
        <row r="24">
          <cell r="I24">
            <v>32717</v>
          </cell>
        </row>
        <row r="25">
          <cell r="I25">
            <v>0</v>
          </cell>
        </row>
        <row r="26">
          <cell r="B26" t="str">
            <v>xx</v>
          </cell>
          <cell r="C26" t="str">
            <v>1602</v>
          </cell>
          <cell r="D26" t="str">
            <v>เงินกู้พนักงาน</v>
          </cell>
          <cell r="E26">
            <v>0</v>
          </cell>
          <cell r="I26">
            <v>0</v>
          </cell>
        </row>
        <row r="27">
          <cell r="I27">
            <v>94452.06</v>
          </cell>
        </row>
        <row r="28">
          <cell r="B28" t="str">
            <v>xx</v>
          </cell>
          <cell r="C28">
            <v>1700</v>
          </cell>
          <cell r="D28" t="str">
            <v>เงินลงทุนบริษัทในเครือ</v>
          </cell>
          <cell r="E28">
            <v>0</v>
          </cell>
          <cell r="I28">
            <v>0</v>
          </cell>
        </row>
        <row r="29">
          <cell r="I29">
            <v>2915760</v>
          </cell>
        </row>
        <row r="30">
          <cell r="I30">
            <v>1988577.99</v>
          </cell>
        </row>
        <row r="31">
          <cell r="I31">
            <v>0</v>
          </cell>
        </row>
        <row r="32">
          <cell r="I32">
            <v>215441.11000000002</v>
          </cell>
        </row>
        <row r="33">
          <cell r="I33">
            <v>2629079.4900000002</v>
          </cell>
        </row>
        <row r="34">
          <cell r="I34">
            <v>1676961.57</v>
          </cell>
        </row>
        <row r="35">
          <cell r="I35">
            <v>822570.08000000019</v>
          </cell>
        </row>
        <row r="36">
          <cell r="I36">
            <v>454647.99</v>
          </cell>
        </row>
        <row r="37">
          <cell r="I37">
            <v>0</v>
          </cell>
        </row>
        <row r="38">
          <cell r="B38" t="str">
            <v>xx</v>
          </cell>
          <cell r="C38">
            <v>1900</v>
          </cell>
          <cell r="D38" t="str">
            <v>ภาษีเงินได้นิติบุคคลหัก ณ ที่จ่าย</v>
          </cell>
          <cell r="E38">
            <v>14575.2</v>
          </cell>
          <cell r="G38">
            <v>20694.97</v>
          </cell>
          <cell r="I38">
            <v>35270.17</v>
          </cell>
        </row>
        <row r="39">
          <cell r="I39">
            <v>884530.22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57787.870000138879</v>
          </cell>
          <cell r="J43">
            <v>0</v>
          </cell>
        </row>
        <row r="44">
          <cell r="I44">
            <v>0</v>
          </cell>
          <cell r="J44">
            <v>24767.300000005402</v>
          </cell>
        </row>
        <row r="45">
          <cell r="J45">
            <v>550706.81000001729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I51">
            <v>0</v>
          </cell>
        </row>
        <row r="52">
          <cell r="J52">
            <v>593810.28999997955</v>
          </cell>
        </row>
        <row r="53">
          <cell r="I53">
            <v>0</v>
          </cell>
        </row>
        <row r="54">
          <cell r="I54">
            <v>22349.229999999996</v>
          </cell>
        </row>
        <row r="55">
          <cell r="I55">
            <v>4819.6000000000931</v>
          </cell>
          <cell r="J55">
            <v>0</v>
          </cell>
        </row>
        <row r="56">
          <cell r="J56">
            <v>27034.940000000002</v>
          </cell>
        </row>
        <row r="57">
          <cell r="I57">
            <v>2238165.0399999917</v>
          </cell>
          <cell r="J57">
            <v>0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  <row r="60">
          <cell r="I60">
            <v>0</v>
          </cell>
          <cell r="J60">
            <v>0</v>
          </cell>
        </row>
        <row r="61">
          <cell r="I61">
            <v>0</v>
          </cell>
          <cell r="J61">
            <v>0</v>
          </cell>
        </row>
        <row r="62">
          <cell r="J62">
            <v>0</v>
          </cell>
        </row>
        <row r="63">
          <cell r="J63">
            <v>2346991.96</v>
          </cell>
        </row>
        <row r="64">
          <cell r="I64">
            <v>0</v>
          </cell>
          <cell r="J64">
            <v>0</v>
          </cell>
        </row>
        <row r="65">
          <cell r="J65">
            <v>0</v>
          </cell>
        </row>
        <row r="66">
          <cell r="J66">
            <v>94089</v>
          </cell>
        </row>
        <row r="67">
          <cell r="J67">
            <v>236620</v>
          </cell>
        </row>
        <row r="68">
          <cell r="J68">
            <v>4900</v>
          </cell>
        </row>
        <row r="69">
          <cell r="J69">
            <v>0</v>
          </cell>
        </row>
        <row r="70">
          <cell r="J70">
            <v>44884</v>
          </cell>
        </row>
        <row r="71">
          <cell r="J71">
            <v>1473064.0799999996</v>
          </cell>
        </row>
        <row r="72">
          <cell r="J72">
            <v>616666.65999999992</v>
          </cell>
        </row>
        <row r="73">
          <cell r="I73">
            <v>0</v>
          </cell>
          <cell r="J73">
            <v>1021846.92</v>
          </cell>
        </row>
        <row r="74">
          <cell r="I74">
            <v>0</v>
          </cell>
          <cell r="J74">
            <v>1000000</v>
          </cell>
        </row>
        <row r="75">
          <cell r="J75">
            <v>6306103</v>
          </cell>
        </row>
        <row r="76">
          <cell r="J76">
            <v>9013104.4000000004</v>
          </cell>
        </row>
        <row r="77">
          <cell r="J77">
            <v>0</v>
          </cell>
        </row>
        <row r="78">
          <cell r="J78">
            <v>84276.219999999987</v>
          </cell>
        </row>
        <row r="79">
          <cell r="J79">
            <v>64175.19999999999</v>
          </cell>
        </row>
        <row r="80">
          <cell r="J80">
            <v>828718.91</v>
          </cell>
        </row>
        <row r="81">
          <cell r="J81">
            <v>12197.999999999942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170544.03</v>
          </cell>
        </row>
        <row r="85">
          <cell r="J85">
            <v>81070</v>
          </cell>
        </row>
        <row r="86">
          <cell r="J86">
            <v>513645.92000000004</v>
          </cell>
        </row>
        <row r="87">
          <cell r="J87">
            <v>170805</v>
          </cell>
        </row>
        <row r="88">
          <cell r="J88">
            <v>79158.33</v>
          </cell>
        </row>
        <row r="89">
          <cell r="J89">
            <v>28500</v>
          </cell>
        </row>
        <row r="90">
          <cell r="J90">
            <v>369011.7</v>
          </cell>
        </row>
        <row r="91">
          <cell r="J91">
            <v>1100</v>
          </cell>
        </row>
        <row r="92">
          <cell r="J92">
            <v>46201</v>
          </cell>
        </row>
        <row r="93">
          <cell r="J93">
            <v>2000000</v>
          </cell>
        </row>
        <row r="94">
          <cell r="J94">
            <v>200000</v>
          </cell>
        </row>
        <row r="95">
          <cell r="J95">
            <v>2795821.35</v>
          </cell>
        </row>
        <row r="97">
          <cell r="J97">
            <v>169591.33999999968</v>
          </cell>
        </row>
        <row r="98">
          <cell r="J98">
            <v>0</v>
          </cell>
        </row>
        <row r="99">
          <cell r="J99">
            <v>16065789.419999987</v>
          </cell>
        </row>
        <row r="100">
          <cell r="J100">
            <v>55500000</v>
          </cell>
        </row>
        <row r="101">
          <cell r="I101">
            <v>0</v>
          </cell>
          <cell r="J101">
            <v>177086751.78999999</v>
          </cell>
        </row>
        <row r="102">
          <cell r="J102">
            <v>0</v>
          </cell>
        </row>
        <row r="103">
          <cell r="B103" t="str">
            <v>xx</v>
          </cell>
          <cell r="C103">
            <v>2506</v>
          </cell>
          <cell r="D103" t="str">
            <v>กรมสรรพากร</v>
          </cell>
          <cell r="F103">
            <v>1488113.0300000003</v>
          </cell>
          <cell r="G103">
            <v>1488113.03</v>
          </cell>
          <cell r="H103">
            <v>844719.07</v>
          </cell>
          <cell r="J103">
            <v>844719.07000000007</v>
          </cell>
        </row>
        <row r="104">
          <cell r="J104">
            <v>49942397.68</v>
          </cell>
        </row>
        <row r="105">
          <cell r="B105" t="str">
            <v>xx</v>
          </cell>
          <cell r="C105">
            <v>2508</v>
          </cell>
          <cell r="D105" t="str">
            <v>เงินประกันความเสียหาย(สัญญาเช่าซื้อ)</v>
          </cell>
          <cell r="F105">
            <v>3014365.9000000004</v>
          </cell>
          <cell r="G105">
            <v>229906.68</v>
          </cell>
          <cell r="H105">
            <v>467.29</v>
          </cell>
          <cell r="J105">
            <v>2784926.5100000002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81070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3424192</v>
          </cell>
        </row>
        <row r="113">
          <cell r="J113">
            <v>602387.84999999916</v>
          </cell>
        </row>
        <row r="114">
          <cell r="J114">
            <v>0</v>
          </cell>
        </row>
        <row r="115">
          <cell r="J115">
            <v>565000000</v>
          </cell>
        </row>
        <row r="116">
          <cell r="J116">
            <v>14748721.310000001</v>
          </cell>
        </row>
        <row r="117">
          <cell r="J117">
            <v>4500000</v>
          </cell>
        </row>
        <row r="118">
          <cell r="B118" t="str">
            <v>xx</v>
          </cell>
          <cell r="C118">
            <v>3311</v>
          </cell>
          <cell r="D118" t="str">
            <v>เงินปันผลจ่าย</v>
          </cell>
          <cell r="E118">
            <v>0</v>
          </cell>
          <cell r="I118">
            <v>0</v>
          </cell>
        </row>
        <row r="119">
          <cell r="J119">
            <v>114845087.2</v>
          </cell>
        </row>
        <row r="120">
          <cell r="J120">
            <v>205290</v>
          </cell>
        </row>
        <row r="121">
          <cell r="J121">
            <v>111912.15</v>
          </cell>
        </row>
        <row r="122">
          <cell r="J122">
            <v>111218.76</v>
          </cell>
        </row>
        <row r="123">
          <cell r="J123">
            <v>0</v>
          </cell>
        </row>
        <row r="124">
          <cell r="J124">
            <v>2765632.7199999997</v>
          </cell>
        </row>
        <row r="125">
          <cell r="J125">
            <v>0</v>
          </cell>
        </row>
        <row r="126">
          <cell r="J126">
            <v>10690.93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94452.06</v>
          </cell>
        </row>
        <row r="130">
          <cell r="J130">
            <v>795118.19</v>
          </cell>
        </row>
        <row r="131">
          <cell r="J131">
            <v>0</v>
          </cell>
        </row>
        <row r="132">
          <cell r="J132">
            <v>1941859.1099999999</v>
          </cell>
        </row>
        <row r="133">
          <cell r="I133">
            <v>0</v>
          </cell>
        </row>
        <row r="134">
          <cell r="I134">
            <v>0</v>
          </cell>
        </row>
        <row r="135">
          <cell r="I135">
            <v>0</v>
          </cell>
          <cell r="J135">
            <v>0</v>
          </cell>
        </row>
        <row r="136">
          <cell r="I136">
            <v>75947968.419999987</v>
          </cell>
        </row>
        <row r="137">
          <cell r="I137">
            <v>40384.47</v>
          </cell>
        </row>
        <row r="138">
          <cell r="I138">
            <v>0</v>
          </cell>
        </row>
        <row r="139">
          <cell r="I139">
            <v>5575952</v>
          </cell>
        </row>
        <row r="140">
          <cell r="I140">
            <v>195966</v>
          </cell>
        </row>
        <row r="141">
          <cell r="I141">
            <v>508815</v>
          </cell>
        </row>
        <row r="142">
          <cell r="I142">
            <v>22622</v>
          </cell>
        </row>
        <row r="143">
          <cell r="I143">
            <v>0</v>
          </cell>
        </row>
        <row r="144">
          <cell r="I144">
            <v>68850</v>
          </cell>
        </row>
        <row r="145">
          <cell r="I145">
            <v>90096</v>
          </cell>
        </row>
        <row r="146">
          <cell r="I146">
            <v>1029279.92</v>
          </cell>
        </row>
        <row r="147">
          <cell r="I147">
            <v>4828</v>
          </cell>
        </row>
        <row r="148">
          <cell r="I148">
            <v>14397</v>
          </cell>
        </row>
        <row r="149">
          <cell r="I149">
            <v>657440.30000000005</v>
          </cell>
        </row>
        <row r="150">
          <cell r="I150">
            <v>0</v>
          </cell>
        </row>
        <row r="151">
          <cell r="I151">
            <v>616.73</v>
          </cell>
        </row>
        <row r="152">
          <cell r="I152">
            <v>20040</v>
          </cell>
        </row>
        <row r="153">
          <cell r="I153">
            <v>2000000</v>
          </cell>
        </row>
        <row r="154">
          <cell r="I154">
            <v>200000</v>
          </cell>
        </row>
        <row r="155">
          <cell r="I155">
            <v>24000</v>
          </cell>
        </row>
        <row r="156">
          <cell r="I156">
            <v>16000</v>
          </cell>
        </row>
        <row r="157">
          <cell r="I157">
            <v>2795821.35</v>
          </cell>
        </row>
        <row r="158">
          <cell r="I158">
            <v>8720</v>
          </cell>
        </row>
        <row r="159">
          <cell r="I159">
            <v>572370.58000000007</v>
          </cell>
        </row>
        <row r="160">
          <cell r="I160">
            <v>210932.90000000002</v>
          </cell>
        </row>
        <row r="161">
          <cell r="I161">
            <v>8870.34</v>
          </cell>
        </row>
        <row r="162">
          <cell r="I162">
            <v>280519</v>
          </cell>
        </row>
        <row r="163">
          <cell r="I163">
            <v>200935.09</v>
          </cell>
        </row>
        <row r="164">
          <cell r="I164">
            <v>124194.14</v>
          </cell>
        </row>
        <row r="165">
          <cell r="I165">
            <v>15463.04</v>
          </cell>
        </row>
        <row r="166">
          <cell r="I166">
            <v>170779</v>
          </cell>
        </row>
        <row r="167">
          <cell r="I167">
            <v>20914</v>
          </cell>
        </row>
        <row r="168">
          <cell r="I168">
            <v>88253.41</v>
          </cell>
        </row>
        <row r="169">
          <cell r="I169">
            <v>17885.23</v>
          </cell>
        </row>
        <row r="170">
          <cell r="I170">
            <v>708507.26</v>
          </cell>
        </row>
        <row r="171">
          <cell r="I171">
            <v>328218.71000000002</v>
          </cell>
        </row>
        <row r="172">
          <cell r="I172">
            <v>209718.48</v>
          </cell>
        </row>
        <row r="173">
          <cell r="I173">
            <v>0</v>
          </cell>
        </row>
        <row r="174">
          <cell r="I174">
            <v>219808.87</v>
          </cell>
        </row>
        <row r="175">
          <cell r="I175">
            <v>10106.34</v>
          </cell>
        </row>
        <row r="176">
          <cell r="I176">
            <v>215740</v>
          </cell>
        </row>
        <row r="177">
          <cell r="I177">
            <v>186505</v>
          </cell>
        </row>
        <row r="178">
          <cell r="I178">
            <v>0</v>
          </cell>
        </row>
        <row r="179">
          <cell r="I179">
            <v>194850.37</v>
          </cell>
          <cell r="J179">
            <v>0</v>
          </cell>
        </row>
        <row r="180">
          <cell r="I180">
            <v>116666.66</v>
          </cell>
        </row>
        <row r="181">
          <cell r="I181">
            <v>0</v>
          </cell>
          <cell r="J181">
            <v>1771203.1400000001</v>
          </cell>
        </row>
        <row r="182">
          <cell r="I182">
            <v>25840</v>
          </cell>
        </row>
        <row r="183">
          <cell r="I183">
            <v>0</v>
          </cell>
        </row>
        <row r="184">
          <cell r="I184">
            <v>190349</v>
          </cell>
        </row>
        <row r="185">
          <cell r="I185">
            <v>0</v>
          </cell>
        </row>
        <row r="186">
          <cell r="I186">
            <v>110000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97834</v>
          </cell>
        </row>
        <row r="190">
          <cell r="I190">
            <v>0</v>
          </cell>
        </row>
        <row r="191">
          <cell r="I191">
            <v>130.36000000000001</v>
          </cell>
        </row>
        <row r="192">
          <cell r="I192">
            <v>160044</v>
          </cell>
        </row>
        <row r="193">
          <cell r="I193">
            <v>0</v>
          </cell>
          <cell r="J193">
            <v>0</v>
          </cell>
        </row>
        <row r="194">
          <cell r="I194">
            <v>6132860.7199999997</v>
          </cell>
        </row>
        <row r="195">
          <cell r="I195">
            <v>200</v>
          </cell>
        </row>
        <row r="196">
          <cell r="I196">
            <v>134112.14999999991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  <cell r="J200">
            <v>0</v>
          </cell>
        </row>
        <row r="201">
          <cell r="I201">
            <v>8404811.3300000001</v>
          </cell>
          <cell r="J201">
            <v>0</v>
          </cell>
        </row>
        <row r="202">
          <cell r="I202">
            <v>0</v>
          </cell>
        </row>
        <row r="203">
          <cell r="I203">
            <v>1124645082.45</v>
          </cell>
          <cell r="J203">
            <v>1124645082.45</v>
          </cell>
        </row>
        <row r="204">
          <cell r="I204" t="str">
            <v>UNREALIZED P/F ต้นงวด</v>
          </cell>
          <cell r="J204">
            <v>181340096.66999999</v>
          </cell>
        </row>
        <row r="205">
          <cell r="I205" t="str">
            <v>ลูกหนี้หนี้สูญขั้นต้น (1)</v>
          </cell>
          <cell r="J205">
            <v>0</v>
          </cell>
        </row>
        <row r="206">
          <cell r="I206" t="str">
            <v>ลูกหนี้หนี้สูญ W/O VAT (2)</v>
          </cell>
          <cell r="J206">
            <v>0</v>
          </cell>
        </row>
        <row r="207">
          <cell r="I207" t="str">
            <v>UNREALIZED P/F หนี้สูญ</v>
          </cell>
          <cell r="J207">
            <v>0</v>
          </cell>
        </row>
        <row r="208">
          <cell r="I208" t="str">
            <v>UNREALIZED P/F เงินค้างหนี้สูญปีนี้</v>
          </cell>
          <cell r="J208">
            <v>0</v>
          </cell>
        </row>
        <row r="209">
          <cell r="I209" t="str">
            <v>ลูกหนี้ค่าภาษีหนี้สูญปีนี้</v>
          </cell>
          <cell r="J209">
            <v>0</v>
          </cell>
        </row>
        <row r="210">
          <cell r="I210" t="str">
            <v>ภาษีรอเรียกเก็บหนี้สูญปีนี้</v>
          </cell>
          <cell r="J210">
            <v>0</v>
          </cell>
        </row>
        <row r="211">
          <cell r="I211" t="str">
            <v>REALIZED P/F จาก REPORT ปีนี้</v>
          </cell>
          <cell r="J211">
            <v>30208126.23</v>
          </cell>
        </row>
        <row r="212">
          <cell r="I212" t="str">
            <v>R/F เงินค้างปีนี้</v>
          </cell>
          <cell r="J212">
            <v>25347614.470000003</v>
          </cell>
        </row>
        <row r="213">
          <cell r="I213" t="str">
            <v>R/F เงินค้างปีก่อน (สุทธิ)</v>
          </cell>
          <cell r="J213">
            <v>22640665.739999998</v>
          </cell>
        </row>
        <row r="214">
          <cell r="B214" t="str">
            <v>xx</v>
          </cell>
          <cell r="C214">
            <v>9010</v>
          </cell>
          <cell r="D214" t="str">
            <v>ลูกหนี้ค่าภาษีเงินค้างปีนี้</v>
          </cell>
          <cell r="E214" t="str">
            <v/>
          </cell>
          <cell r="G214">
            <v>0</v>
          </cell>
          <cell r="I214" t="str">
            <v>ลูกหนี้ค่าภาษีเงินค้างปีนี้</v>
          </cell>
          <cell r="J214">
            <v>4608766.29</v>
          </cell>
        </row>
        <row r="215">
          <cell r="I215" t="str">
            <v>ลูกหนี้ค่าภาษีเงินค้างปีก่อน</v>
          </cell>
          <cell r="J215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_procedure"/>
      <sheetName val="FS_Mar"/>
      <sheetName val="Trial bal_Mar"/>
      <sheetName val="งบเปรียบเทียบ 3 เดือน"/>
      <sheetName val="คำนวณDefered Tax"/>
      <sheetName val="Trial bal"/>
      <sheetName val="รายละเอียดประกอบBS (page1-5)"/>
      <sheetName val="รายละเอียดประกอบPL (page6-8)"/>
      <sheetName val="งบเปรียบเทียบ&amp;คชจ.ขาย (Page1-6)"/>
      <sheetName val="Sheet1"/>
      <sheetName val="หมายเหตุข่อ 4 (page 11-13)"/>
      <sheetName val="หมายเหตุข่อ 5,6 (page14)"/>
      <sheetName val="หมายเหตุ7(page15-17)"/>
      <sheetName val="หมายเหต8 (page18)"/>
      <sheetName val="หมายเหตุ9-11(page19-22)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บริษัท ธนบรรณ จำกัด  (Tanaban Company Limited)</v>
          </cell>
        </row>
      </sheetData>
      <sheetData sheetId="6"/>
      <sheetData sheetId="7"/>
      <sheetData sheetId="8">
        <row r="237">
          <cell r="B237" t="str">
            <v>เงินเดือนโบนัสและเงินรางวัลพนักงาน</v>
          </cell>
          <cell r="D237" t="str">
            <v>Salary, Bonus and Incentive</v>
          </cell>
          <cell r="H237" t="str">
            <v>9.3.1</v>
          </cell>
          <cell r="L237">
            <v>0</v>
          </cell>
          <cell r="N237">
            <v>0</v>
          </cell>
          <cell r="O237">
            <v>0</v>
          </cell>
        </row>
        <row r="238">
          <cell r="B238" t="str">
            <v>ค่าล่วงเวลาและค่าเบี้ยเลี้ยง</v>
          </cell>
          <cell r="D238" t="str">
            <v>Overtime Expenses</v>
          </cell>
          <cell r="L238">
            <v>84437.5</v>
          </cell>
          <cell r="N238">
            <v>70687.5</v>
          </cell>
          <cell r="O238">
            <v>13750</v>
          </cell>
          <cell r="AA238">
            <v>13750</v>
          </cell>
        </row>
        <row r="239">
          <cell r="B239" t="str">
            <v>เงินชดเชยค่าสึกหรอรถใช้งาน</v>
          </cell>
          <cell r="D239" t="str">
            <v>Other expenses</v>
          </cell>
          <cell r="L239">
            <v>0</v>
          </cell>
          <cell r="N239">
            <v>0</v>
          </cell>
          <cell r="O239">
            <v>0</v>
          </cell>
          <cell r="AA239">
            <v>0</v>
          </cell>
        </row>
        <row r="240">
          <cell r="B240" t="str">
            <v>ค่าสวัสดิการ</v>
          </cell>
          <cell r="D240" t="str">
            <v>Benefits</v>
          </cell>
          <cell r="L240">
            <v>0</v>
          </cell>
          <cell r="N240">
            <v>0</v>
          </cell>
          <cell r="O240">
            <v>0</v>
          </cell>
          <cell r="AA240">
            <v>0</v>
          </cell>
        </row>
        <row r="241">
          <cell r="B241" t="str">
            <v>เงินสมทบประกันสังคม,กองทุนเงินทดแทน,กองทุนสำรองเลี้ยงชีพ</v>
          </cell>
          <cell r="D241" t="str">
            <v>Social security payment, Provident fund</v>
          </cell>
          <cell r="L241">
            <v>0</v>
          </cell>
          <cell r="N241">
            <v>0</v>
          </cell>
          <cell r="O241">
            <v>0</v>
          </cell>
          <cell r="AA241">
            <v>0</v>
          </cell>
        </row>
        <row r="242">
          <cell r="B242" t="str">
            <v>ผลตอบแทนกรรมการ</v>
          </cell>
          <cell r="D242" t="str">
            <v>Directors Remuneration</v>
          </cell>
          <cell r="L242">
            <v>0</v>
          </cell>
          <cell r="N242">
            <v>0</v>
          </cell>
          <cell r="O242">
            <v>0</v>
          </cell>
          <cell r="AA242">
            <v>0</v>
          </cell>
        </row>
        <row r="243">
          <cell r="B243" t="str">
            <v>ผลประโยชน์พนักงาน</v>
          </cell>
          <cell r="D243" t="str">
            <v>Other expenses</v>
          </cell>
          <cell r="L243">
            <v>0</v>
          </cell>
          <cell r="N243">
            <v>0</v>
          </cell>
          <cell r="O243">
            <v>0</v>
          </cell>
          <cell r="AA243">
            <v>0</v>
          </cell>
        </row>
        <row r="244">
          <cell r="B244" t="str">
            <v>ค่าเบี้ยประชุมกรรมการ</v>
          </cell>
          <cell r="D244" t="str">
            <v>Directors Remuneration Expenses</v>
          </cell>
          <cell r="L244">
            <v>896000</v>
          </cell>
          <cell r="N244">
            <v>802000</v>
          </cell>
          <cell r="O244">
            <v>94000</v>
          </cell>
          <cell r="AA244">
            <v>94000</v>
          </cell>
        </row>
        <row r="245">
          <cell r="B245" t="str">
            <v>ค่ารักษาความปลอดภัย</v>
          </cell>
          <cell r="D245" t="str">
            <v>Other expenses</v>
          </cell>
          <cell r="L245">
            <v>0</v>
          </cell>
          <cell r="N245">
            <v>0</v>
          </cell>
          <cell r="O245">
            <v>0</v>
          </cell>
          <cell r="AA245">
            <v>0</v>
          </cell>
        </row>
        <row r="246">
          <cell r="B246" t="str">
            <v>ค่าส่งเสริมการขาย</v>
          </cell>
          <cell r="D246" t="str">
            <v>Sales Promotions Expenses</v>
          </cell>
          <cell r="L246">
            <v>193261.33</v>
          </cell>
          <cell r="N246">
            <v>174061.33</v>
          </cell>
          <cell r="O246">
            <v>19200</v>
          </cell>
          <cell r="AA246">
            <v>19200</v>
          </cell>
        </row>
        <row r="247">
          <cell r="B247" t="str">
            <v>ค่ารับรอง</v>
          </cell>
          <cell r="D247" t="str">
            <v>Entertainment Expenses</v>
          </cell>
          <cell r="L247">
            <v>422727.02</v>
          </cell>
          <cell r="N247">
            <v>331287.02</v>
          </cell>
          <cell r="O247">
            <v>91440</v>
          </cell>
          <cell r="AA247">
            <v>91440</v>
          </cell>
        </row>
        <row r="248">
          <cell r="B248" t="str">
            <v>ค่าของขวัญและของชำร่วย</v>
          </cell>
          <cell r="D248" t="str">
            <v>ค่าของขวัญและของชำร่วย</v>
          </cell>
          <cell r="L248">
            <v>0</v>
          </cell>
          <cell r="N248">
            <v>0</v>
          </cell>
          <cell r="O248">
            <v>0</v>
          </cell>
          <cell r="AA248">
            <v>0</v>
          </cell>
        </row>
        <row r="249">
          <cell r="B249" t="str">
            <v>ค่าใช้จ่ายเกี่ยวกับทะเบียน</v>
          </cell>
          <cell r="D249" t="str">
            <v>Register Fees</v>
          </cell>
          <cell r="L249">
            <v>4888679</v>
          </cell>
          <cell r="N249">
            <v>4182566</v>
          </cell>
          <cell r="O249">
            <v>706113</v>
          </cell>
          <cell r="AA249">
            <v>706113</v>
          </cell>
        </row>
        <row r="250">
          <cell r="B250" t="str">
            <v>ค่าใช้จ่ายเกี่ยวกับรถใช้งาน</v>
          </cell>
          <cell r="D250" t="str">
            <v>Car Expenses</v>
          </cell>
          <cell r="L250">
            <v>12354.34</v>
          </cell>
          <cell r="N250">
            <v>10079.34</v>
          </cell>
          <cell r="O250">
            <v>2275</v>
          </cell>
          <cell r="AA250">
            <v>2275</v>
          </cell>
        </row>
        <row r="251">
          <cell r="B251" t="str">
            <v>ค่าเช่าอาคาร</v>
          </cell>
          <cell r="D251" t="str">
            <v>Office Rental Expenses</v>
          </cell>
          <cell r="L251">
            <v>3369321.76</v>
          </cell>
          <cell r="N251">
            <v>2729001.38</v>
          </cell>
          <cell r="O251">
            <v>640320.37999999989</v>
          </cell>
          <cell r="AA251">
            <v>640320.37999999989</v>
          </cell>
        </row>
        <row r="252">
          <cell r="B252" t="str">
            <v>ค่าบริการรถยนต์เช่า</v>
          </cell>
          <cell r="D252" t="str">
            <v>Car Rental Expenses</v>
          </cell>
          <cell r="L252">
            <v>255801.32</v>
          </cell>
          <cell r="N252">
            <v>221026.32</v>
          </cell>
          <cell r="O252">
            <v>34775</v>
          </cell>
          <cell r="AA252">
            <v>34775</v>
          </cell>
        </row>
        <row r="253">
          <cell r="B253" t="str">
            <v>ค่าเช่าคอมพิวเตอร์</v>
          </cell>
          <cell r="D253" t="str">
            <v>Computer Rental Expenses</v>
          </cell>
          <cell r="L253">
            <v>8329.68</v>
          </cell>
          <cell r="N253">
            <v>8329.68</v>
          </cell>
          <cell r="O253">
            <v>0</v>
          </cell>
          <cell r="AA253">
            <v>0</v>
          </cell>
        </row>
        <row r="254">
          <cell r="B254" t="str">
            <v>ค่าเช่าเครื่องกรองน้ำ</v>
          </cell>
          <cell r="D254" t="str">
            <v>Rental strainer expenses</v>
          </cell>
          <cell r="L254">
            <v>0</v>
          </cell>
          <cell r="N254">
            <v>0</v>
          </cell>
          <cell r="O254">
            <v>0</v>
          </cell>
          <cell r="AA254">
            <v>0</v>
          </cell>
        </row>
        <row r="255">
          <cell r="B255" t="str">
            <v>ค่าเช่าระบบโททัศน์วงจรปิด</v>
          </cell>
          <cell r="D255" t="str">
            <v>Rental CCTV systems expenses</v>
          </cell>
          <cell r="L255">
            <v>0</v>
          </cell>
          <cell r="N255">
            <v>0</v>
          </cell>
          <cell r="O255">
            <v>0</v>
          </cell>
          <cell r="AA255">
            <v>0</v>
          </cell>
        </row>
        <row r="256">
          <cell r="B256" t="str">
            <v>ค่าอากรแสตมป์</v>
          </cell>
          <cell r="D256" t="str">
            <v>Stamp Duty Fees</v>
          </cell>
          <cell r="L256">
            <v>238207</v>
          </cell>
          <cell r="N256">
            <v>202130</v>
          </cell>
          <cell r="O256">
            <v>36077</v>
          </cell>
          <cell r="AA256">
            <v>36077</v>
          </cell>
        </row>
        <row r="257">
          <cell r="B257" t="str">
            <v>ค่าภาษีธุรกิจเฉพาะ</v>
          </cell>
          <cell r="D257" t="str">
            <v>Specific Business Taxes</v>
          </cell>
          <cell r="L257">
            <v>1791026.29</v>
          </cell>
          <cell r="N257">
            <v>1471256.15</v>
          </cell>
          <cell r="O257">
            <v>319770.14000000013</v>
          </cell>
          <cell r="AA257">
            <v>319770.14000000013</v>
          </cell>
        </row>
        <row r="258">
          <cell r="B258" t="str">
            <v>ส่วนลดจ่าย</v>
          </cell>
          <cell r="D258" t="str">
            <v>Discount Expenses</v>
          </cell>
          <cell r="L258">
            <v>1164524.3600000001</v>
          </cell>
          <cell r="N258">
            <v>959478.84000000008</v>
          </cell>
          <cell r="O258">
            <v>205045.52000000002</v>
          </cell>
          <cell r="AA258">
            <v>205045.52000000002</v>
          </cell>
        </row>
        <row r="259">
          <cell r="B259" t="str">
            <v>ค่าไฟฟ้า ค่าน้ำประปา</v>
          </cell>
          <cell r="D259" t="str">
            <v xml:space="preserve">Electricity and Water  </v>
          </cell>
          <cell r="L259">
            <v>496400.39</v>
          </cell>
          <cell r="N259">
            <v>419124.23000000004</v>
          </cell>
          <cell r="O259">
            <v>77276.159999999974</v>
          </cell>
          <cell r="AA259">
            <v>77276.159999999974</v>
          </cell>
        </row>
        <row r="260">
          <cell r="B260" t="str">
            <v>ค่าใช้จ่ายเกี่ยวกับการสื่อสาร</v>
          </cell>
          <cell r="D260" t="str">
            <v>Communication  Expenses</v>
          </cell>
          <cell r="L260">
            <v>2650668.15</v>
          </cell>
          <cell r="N260">
            <v>2308820.7800000003</v>
          </cell>
          <cell r="O260">
            <v>341847.36999999965</v>
          </cell>
          <cell r="AA260">
            <v>341847.36999999965</v>
          </cell>
        </row>
        <row r="261">
          <cell r="B261" t="str">
            <v>ค่าเครื่องเขียนแบบพิมพ์</v>
          </cell>
          <cell r="D261" t="str">
            <v>Stationery Expenses</v>
          </cell>
          <cell r="L261">
            <v>519322.30000000005</v>
          </cell>
          <cell r="N261">
            <v>504956.1</v>
          </cell>
          <cell r="O261">
            <v>14366.20000000007</v>
          </cell>
          <cell r="AA261">
            <v>14366.20000000007</v>
          </cell>
        </row>
        <row r="262">
          <cell r="B262" t="str">
            <v>ค่าบริการเก็บเอกสาร</v>
          </cell>
          <cell r="D262" t="str">
            <v>Filing Service Expenses</v>
          </cell>
          <cell r="L262">
            <v>179342.47</v>
          </cell>
          <cell r="N262">
            <v>155420.47</v>
          </cell>
          <cell r="O262">
            <v>23922</v>
          </cell>
          <cell r="AA262">
            <v>23922</v>
          </cell>
        </row>
        <row r="263">
          <cell r="B263" t="str">
            <v>ค่าเบี้ยประกันภัย</v>
          </cell>
          <cell r="D263" t="str">
            <v>Insurance Premiums Expenses</v>
          </cell>
          <cell r="L263">
            <v>10214.790000000001</v>
          </cell>
          <cell r="N263">
            <v>10214.790000000001</v>
          </cell>
          <cell r="O263">
            <v>0</v>
          </cell>
          <cell r="AA263">
            <v>0</v>
          </cell>
        </row>
        <row r="264">
          <cell r="B264" t="str">
            <v>ค่าธรรมเนียมธนาคารเคาน์เตอร์เซอร์วิส</v>
          </cell>
          <cell r="D264" t="str">
            <v>Counter Service Fees</v>
          </cell>
          <cell r="L264">
            <v>146057.88</v>
          </cell>
          <cell r="N264">
            <v>126279.01</v>
          </cell>
          <cell r="O264">
            <v>19778.87000000001</v>
          </cell>
          <cell r="AA264">
            <v>19778.87000000001</v>
          </cell>
        </row>
        <row r="265">
          <cell r="B265" t="str">
            <v xml:space="preserve">ค่าธรรมเนียมธนาคาร </v>
          </cell>
          <cell r="D265" t="str">
            <v>Bank Service Fees</v>
          </cell>
          <cell r="L265">
            <v>93868.519999999902</v>
          </cell>
          <cell r="N265">
            <v>79368.519999999902</v>
          </cell>
          <cell r="O265">
            <v>14500</v>
          </cell>
          <cell r="AA265">
            <v>14500</v>
          </cell>
        </row>
        <row r="266">
          <cell r="B266" t="str">
            <v>ต่าธรรมเนียม ธนาคารไทยเครดิต ATM</v>
          </cell>
          <cell r="D266" t="str">
            <v>ATM Service Fees</v>
          </cell>
          <cell r="L266">
            <v>379479.03999999998</v>
          </cell>
          <cell r="N266">
            <v>341528.9</v>
          </cell>
          <cell r="O266">
            <v>37950.139999999956</v>
          </cell>
          <cell r="AA266">
            <v>37950.139999999956</v>
          </cell>
        </row>
        <row r="267">
          <cell r="B267" t="str">
            <v>ค่าธรรมเนียมธนาคารอื่น</v>
          </cell>
          <cell r="D267" t="str">
            <v>Bank Service Fees-others</v>
          </cell>
          <cell r="L267">
            <v>15233</v>
          </cell>
          <cell r="N267">
            <v>12373</v>
          </cell>
          <cell r="O267">
            <v>2860</v>
          </cell>
          <cell r="AA267">
            <v>2860</v>
          </cell>
        </row>
        <row r="268">
          <cell r="B268" t="str">
            <v>ค่าสาธารณูประโภค</v>
          </cell>
          <cell r="D268" t="str">
            <v>Utilities</v>
          </cell>
          <cell r="L268">
            <v>166643.79999999993</v>
          </cell>
          <cell r="N268">
            <v>142201.24</v>
          </cell>
          <cell r="O268">
            <v>24442.559999999939</v>
          </cell>
          <cell r="AA268">
            <v>24442.559999999939</v>
          </cell>
        </row>
        <row r="269">
          <cell r="B269" t="str">
            <v>ค่าใช้จ่ายสำนักงาน</v>
          </cell>
          <cell r="D269" t="str">
            <v>Office Expenses</v>
          </cell>
          <cell r="L269">
            <v>338630.84</v>
          </cell>
          <cell r="N269">
            <v>274005.25</v>
          </cell>
          <cell r="O269">
            <v>64625.590000000026</v>
          </cell>
          <cell r="AA269">
            <v>64625.590000000026</v>
          </cell>
        </row>
        <row r="270">
          <cell r="B270" t="str">
            <v>ค่าตอบแทนสิทธิการเช่า</v>
          </cell>
          <cell r="D270" t="str">
            <v>Leasehold Remuneration</v>
          </cell>
          <cell r="L270">
            <v>18000</v>
          </cell>
          <cell r="N270">
            <v>12000</v>
          </cell>
          <cell r="O270">
            <v>6000</v>
          </cell>
          <cell r="AA270">
            <v>6000</v>
          </cell>
        </row>
        <row r="271">
          <cell r="B271" t="str">
            <v>ค่าใช้จ่ายดำเนินคดี</v>
          </cell>
          <cell r="D271" t="str">
            <v>Litigation Expenses</v>
          </cell>
          <cell r="L271">
            <v>0</v>
          </cell>
          <cell r="N271">
            <v>0</v>
          </cell>
          <cell r="O271">
            <v>0</v>
          </cell>
          <cell r="AA271">
            <v>0</v>
          </cell>
        </row>
        <row r="272">
          <cell r="B272" t="str">
            <v>ค่าใช้จ่ายเพื่อการศึกษา</v>
          </cell>
          <cell r="L272">
            <v>0</v>
          </cell>
          <cell r="N272">
            <v>0</v>
          </cell>
          <cell r="O272">
            <v>0</v>
          </cell>
          <cell r="AA272">
            <v>0</v>
          </cell>
        </row>
        <row r="273">
          <cell r="B273" t="str">
            <v>ค่าใช้จ่ายเบ็ดเตล็ด</v>
          </cell>
          <cell r="D273" t="str">
            <v>Miscellaneous Expenses</v>
          </cell>
          <cell r="H273" t="str">
            <v xml:space="preserve"> </v>
          </cell>
          <cell r="L273">
            <v>199620.91</v>
          </cell>
          <cell r="N273">
            <v>169278.64</v>
          </cell>
          <cell r="O273">
            <v>30342.26999999999</v>
          </cell>
          <cell r="AA273">
            <v>30342.26999999999</v>
          </cell>
        </row>
        <row r="274">
          <cell r="B274" t="str">
            <v>ค่าฝึกอบรม</v>
          </cell>
          <cell r="D274" t="str">
            <v>Training Expenses</v>
          </cell>
          <cell r="L274">
            <v>0</v>
          </cell>
          <cell r="N274">
            <v>0</v>
          </cell>
          <cell r="O274">
            <v>0</v>
          </cell>
          <cell r="AA274">
            <v>0</v>
          </cell>
        </row>
        <row r="275">
          <cell r="B275" t="str">
            <v>ค่าใช้จ่ายเกี่ยวกับคอมพิวเตอร์</v>
          </cell>
          <cell r="D275" t="str">
            <v>Computer Expenses</v>
          </cell>
          <cell r="L275">
            <v>113187.25</v>
          </cell>
          <cell r="N275">
            <v>103499.65</v>
          </cell>
          <cell r="O275">
            <v>9687.6000000000058</v>
          </cell>
          <cell r="AA275">
            <v>9687.6000000000058</v>
          </cell>
        </row>
        <row r="276">
          <cell r="B276" t="str">
            <v>ค่าสอบบัญชี</v>
          </cell>
          <cell r="D276" t="str">
            <v>Audit Fees</v>
          </cell>
          <cell r="L276">
            <v>641666.66</v>
          </cell>
          <cell r="N276">
            <v>550000</v>
          </cell>
          <cell r="O276">
            <v>91666.660000000033</v>
          </cell>
          <cell r="AA276">
            <v>91666.660000000033</v>
          </cell>
        </row>
        <row r="277">
          <cell r="B277" t="str">
            <v>ค่าภาษีโรงเรือนและภาษีป้าย</v>
          </cell>
          <cell r="D277" t="str">
            <v>Property and Signboard Taxes</v>
          </cell>
          <cell r="L277">
            <v>537352.56999999995</v>
          </cell>
          <cell r="N277">
            <v>533869.14</v>
          </cell>
          <cell r="O277">
            <v>3483.4299999999348</v>
          </cell>
          <cell r="AA277">
            <v>3483.4299999999348</v>
          </cell>
        </row>
        <row r="278">
          <cell r="B278" t="str">
            <v>ค่าซ่อมแซมและบำรุงรักษา</v>
          </cell>
          <cell r="D278" t="str">
            <v>Repairs &amp; Maintenance Expenses</v>
          </cell>
          <cell r="L278">
            <v>84936.2</v>
          </cell>
          <cell r="N278">
            <v>84686.2</v>
          </cell>
          <cell r="O278">
            <v>250</v>
          </cell>
          <cell r="AA278">
            <v>250</v>
          </cell>
        </row>
        <row r="279">
          <cell r="B279" t="str">
            <v>ผลขาดทุนจากการด้อยค่าของสินทรัพย์ถาวร</v>
          </cell>
          <cell r="D279" t="str">
            <v>Impairment FA</v>
          </cell>
          <cell r="L279">
            <v>0</v>
          </cell>
          <cell r="N279">
            <v>0</v>
          </cell>
          <cell r="O279">
            <v>0</v>
          </cell>
          <cell r="AA279">
            <v>0</v>
          </cell>
        </row>
        <row r="280">
          <cell r="B280" t="str">
            <v>ค่าการกุศล</v>
          </cell>
          <cell r="D280" t="str">
            <v>Donations</v>
          </cell>
          <cell r="L280">
            <v>0</v>
          </cell>
          <cell r="N280">
            <v>0</v>
          </cell>
          <cell r="O280">
            <v>0</v>
          </cell>
          <cell r="AA280">
            <v>0</v>
          </cell>
        </row>
        <row r="281">
          <cell r="B281" t="str">
            <v>ค่าโฆษณา</v>
          </cell>
          <cell r="D281" t="str">
            <v>Advertising Expenses</v>
          </cell>
          <cell r="L281">
            <v>428752.43</v>
          </cell>
          <cell r="N281">
            <v>341458.39</v>
          </cell>
          <cell r="O281">
            <v>87294.039999999979</v>
          </cell>
          <cell r="AA281">
            <v>87294.039999999979</v>
          </cell>
        </row>
        <row r="282">
          <cell r="B282" t="str">
            <v>ค่าบำรุงสมาคม</v>
          </cell>
          <cell r="D282" t="str">
            <v>Membership fee</v>
          </cell>
          <cell r="L282">
            <v>0</v>
          </cell>
          <cell r="N282">
            <v>0</v>
          </cell>
          <cell r="O282">
            <v>0</v>
          </cell>
          <cell r="AA282">
            <v>0</v>
          </cell>
        </row>
        <row r="283">
          <cell r="B283" t="str">
            <v>ขาดทุนจากการขายและจำหน่ายทรัพย์สิน</v>
          </cell>
          <cell r="D283" t="str">
            <v xml:space="preserve">Loss on Disposals &amp; FA Write-off </v>
          </cell>
          <cell r="L283">
            <v>0</v>
          </cell>
          <cell r="N283">
            <v>0</v>
          </cell>
          <cell r="O283">
            <v>0</v>
          </cell>
          <cell r="AA283">
            <v>0</v>
          </cell>
        </row>
        <row r="284">
          <cell r="B284" t="str">
            <v>ค่าใช้จ่ายในการติดตามเร่งรัดหนี้สิน</v>
          </cell>
          <cell r="D284" t="str">
            <v>Accelerated Credit Collection Expenses</v>
          </cell>
          <cell r="L284">
            <v>1684135.55</v>
          </cell>
          <cell r="N284">
            <v>1531708.56</v>
          </cell>
          <cell r="O284">
            <v>152426.99</v>
          </cell>
          <cell r="AA284">
            <v>152426.99</v>
          </cell>
        </row>
        <row r="285">
          <cell r="B285" t="str">
            <v>ค่าชดใช้ค่าเสียหาย</v>
          </cell>
          <cell r="D285" t="str">
            <v>Indemnity Fees</v>
          </cell>
          <cell r="L285">
            <v>0</v>
          </cell>
          <cell r="N285">
            <v>0</v>
          </cell>
          <cell r="O285">
            <v>0</v>
          </cell>
          <cell r="AA285">
            <v>0</v>
          </cell>
        </row>
        <row r="286">
          <cell r="B286" t="str">
            <v>เบี้ยปรับและเงินเพิ่ม</v>
          </cell>
          <cell r="D286" t="str">
            <v>Penalty Fees &amp; Surcharges</v>
          </cell>
          <cell r="L286">
            <v>29443.919999999998</v>
          </cell>
          <cell r="N286">
            <v>29443.919999999998</v>
          </cell>
          <cell r="O286">
            <v>0</v>
          </cell>
          <cell r="AA286">
            <v>0</v>
          </cell>
        </row>
        <row r="287">
          <cell r="B287" t="str">
            <v>ค่าใช้จ่ายภาษีซื้อไม่ขอคืน</v>
          </cell>
          <cell r="D287" t="str">
            <v>Non-Refundable Input VAT</v>
          </cell>
          <cell r="L287">
            <v>1679639.34</v>
          </cell>
          <cell r="N287">
            <v>1478256.46</v>
          </cell>
          <cell r="O287">
            <v>201382.88000000012</v>
          </cell>
          <cell r="AA287">
            <v>201382.88000000012</v>
          </cell>
        </row>
        <row r="288">
          <cell r="B288" t="str">
            <v>ค่าใช้จ่ายภาษีซื้อไม่ขอคืน</v>
          </cell>
          <cell r="D288" t="str">
            <v>Non-Refundable Input VAT (GL)</v>
          </cell>
          <cell r="L288">
            <v>63000</v>
          </cell>
          <cell r="N288">
            <v>0</v>
          </cell>
          <cell r="O288">
            <v>63000</v>
          </cell>
          <cell r="AA288">
            <v>63000</v>
          </cell>
        </row>
        <row r="289">
          <cell r="B289" t="str">
            <v>ค่าที่ปรึกษา บจกไทยประกันชีวิต</v>
          </cell>
          <cell r="L289">
            <v>0</v>
          </cell>
          <cell r="N289">
            <v>0</v>
          </cell>
          <cell r="O289">
            <v>0</v>
          </cell>
          <cell r="AA289">
            <v>0</v>
          </cell>
        </row>
        <row r="290">
          <cell r="B290" t="str">
            <v>ค่าจ้างงานสนับสนุนและบริการอื่นจากTCRB</v>
          </cell>
          <cell r="D290" t="str">
            <v>Support and Other Services From TCRB</v>
          </cell>
          <cell r="L290">
            <v>0</v>
          </cell>
          <cell r="N290">
            <v>0</v>
          </cell>
          <cell r="O290">
            <v>0</v>
          </cell>
          <cell r="AA290">
            <v>0</v>
          </cell>
        </row>
        <row r="291">
          <cell r="B291" t="str">
            <v>ค่าจ้างงานสนับสนุนและบริการอื่นจาก GLH</v>
          </cell>
          <cell r="D291" t="str">
            <v>Management &amp; Other Services Fees - GLH</v>
          </cell>
          <cell r="L291">
            <v>7000000</v>
          </cell>
          <cell r="N291">
            <v>6000000</v>
          </cell>
          <cell r="O291">
            <v>1000000</v>
          </cell>
          <cell r="AA291">
            <v>1000000</v>
          </cell>
        </row>
        <row r="292">
          <cell r="B292" t="str">
            <v>ค่าบริการด้านรถยึด GL</v>
          </cell>
          <cell r="D292" t="str">
            <v>Repossession Service Fees - GL</v>
          </cell>
          <cell r="L292">
            <v>914531</v>
          </cell>
          <cell r="N292">
            <v>814131</v>
          </cell>
          <cell r="O292">
            <v>100400</v>
          </cell>
          <cell r="AA292">
            <v>100400</v>
          </cell>
        </row>
        <row r="293">
          <cell r="B293" t="str">
            <v>ค่าจ้างบริหารงานและบริการอื่นจาก GL</v>
          </cell>
          <cell r="D293" t="str">
            <v>Management &amp; Other Services Fees- GL</v>
          </cell>
          <cell r="L293">
            <v>54962149.18</v>
          </cell>
          <cell r="N293">
            <v>47264952.920000002</v>
          </cell>
          <cell r="O293">
            <v>7697196.2599999979</v>
          </cell>
          <cell r="AA293">
            <v>7697196.2599999979</v>
          </cell>
        </row>
        <row r="294">
          <cell r="B294" t="str">
            <v>ค่าบริการด้านระบบงานคอมพิวเตอร์จาก TCRB</v>
          </cell>
          <cell r="D294" t="str">
            <v>IT service fee - TCRB</v>
          </cell>
          <cell r="L294">
            <v>50960.4</v>
          </cell>
          <cell r="N294">
            <v>6000</v>
          </cell>
          <cell r="O294">
            <v>44960.4</v>
          </cell>
          <cell r="AA294">
            <v>44960.4</v>
          </cell>
        </row>
        <row r="295">
          <cell r="B295" t="str">
            <v>ค่าสมาชิก NCB</v>
          </cell>
          <cell r="D295" t="str">
            <v>NCB Membership Fees</v>
          </cell>
          <cell r="L295">
            <v>376184.81</v>
          </cell>
          <cell r="N295">
            <v>322818.81</v>
          </cell>
          <cell r="O295">
            <v>53366</v>
          </cell>
          <cell r="AA295">
            <v>53366</v>
          </cell>
        </row>
        <row r="296">
          <cell r="B296" t="str">
            <v>ค่าบริการสืบค้นข้อมูล NCB</v>
          </cell>
          <cell r="D296" t="str">
            <v>NCB Searching Fees</v>
          </cell>
          <cell r="L296">
            <v>198965.56</v>
          </cell>
          <cell r="N296">
            <v>165486.39999999999</v>
          </cell>
          <cell r="O296">
            <v>33479.160000000003</v>
          </cell>
          <cell r="AA296">
            <v>33479.160000000003</v>
          </cell>
        </row>
        <row r="297">
          <cell r="B297" t="str">
            <v>ค่าการขายโอนสิทธิเรียกร้องJMTคืนTCRB</v>
          </cell>
          <cell r="D297" t="str">
            <v>Repayment to TCRB (related to JMT)</v>
          </cell>
          <cell r="L297">
            <v>0</v>
          </cell>
          <cell r="N297">
            <v>0</v>
          </cell>
          <cell r="O297">
            <v>0</v>
          </cell>
          <cell r="AA297">
            <v>0</v>
          </cell>
        </row>
        <row r="298">
          <cell r="B298" t="str">
            <v>ภาษีต้องห้าม</v>
          </cell>
          <cell r="D298" t="str">
            <v>Prohibited Taxes</v>
          </cell>
          <cell r="L298">
            <v>21328</v>
          </cell>
          <cell r="N298">
            <v>17178.810000000001</v>
          </cell>
          <cell r="O298">
            <v>4149.1899999999987</v>
          </cell>
          <cell r="AA298">
            <v>4149.1899999999987</v>
          </cell>
        </row>
        <row r="299">
          <cell r="B299" t="str">
            <v>รวมค่าใช้จ่ายในการบริการและบริหารก่อนค่าที่ปรึกษา ค่าเสื่อมราคาและค่าตัดจำหน่าย</v>
          </cell>
          <cell r="D299" t="str">
            <v>Total Expenses Before Depreciation</v>
          </cell>
          <cell r="L299">
            <v>87324384.560000002</v>
          </cell>
          <cell r="M299">
            <v>0</v>
          </cell>
          <cell r="N299">
            <v>74960964.750000015</v>
          </cell>
          <cell r="O299">
            <v>12363419.809999999</v>
          </cell>
          <cell r="P299">
            <v>0</v>
          </cell>
          <cell r="AA299">
            <v>12363419.809999999</v>
          </cell>
        </row>
        <row r="300">
          <cell r="B300" t="str">
            <v>ค่าเสื่อมราคา</v>
          </cell>
          <cell r="D300" t="str">
            <v>Depreciation</v>
          </cell>
          <cell r="H300" t="str">
            <v xml:space="preserve"> </v>
          </cell>
          <cell r="L300">
            <v>2281730.65</v>
          </cell>
          <cell r="N300">
            <v>1974996.3400000003</v>
          </cell>
          <cell r="O300">
            <v>306734.30999999959</v>
          </cell>
          <cell r="AA300">
            <v>306734.30999999959</v>
          </cell>
        </row>
        <row r="301">
          <cell r="B301" t="str">
            <v>ค่าเสื่อมราคาสินทรัพย์ไม่มีตัวตน</v>
          </cell>
          <cell r="D301" t="str">
            <v>Amotization Intangible Assets</v>
          </cell>
          <cell r="L301">
            <v>267039.59999999998</v>
          </cell>
          <cell r="N301">
            <v>227945.75999999998</v>
          </cell>
          <cell r="O301">
            <v>39093.839999999997</v>
          </cell>
          <cell r="AA301">
            <v>39093.839999999997</v>
          </cell>
        </row>
        <row r="302">
          <cell r="B302" t="str">
            <v>ค่าที่ปรึกษา บจ. วี ไอ เอส แอสโซซิเอท</v>
          </cell>
          <cell r="D302" t="str">
            <v>ค่าที่ปรึกษา บจ. วี ไอ เอส แอสโซซิเอท</v>
          </cell>
          <cell r="G302">
            <v>11</v>
          </cell>
          <cell r="L302">
            <v>0</v>
          </cell>
          <cell r="N302">
            <v>0</v>
          </cell>
          <cell r="O302">
            <v>0</v>
          </cell>
          <cell r="AA30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_procedure"/>
      <sheetName val="FS_Mar"/>
      <sheetName val="Trial bal_Mar"/>
      <sheetName val="งบเปรียบเทียบ 3 เดือน"/>
      <sheetName val="คำนวณDefered Tax"/>
      <sheetName val="Trial bal"/>
      <sheetName val="รายละเอียดประกอบBS (page1-5)"/>
      <sheetName val="รายละเอียดประกอบPL (page6-8)"/>
      <sheetName val="งบเปรียบเทียบ&amp;คชจ.ขาย (Page1-6)"/>
      <sheetName val="Sheet1"/>
      <sheetName val="หมายเหตุข่อ 4 (page 11-13)"/>
      <sheetName val="หมายเหตุข่อ 5,6 (page14)"/>
      <sheetName val="หมายเหตุ7(page15-17)"/>
      <sheetName val="หมายเหต8 (page18)"/>
      <sheetName val="หมายเหตุ9-11(page19-22)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92">
          <cell r="O292">
            <v>8173037.3800000027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ACCT"/>
      <sheetName val="Sheet1"/>
      <sheetName val="Sheet2"/>
    </sheetNames>
    <sheetDataSet>
      <sheetData sheetId="0" refreshError="1"/>
      <sheetData sheetId="1" refreshError="1"/>
      <sheetData sheetId="2" refreshError="1">
        <row r="11">
          <cell r="B11" t="str">
            <v>xx</v>
          </cell>
          <cell r="C11">
            <v>1200</v>
          </cell>
          <cell r="D11" t="str">
            <v>ลูกหนี้สินค้ารถยึด</v>
          </cell>
          <cell r="E11">
            <v>3754961</v>
          </cell>
          <cell r="G11">
            <v>24857699</v>
          </cell>
          <cell r="H11">
            <v>25538049</v>
          </cell>
          <cell r="I11">
            <v>3074611</v>
          </cell>
        </row>
        <row r="12">
          <cell r="B12" t="str">
            <v>xx</v>
          </cell>
          <cell r="C12">
            <v>1201</v>
          </cell>
          <cell r="D12" t="str">
            <v>ลูกหนี้เช่าซื้อ</v>
          </cell>
          <cell r="E12">
            <v>832148858</v>
          </cell>
          <cell r="G12">
            <v>212726440</v>
          </cell>
          <cell r="H12">
            <v>209873999</v>
          </cell>
          <cell r="I12">
            <v>835001299</v>
          </cell>
        </row>
        <row r="14">
          <cell r="B14" t="str">
            <v>xx</v>
          </cell>
          <cell r="C14">
            <v>1204</v>
          </cell>
          <cell r="D14" t="str">
            <v>ลูกหนี้ค่าภาษี</v>
          </cell>
          <cell r="E14">
            <v>0</v>
          </cell>
          <cell r="G14">
            <v>407855.47</v>
          </cell>
          <cell r="H14">
            <v>407855.47</v>
          </cell>
          <cell r="I14">
            <v>0</v>
          </cell>
        </row>
        <row r="15">
          <cell r="B15" t="str">
            <v>xx</v>
          </cell>
          <cell r="C15">
            <v>1205</v>
          </cell>
          <cell r="D15" t="str">
            <v>ลูกหนี้อื่น</v>
          </cell>
          <cell r="E15">
            <v>0</v>
          </cell>
          <cell r="G15">
            <v>2050000</v>
          </cell>
          <cell r="H15">
            <v>2050000</v>
          </cell>
          <cell r="I15">
            <v>0</v>
          </cell>
        </row>
        <row r="16">
          <cell r="B16" t="str">
            <v>xx</v>
          </cell>
          <cell r="C16" t="str">
            <v>1206</v>
          </cell>
          <cell r="D16" t="str">
            <v>ค่าเผื่อขาดทุนจากการตีราคาทรัพย์สินรอการขาย</v>
          </cell>
          <cell r="E16" t="str">
            <v xml:space="preserve"> </v>
          </cell>
          <cell r="F16">
            <v>1711237.9</v>
          </cell>
          <cell r="G16">
            <v>1711237.9</v>
          </cell>
          <cell r="H16">
            <v>1428678.76</v>
          </cell>
          <cell r="I16" t="str">
            <v xml:space="preserve"> </v>
          </cell>
          <cell r="J16">
            <v>1428678.7600000002</v>
          </cell>
        </row>
        <row r="19">
          <cell r="J19">
            <v>61888532.139999986</v>
          </cell>
        </row>
        <row r="20">
          <cell r="J20">
            <v>0</v>
          </cell>
        </row>
        <row r="24">
          <cell r="B24" t="str">
            <v>xx</v>
          </cell>
          <cell r="C24">
            <v>1600</v>
          </cell>
          <cell r="D24" t="str">
            <v>เงินทดรองพนักงาน</v>
          </cell>
          <cell r="E24">
            <v>22087</v>
          </cell>
          <cell r="G24">
            <v>194661</v>
          </cell>
          <cell r="H24">
            <v>192661</v>
          </cell>
          <cell r="I24">
            <v>24087</v>
          </cell>
        </row>
        <row r="25">
          <cell r="B25" t="str">
            <v>xx</v>
          </cell>
          <cell r="C25">
            <v>1601</v>
          </cell>
          <cell r="D25" t="str">
            <v>ลูกหนี้ค่าหุ้นค้างชำระ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</row>
        <row r="27">
          <cell r="B27" t="str">
            <v>xx</v>
          </cell>
          <cell r="C27">
            <v>1604</v>
          </cell>
          <cell r="D27" t="str">
            <v>ดอกเบี้ยค้างรับ ตั๋วสัญญาใช้เงิน</v>
          </cell>
          <cell r="E27">
            <v>25205.48</v>
          </cell>
          <cell r="G27">
            <v>85198.63</v>
          </cell>
          <cell r="H27">
            <v>25205.48</v>
          </cell>
          <cell r="I27">
            <v>85198.63</v>
          </cell>
        </row>
        <row r="29">
          <cell r="B29" t="str">
            <v>xx</v>
          </cell>
          <cell r="C29">
            <v>1800</v>
          </cell>
          <cell r="D29" t="str">
            <v>ที่ดิน</v>
          </cell>
          <cell r="E29">
            <v>2915760</v>
          </cell>
          <cell r="G29">
            <v>0</v>
          </cell>
          <cell r="H29">
            <v>0</v>
          </cell>
          <cell r="I29">
            <v>2915760</v>
          </cell>
        </row>
        <row r="30">
          <cell r="B30" t="str">
            <v>xx</v>
          </cell>
          <cell r="C30">
            <v>1820</v>
          </cell>
          <cell r="D30" t="str">
            <v>อาคาร</v>
          </cell>
          <cell r="E30">
            <v>2055525.59</v>
          </cell>
          <cell r="G30">
            <v>0</v>
          </cell>
          <cell r="H30">
            <v>100421.39000000001</v>
          </cell>
          <cell r="I30">
            <v>1955104.2000000002</v>
          </cell>
        </row>
        <row r="31">
          <cell r="B31" t="str">
            <v>xx</v>
          </cell>
          <cell r="C31">
            <v>1821</v>
          </cell>
          <cell r="D31" t="str">
            <v>ค่าบูรณะอาคารเช่า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</row>
        <row r="39">
          <cell r="B39" t="str">
            <v>xx</v>
          </cell>
          <cell r="C39">
            <v>1901</v>
          </cell>
          <cell r="D39" t="str">
            <v>เงินมัดจำจ่าย</v>
          </cell>
          <cell r="E39">
            <v>909413.4</v>
          </cell>
          <cell r="G39">
            <v>0</v>
          </cell>
          <cell r="H39">
            <v>0</v>
          </cell>
          <cell r="I39">
            <v>909413.4</v>
          </cell>
        </row>
        <row r="42">
          <cell r="J42">
            <v>0</v>
          </cell>
        </row>
        <row r="43">
          <cell r="J43">
            <v>306171.4699998498</v>
          </cell>
        </row>
        <row r="44">
          <cell r="J44">
            <v>0</v>
          </cell>
        </row>
        <row r="45">
          <cell r="J45">
            <v>534183.4500000173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2">
          <cell r="J52">
            <v>709634.25999997742</v>
          </cell>
        </row>
        <row r="55">
          <cell r="J55">
            <v>0</v>
          </cell>
        </row>
        <row r="56">
          <cell r="J56">
            <v>15364.940000000002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B60" t="str">
            <v>xx</v>
          </cell>
          <cell r="C60" t="str">
            <v>2052</v>
          </cell>
          <cell r="D60" t="str">
            <v>อุปกรณ์ไฟฟ้าค้างจ่าย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B61" t="str">
            <v>xx</v>
          </cell>
          <cell r="C61">
            <v>2053</v>
          </cell>
          <cell r="D61" t="str">
            <v>เจ้าหนี้การค้า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J62">
            <v>0</v>
          </cell>
        </row>
        <row r="63">
          <cell r="J63">
            <v>90767.15</v>
          </cell>
        </row>
        <row r="64">
          <cell r="B64" t="str">
            <v>xx</v>
          </cell>
          <cell r="C64">
            <v>2055</v>
          </cell>
          <cell r="D64" t="str">
            <v>เจ้าหนี้ค่าเปลี่ยนแปลงสัญญา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J65">
            <v>0</v>
          </cell>
        </row>
        <row r="66">
          <cell r="B66" t="str">
            <v>xx</v>
          </cell>
          <cell r="C66">
            <v>2200</v>
          </cell>
          <cell r="D66" t="str">
            <v>เงินรางวัลแผนกสินเชื่อ ฯ ค้างจ่าย</v>
          </cell>
          <cell r="F66">
            <v>102735</v>
          </cell>
          <cell r="G66">
            <v>298701</v>
          </cell>
          <cell r="H66">
            <v>317680</v>
          </cell>
          <cell r="J66">
            <v>121714</v>
          </cell>
        </row>
        <row r="67">
          <cell r="B67" t="str">
            <v>xx</v>
          </cell>
          <cell r="C67">
            <v>2201</v>
          </cell>
          <cell r="D67" t="str">
            <v>เงินรางวัลติดตาม ฯ ค้างจ่าย</v>
          </cell>
          <cell r="F67">
            <v>191760</v>
          </cell>
          <cell r="G67">
            <v>700575</v>
          </cell>
          <cell r="H67">
            <v>863328</v>
          </cell>
          <cell r="J67">
            <v>354513</v>
          </cell>
        </row>
        <row r="68">
          <cell r="B68" t="str">
            <v>xx</v>
          </cell>
          <cell r="C68">
            <v>2202</v>
          </cell>
          <cell r="D68" t="str">
            <v>เงินรางวัลแผนกเร่งรัด ฯ ค้างจ่าย</v>
          </cell>
          <cell r="F68">
            <v>8600</v>
          </cell>
          <cell r="G68">
            <v>31222</v>
          </cell>
          <cell r="H68">
            <v>46161</v>
          </cell>
          <cell r="J68">
            <v>23539</v>
          </cell>
        </row>
        <row r="69">
          <cell r="B69" t="str">
            <v>xx</v>
          </cell>
          <cell r="C69">
            <v>2203</v>
          </cell>
          <cell r="D69" t="str">
            <v>เงินรางวัลแผนกนิติการค้างจ่าย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B70" t="str">
            <v>xx</v>
          </cell>
          <cell r="C70">
            <v>2204</v>
          </cell>
          <cell r="D70" t="str">
            <v>ค่าล่วงเวลาและเบี้ยเลี้ยงค้างจ่าย</v>
          </cell>
          <cell r="F70">
            <v>90027</v>
          </cell>
          <cell r="G70">
            <v>142677</v>
          </cell>
          <cell r="H70">
            <v>82209</v>
          </cell>
          <cell r="J70">
            <v>29559</v>
          </cell>
        </row>
        <row r="71">
          <cell r="B71" t="str">
            <v>xx</v>
          </cell>
          <cell r="C71">
            <v>2205</v>
          </cell>
          <cell r="D71" t="str">
            <v>ค่าส่งเสริมการขายค้างจ่าย</v>
          </cell>
          <cell r="F71">
            <v>2907085.12</v>
          </cell>
          <cell r="G71">
            <v>6334299.0800000001</v>
          </cell>
          <cell r="H71">
            <v>4427568.1500000004</v>
          </cell>
          <cell r="J71">
            <v>1000354.1900000004</v>
          </cell>
        </row>
        <row r="72">
          <cell r="B72" t="str">
            <v>xx</v>
          </cell>
          <cell r="C72">
            <v>2206</v>
          </cell>
          <cell r="D72" t="str">
            <v>ค่าสอบบัญชีค้างจ่าย</v>
          </cell>
          <cell r="F72">
            <v>500000</v>
          </cell>
          <cell r="G72">
            <v>0</v>
          </cell>
          <cell r="H72">
            <v>174999.99</v>
          </cell>
          <cell r="J72">
            <v>674999.99</v>
          </cell>
        </row>
        <row r="73">
          <cell r="J73">
            <v>1525337.38</v>
          </cell>
        </row>
        <row r="74">
          <cell r="J74">
            <v>0</v>
          </cell>
        </row>
        <row r="75">
          <cell r="B75" t="str">
            <v>xx</v>
          </cell>
          <cell r="C75" t="str">
            <v>2208</v>
          </cell>
          <cell r="D75" t="str">
            <v>ค่าใช้จ่ายเกี่ยวกับทะเบียนค้างจ่าย</v>
          </cell>
          <cell r="F75">
            <v>6314046</v>
          </cell>
          <cell r="G75">
            <v>465045</v>
          </cell>
          <cell r="H75">
            <v>122079</v>
          </cell>
          <cell r="J75">
            <v>5971080</v>
          </cell>
        </row>
        <row r="76">
          <cell r="J76">
            <v>9013104.4000000004</v>
          </cell>
        </row>
        <row r="77">
          <cell r="J77">
            <v>0</v>
          </cell>
        </row>
        <row r="78">
          <cell r="B78" t="str">
            <v>xx</v>
          </cell>
          <cell r="C78">
            <v>2211</v>
          </cell>
          <cell r="D78" t="str">
            <v>ค่าไฟฟ้า,น้ำประปาค้างจ่าย</v>
          </cell>
          <cell r="F78">
            <v>44301.84</v>
          </cell>
          <cell r="G78">
            <v>219062.80000000002</v>
          </cell>
          <cell r="H78">
            <v>264081.39</v>
          </cell>
          <cell r="J78">
            <v>89320.429999999964</v>
          </cell>
        </row>
        <row r="79">
          <cell r="J79">
            <v>157294.22</v>
          </cell>
        </row>
        <row r="80">
          <cell r="B80" t="str">
            <v>xx</v>
          </cell>
          <cell r="C80">
            <v>2213</v>
          </cell>
          <cell r="D80" t="str">
            <v>ค่าเบี้ยประกันค้างจ่าย</v>
          </cell>
          <cell r="F80">
            <v>0</v>
          </cell>
          <cell r="G80">
            <v>828718.91</v>
          </cell>
          <cell r="H80">
            <v>2476422.5</v>
          </cell>
          <cell r="J80">
            <v>1647703.5899999999</v>
          </cell>
        </row>
        <row r="81">
          <cell r="B81" t="str">
            <v>xx</v>
          </cell>
          <cell r="C81">
            <v>2214</v>
          </cell>
          <cell r="D81" t="str">
            <v>ค่าใช้จ่ายคอมพิวเตอร์ค้างจ่าย</v>
          </cell>
          <cell r="F81">
            <v>0</v>
          </cell>
          <cell r="G81">
            <v>525594.69999999995</v>
          </cell>
          <cell r="H81">
            <v>525594.69999999995</v>
          </cell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B84" t="str">
            <v>xx</v>
          </cell>
          <cell r="C84">
            <v>2217</v>
          </cell>
          <cell r="D84" t="str">
            <v>ค่าใช้จ่ายเกี่ยวกับการสื่อสารค้างจ่าย</v>
          </cell>
          <cell r="F84">
            <v>118870.09</v>
          </cell>
          <cell r="G84">
            <v>459471.9</v>
          </cell>
          <cell r="H84">
            <v>499689.01</v>
          </cell>
          <cell r="J84">
            <v>159087.19999999995</v>
          </cell>
        </row>
        <row r="85">
          <cell r="B85" t="str">
            <v>xx</v>
          </cell>
          <cell r="C85">
            <v>2218</v>
          </cell>
          <cell r="D85" t="str">
            <v>เงินสมทบประกันสังคมค้างจ่าย</v>
          </cell>
          <cell r="F85">
            <v>46937</v>
          </cell>
          <cell r="G85">
            <v>206981</v>
          </cell>
          <cell r="H85">
            <v>245582</v>
          </cell>
          <cell r="J85">
            <v>85538</v>
          </cell>
        </row>
        <row r="86">
          <cell r="J86">
            <v>35460</v>
          </cell>
        </row>
        <row r="87">
          <cell r="J87">
            <v>188131</v>
          </cell>
        </row>
        <row r="88">
          <cell r="J88">
            <v>38150</v>
          </cell>
        </row>
        <row r="89">
          <cell r="J89">
            <v>33068.35</v>
          </cell>
        </row>
        <row r="90">
          <cell r="J90">
            <v>0</v>
          </cell>
        </row>
        <row r="91">
          <cell r="J91">
            <v>1720</v>
          </cell>
        </row>
        <row r="92">
          <cell r="J92">
            <v>10000</v>
          </cell>
        </row>
        <row r="93">
          <cell r="B93" t="str">
            <v>xx</v>
          </cell>
          <cell r="C93">
            <v>2220</v>
          </cell>
          <cell r="D93" t="str">
            <v>ค่าอากรแสตมป์ค้างจ่าย</v>
          </cell>
          <cell r="F93">
            <v>49310</v>
          </cell>
          <cell r="G93">
            <v>141339</v>
          </cell>
          <cell r="H93">
            <v>170671</v>
          </cell>
          <cell r="J93">
            <v>78642</v>
          </cell>
        </row>
        <row r="94">
          <cell r="J94">
            <v>1000000</v>
          </cell>
        </row>
        <row r="95">
          <cell r="J95">
            <v>300000</v>
          </cell>
        </row>
        <row r="96">
          <cell r="J96">
            <v>4501873.66</v>
          </cell>
        </row>
        <row r="98">
          <cell r="B98" t="str">
            <v>xx</v>
          </cell>
          <cell r="C98">
            <v>2500</v>
          </cell>
          <cell r="D98" t="str">
            <v>ภาษีเงินได้หัก ณ ที่จ่าย</v>
          </cell>
          <cell r="F98">
            <v>50979187.350000001</v>
          </cell>
          <cell r="G98">
            <v>51594614.870000005</v>
          </cell>
          <cell r="H98">
            <v>1879464.16</v>
          </cell>
          <cell r="J98">
            <v>1264036.6399999931</v>
          </cell>
        </row>
        <row r="99">
          <cell r="J99">
            <v>0</v>
          </cell>
        </row>
        <row r="100">
          <cell r="B100" t="str">
            <v>xx</v>
          </cell>
          <cell r="C100">
            <v>2502</v>
          </cell>
          <cell r="D100" t="str">
            <v>เงินรับฝาก</v>
          </cell>
          <cell r="F100">
            <v>14507733.419999987</v>
          </cell>
          <cell r="G100">
            <v>26807127.5</v>
          </cell>
          <cell r="H100">
            <v>30330321.5</v>
          </cell>
          <cell r="J100">
            <v>18030927.419999987</v>
          </cell>
        </row>
        <row r="101">
          <cell r="J101">
            <v>55500000</v>
          </cell>
        </row>
        <row r="102">
          <cell r="J102">
            <v>165554411.26999998</v>
          </cell>
        </row>
        <row r="103">
          <cell r="B103" t="str">
            <v>xx</v>
          </cell>
          <cell r="C103">
            <v>2505</v>
          </cell>
          <cell r="D103" t="str">
            <v>เงินรับฝากค่าสินไหมทดแทน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</row>
        <row r="104">
          <cell r="J104">
            <v>0</v>
          </cell>
        </row>
        <row r="105">
          <cell r="B105" t="str">
            <v>xx</v>
          </cell>
          <cell r="C105">
            <v>2507</v>
          </cell>
          <cell r="D105" t="str">
            <v>ภาษีขายรอเรียกเก็บ</v>
          </cell>
          <cell r="F105">
            <v>49958332.370000005</v>
          </cell>
          <cell r="G105">
            <v>13425674.100000001</v>
          </cell>
          <cell r="H105">
            <v>13916715.25</v>
          </cell>
          <cell r="J105">
            <v>50449373.520000003</v>
          </cell>
        </row>
        <row r="106">
          <cell r="J106">
            <v>2584832.9300000002</v>
          </cell>
        </row>
        <row r="107">
          <cell r="J107">
            <v>0</v>
          </cell>
        </row>
        <row r="108">
          <cell r="B108" t="str">
            <v>xx</v>
          </cell>
          <cell r="C108">
            <v>2510</v>
          </cell>
          <cell r="D108" t="str">
            <v>ค่าสินค้าค้างจ่าย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</row>
        <row r="109">
          <cell r="B109" t="str">
            <v>xx</v>
          </cell>
          <cell r="C109">
            <v>2511</v>
          </cell>
          <cell r="D109" t="str">
            <v>เงินประกันสังคมหัก ณ ที่จ่าย</v>
          </cell>
          <cell r="F109">
            <v>46937</v>
          </cell>
          <cell r="G109">
            <v>206981</v>
          </cell>
          <cell r="H109">
            <v>245582</v>
          </cell>
          <cell r="J109">
            <v>85538</v>
          </cell>
        </row>
        <row r="110">
          <cell r="B110" t="str">
            <v>xx</v>
          </cell>
          <cell r="C110">
            <v>2512</v>
          </cell>
          <cell r="D110" t="str">
            <v>เงินรับฝากพนักงานทุจริต</v>
          </cell>
          <cell r="F110">
            <v>0</v>
          </cell>
          <cell r="G110">
            <v>0</v>
          </cell>
          <cell r="H110">
            <v>0</v>
          </cell>
          <cell r="J110">
            <v>0</v>
          </cell>
        </row>
        <row r="111">
          <cell r="B111" t="str">
            <v>xx</v>
          </cell>
          <cell r="C111">
            <v>2513</v>
          </cell>
          <cell r="D111" t="str">
            <v>เงินรับฝาก-เงินเดือนพนักงาน</v>
          </cell>
          <cell r="F111">
            <v>0</v>
          </cell>
          <cell r="G111">
            <v>0</v>
          </cell>
          <cell r="H111">
            <v>0</v>
          </cell>
          <cell r="J111">
            <v>0</v>
          </cell>
        </row>
        <row r="112">
          <cell r="J112">
            <v>23144</v>
          </cell>
        </row>
        <row r="113">
          <cell r="J113">
            <v>1424592</v>
          </cell>
        </row>
        <row r="114">
          <cell r="J114">
            <v>517686.61999999895</v>
          </cell>
        </row>
        <row r="115">
          <cell r="J115">
            <v>0</v>
          </cell>
        </row>
        <row r="116">
          <cell r="B116" t="str">
            <v>xx</v>
          </cell>
          <cell r="C116">
            <v>3000</v>
          </cell>
          <cell r="D116" t="str">
            <v>ทุนเรือนหุ้น</v>
          </cell>
          <cell r="F116">
            <v>565000000</v>
          </cell>
          <cell r="G116">
            <v>0</v>
          </cell>
          <cell r="H116">
            <v>0</v>
          </cell>
          <cell r="J116">
            <v>565000000</v>
          </cell>
        </row>
        <row r="117">
          <cell r="J117">
            <v>14748721.310000001</v>
          </cell>
        </row>
        <row r="118">
          <cell r="B118" t="str">
            <v>xx</v>
          </cell>
          <cell r="C118">
            <v>3312</v>
          </cell>
          <cell r="D118" t="str">
            <v>กำไรสะสมสำรองตามกฎหมาย</v>
          </cell>
          <cell r="F118">
            <v>4500000</v>
          </cell>
          <cell r="G118">
            <v>0</v>
          </cell>
          <cell r="H118">
            <v>0</v>
          </cell>
          <cell r="J118">
            <v>4500000</v>
          </cell>
        </row>
        <row r="120">
          <cell r="B120" t="str">
            <v>xx</v>
          </cell>
          <cell r="C120">
            <v>4000</v>
          </cell>
          <cell r="D120" t="str">
            <v>ขาย</v>
          </cell>
          <cell r="E120">
            <v>0</v>
          </cell>
          <cell r="F120">
            <v>0</v>
          </cell>
          <cell r="G120">
            <v>0</v>
          </cell>
          <cell r="H120">
            <v>198809724.75</v>
          </cell>
          <cell r="J120">
            <v>198809724.75</v>
          </cell>
        </row>
        <row r="121">
          <cell r="B121" t="str">
            <v>xx</v>
          </cell>
          <cell r="C121">
            <v>4001</v>
          </cell>
          <cell r="D121" t="str">
            <v>รายได้ค่าบริการที่ปรึกษา</v>
          </cell>
          <cell r="G121">
            <v>0</v>
          </cell>
          <cell r="H121">
            <v>209890</v>
          </cell>
          <cell r="J121">
            <v>209890</v>
          </cell>
        </row>
        <row r="122">
          <cell r="B122" t="str">
            <v>xx</v>
          </cell>
          <cell r="C122" t="str">
            <v>4002</v>
          </cell>
          <cell r="D122" t="str">
            <v>รายได้จากการจัดส่งกรมธรรม์</v>
          </cell>
          <cell r="G122">
            <v>0</v>
          </cell>
          <cell r="H122">
            <v>111912.15</v>
          </cell>
          <cell r="J122">
            <v>111912.15</v>
          </cell>
        </row>
        <row r="123">
          <cell r="B123" t="str">
            <v>xx</v>
          </cell>
          <cell r="C123" t="str">
            <v>4003</v>
          </cell>
          <cell r="D123" t="str">
            <v>รายได้รับจากการสำรวจภัย</v>
          </cell>
          <cell r="G123">
            <v>0</v>
          </cell>
          <cell r="H123">
            <v>111218.76</v>
          </cell>
          <cell r="J123">
            <v>111218.76</v>
          </cell>
        </row>
        <row r="124">
          <cell r="J124">
            <v>0</v>
          </cell>
        </row>
        <row r="125">
          <cell r="J125">
            <v>4261777.92</v>
          </cell>
        </row>
        <row r="126">
          <cell r="J126">
            <v>0</v>
          </cell>
        </row>
        <row r="127">
          <cell r="J127">
            <v>24586.93</v>
          </cell>
        </row>
        <row r="128">
          <cell r="J128">
            <v>0</v>
          </cell>
        </row>
        <row r="129">
          <cell r="B129" t="str">
            <v>xx</v>
          </cell>
          <cell r="C129">
            <v>4300</v>
          </cell>
          <cell r="D129" t="str">
            <v>ค่าเช่ารับ</v>
          </cell>
          <cell r="G129">
            <v>0</v>
          </cell>
          <cell r="H129">
            <v>0</v>
          </cell>
          <cell r="J129">
            <v>0</v>
          </cell>
        </row>
        <row r="130">
          <cell r="J130">
            <v>1058637.5699999998</v>
          </cell>
        </row>
        <row r="131">
          <cell r="J131">
            <v>315091</v>
          </cell>
        </row>
        <row r="132">
          <cell r="B132" t="str">
            <v>xx</v>
          </cell>
          <cell r="C132">
            <v>4302</v>
          </cell>
          <cell r="D132" t="str">
            <v>กำไรจากการขายทรัพย์สิน</v>
          </cell>
          <cell r="G132">
            <v>0</v>
          </cell>
          <cell r="H132">
            <v>0</v>
          </cell>
          <cell r="J132">
            <v>0</v>
          </cell>
        </row>
        <row r="133">
          <cell r="B133" t="str">
            <v>xx</v>
          </cell>
          <cell r="C133">
            <v>4303</v>
          </cell>
          <cell r="D133" t="str">
            <v>หนี้สูญรับคืน</v>
          </cell>
          <cell r="G133">
            <v>0</v>
          </cell>
          <cell r="H133">
            <v>2495268.44</v>
          </cell>
          <cell r="J133">
            <v>2495268.44</v>
          </cell>
        </row>
        <row r="136">
          <cell r="J136">
            <v>0</v>
          </cell>
        </row>
        <row r="137">
          <cell r="B137" t="str">
            <v>xx</v>
          </cell>
          <cell r="C137">
            <v>5020</v>
          </cell>
          <cell r="D137" t="str">
            <v>ต้นทุนเช่าซื้อ</v>
          </cell>
          <cell r="G137">
            <v>130789368.30999999</v>
          </cell>
          <cell r="H137">
            <v>0</v>
          </cell>
          <cell r="I137">
            <v>130789368.30999999</v>
          </cell>
        </row>
        <row r="138">
          <cell r="B138" t="str">
            <v>xx</v>
          </cell>
          <cell r="C138">
            <v>5021</v>
          </cell>
          <cell r="D138" t="str">
            <v>ต้นทุนขายเช่าซื้อรถยึด</v>
          </cell>
          <cell r="G138">
            <v>104870.45000000001</v>
          </cell>
          <cell r="H138">
            <v>0</v>
          </cell>
          <cell r="I138">
            <v>104870.45000000001</v>
          </cell>
        </row>
        <row r="140">
          <cell r="B140" t="str">
            <v>xx</v>
          </cell>
          <cell r="C140">
            <v>5700</v>
          </cell>
          <cell r="D140" t="str">
            <v>เงินเดือน</v>
          </cell>
          <cell r="G140">
            <v>7352824</v>
          </cell>
          <cell r="H140">
            <v>47000</v>
          </cell>
          <cell r="I140">
            <v>7305824</v>
          </cell>
        </row>
        <row r="142">
          <cell r="B142" t="str">
            <v>xx</v>
          </cell>
          <cell r="C142">
            <v>5701</v>
          </cell>
          <cell r="D142" t="str">
            <v>เงินรางวัลแผนกสินเชื่อฯ</v>
          </cell>
          <cell r="G142">
            <v>317680</v>
          </cell>
          <cell r="H142">
            <v>0</v>
          </cell>
          <cell r="I142">
            <v>317680</v>
          </cell>
        </row>
        <row r="143">
          <cell r="B143" t="str">
            <v>xx</v>
          </cell>
          <cell r="C143">
            <v>5702</v>
          </cell>
          <cell r="D143" t="str">
            <v>เงินรางวัลแผนกติดตามฯ</v>
          </cell>
          <cell r="G143">
            <v>863328</v>
          </cell>
          <cell r="H143">
            <v>0</v>
          </cell>
          <cell r="I143">
            <v>863328</v>
          </cell>
        </row>
        <row r="144">
          <cell r="B144" t="str">
            <v>xx</v>
          </cell>
          <cell r="C144">
            <v>5703</v>
          </cell>
          <cell r="D144" t="str">
            <v>เงินรางวัลแผนกเร่งรัดฯ</v>
          </cell>
          <cell r="G144">
            <v>46161</v>
          </cell>
          <cell r="H144">
            <v>0</v>
          </cell>
          <cell r="I144">
            <v>46161</v>
          </cell>
        </row>
        <row r="145">
          <cell r="B145" t="str">
            <v>xx</v>
          </cell>
          <cell r="C145">
            <v>5704</v>
          </cell>
          <cell r="D145" t="str">
            <v>เงินรางวัลแผนกนิติการ</v>
          </cell>
          <cell r="G145">
            <v>600</v>
          </cell>
          <cell r="H145">
            <v>0</v>
          </cell>
          <cell r="I145">
            <v>600</v>
          </cell>
        </row>
        <row r="146">
          <cell r="B146" t="str">
            <v>xx</v>
          </cell>
          <cell r="C146">
            <v>5705</v>
          </cell>
          <cell r="D146" t="str">
            <v>ค่าล่วงเวลาและค่าเบี้ยเลี้ยง</v>
          </cell>
          <cell r="G146">
            <v>103769</v>
          </cell>
          <cell r="H146">
            <v>0</v>
          </cell>
          <cell r="I146">
            <v>103769</v>
          </cell>
        </row>
        <row r="147">
          <cell r="B147" t="str">
            <v>xx</v>
          </cell>
          <cell r="C147">
            <v>5706</v>
          </cell>
          <cell r="D147" t="str">
            <v>ค่าสวัสดิการ</v>
          </cell>
          <cell r="G147">
            <v>97096</v>
          </cell>
          <cell r="H147">
            <v>0</v>
          </cell>
          <cell r="I147">
            <v>97096</v>
          </cell>
        </row>
        <row r="148">
          <cell r="B148" t="str">
            <v>xx</v>
          </cell>
          <cell r="C148">
            <v>5707</v>
          </cell>
          <cell r="D148" t="str">
            <v>โบนัส</v>
          </cell>
          <cell r="G148">
            <v>1532770.3800000001</v>
          </cell>
          <cell r="H148">
            <v>0</v>
          </cell>
          <cell r="I148">
            <v>1532770.3800000001</v>
          </cell>
        </row>
        <row r="149">
          <cell r="B149" t="str">
            <v>xx</v>
          </cell>
          <cell r="C149">
            <v>5708</v>
          </cell>
          <cell r="D149" t="str">
            <v>ค่าส่งเสริมการขาย</v>
          </cell>
          <cell r="G149">
            <v>7678</v>
          </cell>
          <cell r="H149">
            <v>0</v>
          </cell>
          <cell r="I149">
            <v>7678</v>
          </cell>
        </row>
        <row r="150">
          <cell r="B150" t="str">
            <v>xx</v>
          </cell>
          <cell r="C150">
            <v>5709</v>
          </cell>
          <cell r="D150" t="str">
            <v>ค่ารับรอง</v>
          </cell>
          <cell r="G150">
            <v>32927.15</v>
          </cell>
          <cell r="H150">
            <v>0</v>
          </cell>
          <cell r="I150">
            <v>32927.15</v>
          </cell>
        </row>
        <row r="151">
          <cell r="B151" t="str">
            <v>xx</v>
          </cell>
          <cell r="C151">
            <v>5710</v>
          </cell>
          <cell r="D151" t="str">
            <v>ค่าใช้จ่ายเกี่ยวกับทะเบียน</v>
          </cell>
          <cell r="G151">
            <v>1084206.99</v>
          </cell>
          <cell r="H151">
            <v>0</v>
          </cell>
          <cell r="I151">
            <v>1084206.99</v>
          </cell>
        </row>
        <row r="152">
          <cell r="B152" t="str">
            <v>xx</v>
          </cell>
          <cell r="C152">
            <v>5711</v>
          </cell>
          <cell r="D152" t="str">
            <v>ค่าเบี้ยประกันตาม พรบ.</v>
          </cell>
          <cell r="G152">
            <v>0</v>
          </cell>
          <cell r="H152">
            <v>0</v>
          </cell>
          <cell r="I152">
            <v>0</v>
          </cell>
        </row>
        <row r="153">
          <cell r="B153" t="str">
            <v>xx</v>
          </cell>
          <cell r="C153">
            <v>5712</v>
          </cell>
          <cell r="D153" t="str">
            <v>ภาษีต้องห้าม</v>
          </cell>
          <cell r="G153">
            <v>851.06000000000006</v>
          </cell>
          <cell r="H153">
            <v>0</v>
          </cell>
          <cell r="I153">
            <v>851.06000000000006</v>
          </cell>
        </row>
        <row r="154">
          <cell r="B154" t="str">
            <v>xx</v>
          </cell>
          <cell r="C154" t="str">
            <v>5713</v>
          </cell>
          <cell r="D154" t="str">
            <v>ภาษีโรงเรือนและภาษีป้าย</v>
          </cell>
          <cell r="G154">
            <v>28720</v>
          </cell>
          <cell r="H154">
            <v>0</v>
          </cell>
          <cell r="I154">
            <v>28720</v>
          </cell>
        </row>
        <row r="160">
          <cell r="B160" t="str">
            <v>xx</v>
          </cell>
          <cell r="C160">
            <v>5800</v>
          </cell>
          <cell r="D160" t="str">
            <v>ค่าพาหนะ</v>
          </cell>
          <cell r="G160">
            <v>13646</v>
          </cell>
          <cell r="H160">
            <v>0</v>
          </cell>
          <cell r="I160">
            <v>13646</v>
          </cell>
        </row>
        <row r="161">
          <cell r="B161" t="str">
            <v>xx</v>
          </cell>
          <cell r="C161">
            <v>5801</v>
          </cell>
          <cell r="D161" t="str">
            <v>ค่าใช้จ่ายเกี่ยวกับรถใช้งาน</v>
          </cell>
          <cell r="G161">
            <v>891423.39000000013</v>
          </cell>
          <cell r="H161">
            <v>0</v>
          </cell>
          <cell r="I161">
            <v>891423.39000000013</v>
          </cell>
        </row>
        <row r="162">
          <cell r="B162" t="str">
            <v>xx</v>
          </cell>
          <cell r="C162">
            <v>5802</v>
          </cell>
          <cell r="D162" t="str">
            <v>ค่าไฟฟ้า</v>
          </cell>
          <cell r="G162">
            <v>312161.98000000004</v>
          </cell>
          <cell r="H162">
            <v>0</v>
          </cell>
          <cell r="I162">
            <v>312161.98000000004</v>
          </cell>
        </row>
        <row r="163">
          <cell r="B163" t="str">
            <v>xx</v>
          </cell>
          <cell r="C163">
            <v>5803</v>
          </cell>
          <cell r="D163" t="str">
            <v>ค่าน้ำประปา</v>
          </cell>
          <cell r="G163">
            <v>13872.07</v>
          </cell>
          <cell r="H163">
            <v>0</v>
          </cell>
          <cell r="I163">
            <v>13872.07</v>
          </cell>
        </row>
        <row r="164">
          <cell r="B164" t="str">
            <v>xx</v>
          </cell>
          <cell r="C164">
            <v>5804</v>
          </cell>
          <cell r="D164" t="str">
            <v>ค่าไปรษณีย์</v>
          </cell>
          <cell r="G164">
            <v>407276</v>
          </cell>
          <cell r="H164">
            <v>0</v>
          </cell>
          <cell r="I164">
            <v>407276</v>
          </cell>
        </row>
        <row r="165">
          <cell r="B165" t="str">
            <v>xx</v>
          </cell>
          <cell r="C165">
            <v>5805</v>
          </cell>
          <cell r="D165" t="str">
            <v>ค่าโทรศัพท์</v>
          </cell>
          <cell r="G165">
            <v>237790.26</v>
          </cell>
          <cell r="H165">
            <v>0</v>
          </cell>
          <cell r="I165">
            <v>237790.26</v>
          </cell>
        </row>
        <row r="166">
          <cell r="B166" t="str">
            <v>xx</v>
          </cell>
          <cell r="C166">
            <v>5806</v>
          </cell>
          <cell r="D166" t="str">
            <v>ค่าเครื่องเขียนแบบพิมพ์</v>
          </cell>
          <cell r="G166">
            <v>271336.92</v>
          </cell>
          <cell r="H166">
            <v>0</v>
          </cell>
          <cell r="I166">
            <v>271336.92</v>
          </cell>
        </row>
        <row r="167">
          <cell r="B167" t="str">
            <v>xx</v>
          </cell>
          <cell r="C167">
            <v>5807</v>
          </cell>
          <cell r="D167" t="str">
            <v>ค่าวัสดุสิ้นเปลืองใช้ไป</v>
          </cell>
          <cell r="G167">
            <v>17103.04</v>
          </cell>
          <cell r="H167">
            <v>0</v>
          </cell>
          <cell r="I167">
            <v>17103.04</v>
          </cell>
        </row>
        <row r="168">
          <cell r="B168" t="str">
            <v>xx</v>
          </cell>
          <cell r="C168">
            <v>5808</v>
          </cell>
          <cell r="D168" t="str">
            <v>ค่าอากรแสตมป์</v>
          </cell>
          <cell r="G168">
            <v>296106</v>
          </cell>
          <cell r="H168">
            <v>0</v>
          </cell>
          <cell r="I168">
            <v>296106</v>
          </cell>
        </row>
        <row r="169">
          <cell r="B169" t="str">
            <v>xx</v>
          </cell>
          <cell r="C169">
            <v>5809</v>
          </cell>
          <cell r="D169" t="str">
            <v>ค่าใช้จ่ายดำเนินคดี</v>
          </cell>
          <cell r="G169">
            <v>53661</v>
          </cell>
          <cell r="H169">
            <v>0</v>
          </cell>
          <cell r="I169">
            <v>53661</v>
          </cell>
        </row>
        <row r="170">
          <cell r="B170" t="str">
            <v>xx</v>
          </cell>
          <cell r="C170">
            <v>5810</v>
          </cell>
          <cell r="D170" t="str">
            <v>ค่าซ่อมแซมและบำรุงรักษา</v>
          </cell>
          <cell r="G170">
            <v>111040.12</v>
          </cell>
          <cell r="H170">
            <v>0</v>
          </cell>
          <cell r="I170">
            <v>111040.12</v>
          </cell>
        </row>
        <row r="171">
          <cell r="B171" t="str">
            <v>xx</v>
          </cell>
          <cell r="C171">
            <v>5811</v>
          </cell>
          <cell r="D171" t="str">
            <v>ค่าใช้จ่ายคอมพิวเตอร์</v>
          </cell>
          <cell r="G171">
            <v>17885.23</v>
          </cell>
          <cell r="H171">
            <v>0</v>
          </cell>
          <cell r="I171">
            <v>17885.23</v>
          </cell>
        </row>
        <row r="175">
          <cell r="B175" t="str">
            <v>xx</v>
          </cell>
          <cell r="C175">
            <v>5813</v>
          </cell>
          <cell r="D175" t="str">
            <v>ค่าเบี้ยประกันต่างๆ</v>
          </cell>
          <cell r="G175">
            <v>346754.22000000003</v>
          </cell>
          <cell r="H175">
            <v>2856.8</v>
          </cell>
          <cell r="I175">
            <v>343897.42000000004</v>
          </cell>
        </row>
        <row r="176">
          <cell r="B176" t="str">
            <v>xx</v>
          </cell>
          <cell r="C176">
            <v>5814</v>
          </cell>
          <cell r="D176" t="str">
            <v>ค่าใช้จ่ายเบ็ดเตล็ด</v>
          </cell>
          <cell r="G176">
            <v>288056.62</v>
          </cell>
          <cell r="H176">
            <v>0</v>
          </cell>
          <cell r="I176">
            <v>288056.62</v>
          </cell>
        </row>
        <row r="178">
          <cell r="B178" t="str">
            <v>xx</v>
          </cell>
          <cell r="C178">
            <v>5815</v>
          </cell>
          <cell r="D178" t="str">
            <v>ส่วนลดจ่าย</v>
          </cell>
          <cell r="G178">
            <v>330940.13</v>
          </cell>
          <cell r="H178">
            <v>0</v>
          </cell>
          <cell r="I178">
            <v>330940.13</v>
          </cell>
        </row>
        <row r="179">
          <cell r="B179" t="str">
            <v>xx</v>
          </cell>
          <cell r="C179">
            <v>5816</v>
          </cell>
          <cell r="D179" t="str">
            <v>ค่าธรรมเนียมเคาน์เตอร์เซอร์วิส</v>
          </cell>
          <cell r="G179">
            <v>15857.07</v>
          </cell>
          <cell r="H179">
            <v>0</v>
          </cell>
          <cell r="I179">
            <v>15857.07</v>
          </cell>
        </row>
        <row r="182">
          <cell r="B182" t="str">
            <v>xx</v>
          </cell>
          <cell r="C182">
            <v>5817</v>
          </cell>
          <cell r="D182" t="str">
            <v>ค่าการกุศล</v>
          </cell>
          <cell r="G182">
            <v>3409</v>
          </cell>
          <cell r="H182">
            <v>0</v>
          </cell>
          <cell r="I182">
            <v>3409</v>
          </cell>
        </row>
        <row r="183">
          <cell r="J183">
            <v>0</v>
          </cell>
        </row>
        <row r="184">
          <cell r="B184" t="str">
            <v>xx</v>
          </cell>
          <cell r="C184">
            <v>5819</v>
          </cell>
          <cell r="D184" t="str">
            <v>ค่าสอบบัญชี</v>
          </cell>
          <cell r="G184">
            <v>174999.99</v>
          </cell>
          <cell r="H184">
            <v>0</v>
          </cell>
          <cell r="I184">
            <v>174999.99</v>
          </cell>
        </row>
        <row r="185">
          <cell r="B185" t="str">
            <v>xx</v>
          </cell>
          <cell r="C185">
            <v>5820</v>
          </cell>
          <cell r="D185" t="str">
            <v>ผลเสียหายจากการยึดรถคืน</v>
          </cell>
          <cell r="G185">
            <v>0</v>
          </cell>
          <cell r="H185">
            <v>2832188.16</v>
          </cell>
          <cell r="I185">
            <v>0</v>
          </cell>
          <cell r="J185">
            <v>2832188.16</v>
          </cell>
        </row>
        <row r="186">
          <cell r="B186" t="str">
            <v>xx</v>
          </cell>
          <cell r="C186">
            <v>5821</v>
          </cell>
          <cell r="D186" t="str">
            <v>ผลเสียหายจากพนักงานทุจริต</v>
          </cell>
          <cell r="G186">
            <v>138035</v>
          </cell>
          <cell r="H186">
            <v>0</v>
          </cell>
          <cell r="I186">
            <v>138035</v>
          </cell>
        </row>
        <row r="188">
          <cell r="B188" t="str">
            <v>xx</v>
          </cell>
          <cell r="C188">
            <v>5823</v>
          </cell>
          <cell r="D188" t="str">
            <v>ค่าใช้จ่ายในการติดตามเร่งรัดหนี้สิน</v>
          </cell>
          <cell r="G188">
            <v>308359</v>
          </cell>
          <cell r="H188">
            <v>0</v>
          </cell>
          <cell r="I188">
            <v>308359</v>
          </cell>
        </row>
        <row r="190">
          <cell r="B190" t="str">
            <v>xx</v>
          </cell>
          <cell r="C190">
            <v>5825</v>
          </cell>
          <cell r="D190" t="str">
            <v>กองทุนทดแทน</v>
          </cell>
          <cell r="G190">
            <v>110000</v>
          </cell>
          <cell r="H190">
            <v>0</v>
          </cell>
          <cell r="I190">
            <v>110000</v>
          </cell>
        </row>
        <row r="191">
          <cell r="B191" t="str">
            <v>xx</v>
          </cell>
          <cell r="C191">
            <v>5826</v>
          </cell>
          <cell r="D191" t="str">
            <v>ค่าใช้จ่ายฝึกอบรม</v>
          </cell>
          <cell r="G191">
            <v>0</v>
          </cell>
          <cell r="H191">
            <v>0</v>
          </cell>
          <cell r="I191">
            <v>0</v>
          </cell>
        </row>
        <row r="193">
          <cell r="B193" t="str">
            <v>xx</v>
          </cell>
          <cell r="C193">
            <v>5828</v>
          </cell>
          <cell r="D193" t="str">
            <v>เงินชดเชยค่าสึกหรอรถใช้งาน</v>
          </cell>
          <cell r="G193">
            <v>214298</v>
          </cell>
          <cell r="H193">
            <v>0</v>
          </cell>
          <cell r="I193">
            <v>214298</v>
          </cell>
        </row>
        <row r="195">
          <cell r="B195" t="str">
            <v>xx</v>
          </cell>
          <cell r="C195">
            <v>5830</v>
          </cell>
          <cell r="D195" t="str">
            <v>ดอกเบี้ยจ่าย</v>
          </cell>
          <cell r="G195">
            <v>130.36000000000001</v>
          </cell>
          <cell r="H195">
            <v>0</v>
          </cell>
          <cell r="I195">
            <v>130.36000000000001</v>
          </cell>
        </row>
        <row r="196">
          <cell r="B196" t="str">
            <v>xx</v>
          </cell>
          <cell r="C196">
            <v>5831</v>
          </cell>
          <cell r="D196" t="str">
            <v>เงินสมทบประกันสังคม</v>
          </cell>
          <cell r="G196">
            <v>245582</v>
          </cell>
          <cell r="H196">
            <v>0</v>
          </cell>
          <cell r="I196">
            <v>245582</v>
          </cell>
        </row>
        <row r="197">
          <cell r="J197">
            <v>0</v>
          </cell>
        </row>
        <row r="198">
          <cell r="B198" t="str">
            <v>xx</v>
          </cell>
          <cell r="C198">
            <v>5833</v>
          </cell>
          <cell r="D198" t="str">
            <v>กำไร(ขาดทุน)จากการขายยึดรถ</v>
          </cell>
          <cell r="G198">
            <v>9451024.6499999985</v>
          </cell>
          <cell r="H198">
            <v>561929.96000000008</v>
          </cell>
          <cell r="I198">
            <v>8889094.6899999976</v>
          </cell>
        </row>
        <row r="199">
          <cell r="B199" t="str">
            <v>xx</v>
          </cell>
          <cell r="C199">
            <v>5834</v>
          </cell>
          <cell r="D199" t="str">
            <v>เบี้ยปรับและเงินเพิ่ม</v>
          </cell>
          <cell r="G199">
            <v>202.52</v>
          </cell>
          <cell r="H199">
            <v>0</v>
          </cell>
          <cell r="I199">
            <v>202.52</v>
          </cell>
        </row>
        <row r="201">
          <cell r="B201" t="str">
            <v>xx</v>
          </cell>
          <cell r="C201">
            <v>5836</v>
          </cell>
          <cell r="D201" t="str">
            <v>สำรองเลี้ยงชีพ</v>
          </cell>
          <cell r="G201">
            <v>50577</v>
          </cell>
          <cell r="H201">
            <v>0</v>
          </cell>
          <cell r="I201">
            <v>50577</v>
          </cell>
        </row>
        <row r="204">
          <cell r="J204">
            <v>282559.1399999999</v>
          </cell>
        </row>
        <row r="205">
          <cell r="J205">
            <v>8437674.8300000001</v>
          </cell>
        </row>
        <row r="207">
          <cell r="J207">
            <v>1190647314.9400001</v>
          </cell>
        </row>
        <row r="208">
          <cell r="J208">
            <v>185636374.56999999</v>
          </cell>
        </row>
        <row r="209">
          <cell r="J209">
            <v>0</v>
          </cell>
        </row>
        <row r="210">
          <cell r="J210">
            <v>0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B215" t="str">
            <v>xx</v>
          </cell>
          <cell r="C215">
            <v>9007</v>
          </cell>
          <cell r="D215" t="str">
            <v>REALIZED P/F จาก REPORT ปีนี้</v>
          </cell>
          <cell r="E215" t="str">
            <v xml:space="preserve"> </v>
          </cell>
          <cell r="G215">
            <v>0</v>
          </cell>
          <cell r="I215" t="str">
            <v>REALIZED P/F จาก REPORT ปีนี้</v>
          </cell>
          <cell r="J215">
            <v>46408507.270000003</v>
          </cell>
        </row>
        <row r="216">
          <cell r="B216" t="str">
            <v>xx</v>
          </cell>
          <cell r="C216">
            <v>9008</v>
          </cell>
          <cell r="D216" t="str">
            <v>R/F เงินค้างปีนี้</v>
          </cell>
          <cell r="E216" t="str">
            <v xml:space="preserve"> </v>
          </cell>
          <cell r="G216">
            <v>0</v>
          </cell>
          <cell r="I216" t="str">
            <v>R/F เงินค้างปีนี้</v>
          </cell>
          <cell r="J216">
            <v>20549528.760000002</v>
          </cell>
        </row>
        <row r="217">
          <cell r="B217" t="str">
            <v>xx</v>
          </cell>
          <cell r="C217">
            <v>9009</v>
          </cell>
          <cell r="D217" t="str">
            <v>R/F เงินค้างปีก่อน (สุทธิ)</v>
          </cell>
          <cell r="E217" t="str">
            <v xml:space="preserve"> </v>
          </cell>
          <cell r="G217">
            <v>0</v>
          </cell>
          <cell r="I217" t="str">
            <v>R/F เงินค้างปีก่อน (สุทธิ)</v>
          </cell>
          <cell r="J217">
            <v>22640665.739999998</v>
          </cell>
        </row>
        <row r="218">
          <cell r="B218" t="str">
            <v>xx</v>
          </cell>
          <cell r="C218">
            <v>9010</v>
          </cell>
          <cell r="D218" t="str">
            <v>ลูกหนี้ค่าภาษีเงินค้างปีนี้</v>
          </cell>
          <cell r="E218" t="str">
            <v xml:space="preserve"> </v>
          </cell>
          <cell r="G218">
            <v>0</v>
          </cell>
          <cell r="I218" t="str">
            <v>ลูกหนี้ค่าภาษีเงินค้างปีนี้</v>
          </cell>
          <cell r="J218">
            <v>4136808.7</v>
          </cell>
        </row>
        <row r="219">
          <cell r="B219" t="str">
            <v>xx</v>
          </cell>
          <cell r="C219">
            <v>9011</v>
          </cell>
          <cell r="D219" t="str">
            <v>ลูกหนี้ค่าภาษีเงินค้างปีก่อน</v>
          </cell>
          <cell r="E219" t="str">
            <v xml:space="preserve"> </v>
          </cell>
          <cell r="G219">
            <v>0</v>
          </cell>
          <cell r="I219" t="str">
            <v>ลูกหนี้ค่าภาษีเงินค้างปีก่อน</v>
          </cell>
          <cell r="J21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ACCT"/>
      <sheetName val="Sheet1"/>
      <sheetName val="Sheet2"/>
    </sheetNames>
    <sheetDataSet>
      <sheetData sheetId="0" refreshError="1"/>
      <sheetData sheetId="1" refreshError="1"/>
      <sheetData sheetId="2" refreshError="1">
        <row r="11">
          <cell r="B11" t="str">
            <v>xx</v>
          </cell>
          <cell r="C11">
            <v>1200</v>
          </cell>
          <cell r="D11" t="str">
            <v>ลูกหนี้สินค้ารถยึด</v>
          </cell>
          <cell r="E11">
            <v>3754961</v>
          </cell>
          <cell r="G11">
            <v>24857699</v>
          </cell>
          <cell r="H11">
            <v>25538049</v>
          </cell>
          <cell r="I11">
            <v>3074611</v>
          </cell>
        </row>
        <row r="12">
          <cell r="B12" t="str">
            <v>xx</v>
          </cell>
          <cell r="C12">
            <v>1201</v>
          </cell>
          <cell r="D12" t="str">
            <v>ลูกหนี้เช่าซื้อ</v>
          </cell>
          <cell r="E12">
            <v>832148858</v>
          </cell>
          <cell r="G12">
            <v>212726440</v>
          </cell>
          <cell r="H12">
            <v>209873999</v>
          </cell>
          <cell r="I12">
            <v>835001299</v>
          </cell>
        </row>
        <row r="14">
          <cell r="B14" t="str">
            <v>xx</v>
          </cell>
          <cell r="C14">
            <v>1204</v>
          </cell>
          <cell r="D14" t="str">
            <v>ลูกหนี้ค่าภาษี</v>
          </cell>
          <cell r="E14">
            <v>0</v>
          </cell>
          <cell r="G14">
            <v>407855.47</v>
          </cell>
          <cell r="H14">
            <v>407855.47</v>
          </cell>
          <cell r="I14">
            <v>0</v>
          </cell>
        </row>
        <row r="15">
          <cell r="B15" t="str">
            <v>xx</v>
          </cell>
          <cell r="C15">
            <v>1205</v>
          </cell>
          <cell r="D15" t="str">
            <v>ลูกหนี้อื่น</v>
          </cell>
          <cell r="E15">
            <v>0</v>
          </cell>
          <cell r="G15">
            <v>2050000</v>
          </cell>
          <cell r="H15">
            <v>2050000</v>
          </cell>
          <cell r="I15">
            <v>0</v>
          </cell>
        </row>
        <row r="16">
          <cell r="B16" t="str">
            <v>xx</v>
          </cell>
          <cell r="C16" t="str">
            <v>1206</v>
          </cell>
          <cell r="D16" t="str">
            <v>ค่าเผื่อขาดทุนจากการตีราคาทรัพย์สินรอการขาย</v>
          </cell>
          <cell r="E16" t="str">
            <v xml:space="preserve"> </v>
          </cell>
          <cell r="F16">
            <v>1711237.9</v>
          </cell>
          <cell r="G16">
            <v>1711237.9</v>
          </cell>
          <cell r="H16">
            <v>1428678.76</v>
          </cell>
          <cell r="I16" t="str">
            <v xml:space="preserve"> </v>
          </cell>
          <cell r="J16">
            <v>1428678.7600000002</v>
          </cell>
        </row>
        <row r="19">
          <cell r="J19">
            <v>61888532.139999986</v>
          </cell>
        </row>
        <row r="20">
          <cell r="J20">
            <v>0</v>
          </cell>
        </row>
        <row r="24">
          <cell r="B24" t="str">
            <v>xx</v>
          </cell>
          <cell r="C24">
            <v>1600</v>
          </cell>
          <cell r="D24" t="str">
            <v>เงินทดรองพนักงาน</v>
          </cell>
          <cell r="E24">
            <v>22087</v>
          </cell>
          <cell r="G24">
            <v>194661</v>
          </cell>
          <cell r="H24">
            <v>192661</v>
          </cell>
          <cell r="I24">
            <v>24087</v>
          </cell>
        </row>
        <row r="25">
          <cell r="B25" t="str">
            <v>xx</v>
          </cell>
          <cell r="C25">
            <v>1601</v>
          </cell>
          <cell r="D25" t="str">
            <v>ลูกหนี้ค่าหุ้นค้างชำระ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</row>
        <row r="27">
          <cell r="B27" t="str">
            <v>xx</v>
          </cell>
          <cell r="C27">
            <v>1604</v>
          </cell>
          <cell r="D27" t="str">
            <v>ดอกเบี้ยค้างรับ ตั๋วสัญญาใช้เงิน</v>
          </cell>
          <cell r="E27">
            <v>25205.48</v>
          </cell>
          <cell r="G27">
            <v>85198.63</v>
          </cell>
          <cell r="H27">
            <v>25205.48</v>
          </cell>
          <cell r="I27">
            <v>85198.63</v>
          </cell>
        </row>
        <row r="29">
          <cell r="B29" t="str">
            <v>xx</v>
          </cell>
          <cell r="C29">
            <v>1800</v>
          </cell>
          <cell r="D29" t="str">
            <v>ที่ดิน</v>
          </cell>
          <cell r="E29">
            <v>2915760</v>
          </cell>
          <cell r="G29">
            <v>0</v>
          </cell>
          <cell r="H29">
            <v>0</v>
          </cell>
          <cell r="I29">
            <v>2915760</v>
          </cell>
        </row>
        <row r="30">
          <cell r="B30" t="str">
            <v>xx</v>
          </cell>
          <cell r="C30">
            <v>1820</v>
          </cell>
          <cell r="D30" t="str">
            <v>อาคาร</v>
          </cell>
          <cell r="E30">
            <v>2055525.59</v>
          </cell>
          <cell r="G30">
            <v>0</v>
          </cell>
          <cell r="H30">
            <v>100421.39000000001</v>
          </cell>
          <cell r="I30">
            <v>1955104.2000000002</v>
          </cell>
        </row>
        <row r="31">
          <cell r="B31" t="str">
            <v>xx</v>
          </cell>
          <cell r="C31">
            <v>1821</v>
          </cell>
          <cell r="D31" t="str">
            <v>ค่าบูรณะอาคารเช่า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</row>
        <row r="39">
          <cell r="B39" t="str">
            <v>xx</v>
          </cell>
          <cell r="C39">
            <v>1901</v>
          </cell>
          <cell r="D39" t="str">
            <v>เงินมัดจำจ่าย</v>
          </cell>
          <cell r="E39">
            <v>909413.4</v>
          </cell>
          <cell r="G39">
            <v>0</v>
          </cell>
          <cell r="H39">
            <v>0</v>
          </cell>
          <cell r="I39">
            <v>909413.4</v>
          </cell>
        </row>
        <row r="42">
          <cell r="J42">
            <v>0</v>
          </cell>
        </row>
        <row r="43">
          <cell r="J43">
            <v>306171.4699998498</v>
          </cell>
        </row>
        <row r="44">
          <cell r="J44">
            <v>0</v>
          </cell>
        </row>
        <row r="45">
          <cell r="J45">
            <v>534183.4500000173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2">
          <cell r="J52">
            <v>709634.25999997742</v>
          </cell>
        </row>
        <row r="55">
          <cell r="J55">
            <v>0</v>
          </cell>
        </row>
        <row r="56">
          <cell r="J56">
            <v>15364.940000000002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B60" t="str">
            <v>xx</v>
          </cell>
          <cell r="C60" t="str">
            <v>2052</v>
          </cell>
          <cell r="D60" t="str">
            <v>อุปกรณ์ไฟฟ้าค้างจ่าย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B61" t="str">
            <v>xx</v>
          </cell>
          <cell r="C61">
            <v>2053</v>
          </cell>
          <cell r="D61" t="str">
            <v>เจ้าหนี้การค้า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J62">
            <v>0</v>
          </cell>
        </row>
        <row r="63">
          <cell r="J63">
            <v>90767.15</v>
          </cell>
        </row>
        <row r="64">
          <cell r="B64" t="str">
            <v>xx</v>
          </cell>
          <cell r="C64">
            <v>2055</v>
          </cell>
          <cell r="D64" t="str">
            <v>เจ้าหนี้ค่าเปลี่ยนแปลงสัญญา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J65">
            <v>0</v>
          </cell>
        </row>
        <row r="66">
          <cell r="B66" t="str">
            <v>xx</v>
          </cell>
          <cell r="C66">
            <v>2200</v>
          </cell>
          <cell r="D66" t="str">
            <v>เงินรางวัลแผนกสินเชื่อ ฯ ค้างจ่าย</v>
          </cell>
          <cell r="F66">
            <v>102735</v>
          </cell>
          <cell r="G66">
            <v>298701</v>
          </cell>
          <cell r="H66">
            <v>317680</v>
          </cell>
          <cell r="J66">
            <v>121714</v>
          </cell>
        </row>
        <row r="67">
          <cell r="B67" t="str">
            <v>xx</v>
          </cell>
          <cell r="C67">
            <v>2201</v>
          </cell>
          <cell r="D67" t="str">
            <v>เงินรางวัลติดตาม ฯ ค้างจ่าย</v>
          </cell>
          <cell r="F67">
            <v>191760</v>
          </cell>
          <cell r="G67">
            <v>700575</v>
          </cell>
          <cell r="H67">
            <v>863328</v>
          </cell>
          <cell r="J67">
            <v>354513</v>
          </cell>
        </row>
        <row r="68">
          <cell r="B68" t="str">
            <v>xx</v>
          </cell>
          <cell r="C68">
            <v>2202</v>
          </cell>
          <cell r="D68" t="str">
            <v>เงินรางวัลแผนกเร่งรัด ฯ ค้างจ่าย</v>
          </cell>
          <cell r="F68">
            <v>8600</v>
          </cell>
          <cell r="G68">
            <v>31222</v>
          </cell>
          <cell r="H68">
            <v>46161</v>
          </cell>
          <cell r="J68">
            <v>23539</v>
          </cell>
        </row>
        <row r="69">
          <cell r="B69" t="str">
            <v>xx</v>
          </cell>
          <cell r="C69">
            <v>2203</v>
          </cell>
          <cell r="D69" t="str">
            <v>เงินรางวัลแผนกนิติการค้างจ่าย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B70" t="str">
            <v>xx</v>
          </cell>
          <cell r="C70">
            <v>2204</v>
          </cell>
          <cell r="D70" t="str">
            <v>ค่าล่วงเวลาและเบี้ยเลี้ยงค้างจ่าย</v>
          </cell>
          <cell r="F70">
            <v>90027</v>
          </cell>
          <cell r="G70">
            <v>142677</v>
          </cell>
          <cell r="H70">
            <v>82209</v>
          </cell>
          <cell r="J70">
            <v>29559</v>
          </cell>
        </row>
        <row r="71">
          <cell r="B71" t="str">
            <v>xx</v>
          </cell>
          <cell r="C71">
            <v>2205</v>
          </cell>
          <cell r="D71" t="str">
            <v>ค่าส่งเสริมการขายค้างจ่าย</v>
          </cell>
          <cell r="F71">
            <v>2907085.12</v>
          </cell>
          <cell r="G71">
            <v>6334299.0800000001</v>
          </cell>
          <cell r="H71">
            <v>4427568.1500000004</v>
          </cell>
          <cell r="J71">
            <v>1000354.1900000004</v>
          </cell>
        </row>
        <row r="72">
          <cell r="B72" t="str">
            <v>xx</v>
          </cell>
          <cell r="C72">
            <v>2206</v>
          </cell>
          <cell r="D72" t="str">
            <v>ค่าสอบบัญชีค้างจ่าย</v>
          </cell>
          <cell r="F72">
            <v>500000</v>
          </cell>
          <cell r="G72">
            <v>0</v>
          </cell>
          <cell r="H72">
            <v>174999.99</v>
          </cell>
          <cell r="J72">
            <v>674999.99</v>
          </cell>
        </row>
        <row r="73">
          <cell r="J73">
            <v>1525337.38</v>
          </cell>
        </row>
        <row r="74">
          <cell r="J74">
            <v>0</v>
          </cell>
        </row>
        <row r="75">
          <cell r="B75" t="str">
            <v>xx</v>
          </cell>
          <cell r="C75" t="str">
            <v>2208</v>
          </cell>
          <cell r="D75" t="str">
            <v>ค่าใช้จ่ายเกี่ยวกับทะเบียนค้างจ่าย</v>
          </cell>
          <cell r="F75">
            <v>6314046</v>
          </cell>
          <cell r="G75">
            <v>465045</v>
          </cell>
          <cell r="H75">
            <v>122079</v>
          </cell>
          <cell r="J75">
            <v>5971080</v>
          </cell>
        </row>
        <row r="76">
          <cell r="J76">
            <v>9013104.4000000004</v>
          </cell>
        </row>
        <row r="77">
          <cell r="J77">
            <v>0</v>
          </cell>
        </row>
        <row r="78">
          <cell r="B78" t="str">
            <v>xx</v>
          </cell>
          <cell r="C78">
            <v>2211</v>
          </cell>
          <cell r="D78" t="str">
            <v>ค่าไฟฟ้า,น้ำประปาค้างจ่าย</v>
          </cell>
          <cell r="F78">
            <v>44301.84</v>
          </cell>
          <cell r="G78">
            <v>219062.80000000002</v>
          </cell>
          <cell r="H78">
            <v>264081.39</v>
          </cell>
          <cell r="J78">
            <v>89320.429999999964</v>
          </cell>
        </row>
        <row r="79">
          <cell r="J79">
            <v>157294.22</v>
          </cell>
        </row>
        <row r="80">
          <cell r="B80" t="str">
            <v>xx</v>
          </cell>
          <cell r="C80">
            <v>2213</v>
          </cell>
          <cell r="D80" t="str">
            <v>ค่าเบี้ยประกันค้างจ่าย</v>
          </cell>
          <cell r="F80">
            <v>0</v>
          </cell>
          <cell r="G80">
            <v>828718.91</v>
          </cell>
          <cell r="H80">
            <v>2476422.5</v>
          </cell>
          <cell r="J80">
            <v>1647703.5899999999</v>
          </cell>
        </row>
        <row r="81">
          <cell r="B81" t="str">
            <v>xx</v>
          </cell>
          <cell r="C81">
            <v>2214</v>
          </cell>
          <cell r="D81" t="str">
            <v>ค่าใช้จ่ายคอมพิวเตอร์ค้างจ่าย</v>
          </cell>
          <cell r="F81">
            <v>0</v>
          </cell>
          <cell r="G81">
            <v>525594.69999999995</v>
          </cell>
          <cell r="H81">
            <v>525594.69999999995</v>
          </cell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B84" t="str">
            <v>xx</v>
          </cell>
          <cell r="C84">
            <v>2217</v>
          </cell>
          <cell r="D84" t="str">
            <v>ค่าใช้จ่ายเกี่ยวกับการสื่อสารค้างจ่าย</v>
          </cell>
          <cell r="F84">
            <v>118870.09</v>
          </cell>
          <cell r="G84">
            <v>459471.9</v>
          </cell>
          <cell r="H84">
            <v>499689.01</v>
          </cell>
          <cell r="J84">
            <v>159087.19999999995</v>
          </cell>
        </row>
        <row r="85">
          <cell r="B85" t="str">
            <v>xx</v>
          </cell>
          <cell r="C85">
            <v>2218</v>
          </cell>
          <cell r="D85" t="str">
            <v>เงินสมทบประกันสังคมค้างจ่าย</v>
          </cell>
          <cell r="F85">
            <v>46937</v>
          </cell>
          <cell r="G85">
            <v>206981</v>
          </cell>
          <cell r="H85">
            <v>245582</v>
          </cell>
          <cell r="J85">
            <v>85538</v>
          </cell>
        </row>
        <row r="86">
          <cell r="J86">
            <v>35460</v>
          </cell>
        </row>
        <row r="87">
          <cell r="J87">
            <v>188131</v>
          </cell>
        </row>
        <row r="88">
          <cell r="J88">
            <v>38150</v>
          </cell>
        </row>
        <row r="89">
          <cell r="J89">
            <v>33068.35</v>
          </cell>
        </row>
        <row r="90">
          <cell r="J90">
            <v>0</v>
          </cell>
        </row>
        <row r="91">
          <cell r="J91">
            <v>1720</v>
          </cell>
        </row>
        <row r="92">
          <cell r="J92">
            <v>10000</v>
          </cell>
        </row>
        <row r="93">
          <cell r="B93" t="str">
            <v>xx</v>
          </cell>
          <cell r="C93">
            <v>2220</v>
          </cell>
          <cell r="D93" t="str">
            <v>ค่าอากรแสตมป์ค้างจ่าย</v>
          </cell>
          <cell r="F93">
            <v>49310</v>
          </cell>
          <cell r="G93">
            <v>141339</v>
          </cell>
          <cell r="H93">
            <v>170671</v>
          </cell>
          <cell r="J93">
            <v>78642</v>
          </cell>
        </row>
        <row r="94">
          <cell r="J94">
            <v>1000000</v>
          </cell>
        </row>
        <row r="95">
          <cell r="J95">
            <v>300000</v>
          </cell>
        </row>
        <row r="96">
          <cell r="J96">
            <v>4501873.66</v>
          </cell>
        </row>
        <row r="98">
          <cell r="B98" t="str">
            <v>xx</v>
          </cell>
          <cell r="C98">
            <v>2500</v>
          </cell>
          <cell r="D98" t="str">
            <v>ภาษีเงินได้หัก ณ ที่จ่าย</v>
          </cell>
          <cell r="F98">
            <v>50979187.350000001</v>
          </cell>
          <cell r="G98">
            <v>51594614.870000005</v>
          </cell>
          <cell r="H98">
            <v>1879464.16</v>
          </cell>
          <cell r="J98">
            <v>1264036.6399999931</v>
          </cell>
        </row>
        <row r="99">
          <cell r="J99">
            <v>0</v>
          </cell>
        </row>
        <row r="100">
          <cell r="B100" t="str">
            <v>xx</v>
          </cell>
          <cell r="C100">
            <v>2502</v>
          </cell>
          <cell r="D100" t="str">
            <v>เงินรับฝาก</v>
          </cell>
          <cell r="F100">
            <v>14507733.419999987</v>
          </cell>
          <cell r="G100">
            <v>26807127.5</v>
          </cell>
          <cell r="H100">
            <v>30330321.5</v>
          </cell>
          <cell r="J100">
            <v>18030927.419999987</v>
          </cell>
        </row>
        <row r="101">
          <cell r="J101">
            <v>55500000</v>
          </cell>
        </row>
        <row r="102">
          <cell r="J102">
            <v>165554411.26999998</v>
          </cell>
        </row>
        <row r="103">
          <cell r="B103" t="str">
            <v>xx</v>
          </cell>
          <cell r="C103">
            <v>2505</v>
          </cell>
          <cell r="D103" t="str">
            <v>เงินรับฝากค่าสินไหมทดแทน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</row>
        <row r="104">
          <cell r="J104">
            <v>0</v>
          </cell>
        </row>
        <row r="105">
          <cell r="B105" t="str">
            <v>xx</v>
          </cell>
          <cell r="C105">
            <v>2507</v>
          </cell>
          <cell r="D105" t="str">
            <v>ภาษีขายรอเรียกเก็บ</v>
          </cell>
          <cell r="F105">
            <v>49958332.370000005</v>
          </cell>
          <cell r="G105">
            <v>13425674.100000001</v>
          </cell>
          <cell r="H105">
            <v>13916715.25</v>
          </cell>
          <cell r="J105">
            <v>50449373.520000003</v>
          </cell>
        </row>
        <row r="106">
          <cell r="J106">
            <v>2584832.9300000002</v>
          </cell>
        </row>
        <row r="107">
          <cell r="J107">
            <v>0</v>
          </cell>
        </row>
        <row r="108">
          <cell r="B108" t="str">
            <v>xx</v>
          </cell>
          <cell r="C108">
            <v>2510</v>
          </cell>
          <cell r="D108" t="str">
            <v>ค่าสินค้าค้างจ่าย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</row>
        <row r="109">
          <cell r="B109" t="str">
            <v>xx</v>
          </cell>
          <cell r="C109">
            <v>2511</v>
          </cell>
          <cell r="D109" t="str">
            <v>เงินประกันสังคมหัก ณ ที่จ่าย</v>
          </cell>
          <cell r="F109">
            <v>46937</v>
          </cell>
          <cell r="G109">
            <v>206981</v>
          </cell>
          <cell r="H109">
            <v>245582</v>
          </cell>
          <cell r="J109">
            <v>85538</v>
          </cell>
        </row>
        <row r="110">
          <cell r="B110" t="str">
            <v>xx</v>
          </cell>
          <cell r="C110">
            <v>2512</v>
          </cell>
          <cell r="D110" t="str">
            <v>เงินรับฝากพนักงานทุจริต</v>
          </cell>
          <cell r="F110">
            <v>0</v>
          </cell>
          <cell r="G110">
            <v>0</v>
          </cell>
          <cell r="H110">
            <v>0</v>
          </cell>
          <cell r="J110">
            <v>0</v>
          </cell>
        </row>
        <row r="111">
          <cell r="B111" t="str">
            <v>xx</v>
          </cell>
          <cell r="C111">
            <v>2513</v>
          </cell>
          <cell r="D111" t="str">
            <v>เงินรับฝาก-เงินเดือนพนักงาน</v>
          </cell>
          <cell r="F111">
            <v>0</v>
          </cell>
          <cell r="G111">
            <v>0</v>
          </cell>
          <cell r="H111">
            <v>0</v>
          </cell>
          <cell r="J111">
            <v>0</v>
          </cell>
        </row>
        <row r="112">
          <cell r="J112">
            <v>23144</v>
          </cell>
        </row>
        <row r="113">
          <cell r="J113">
            <v>1424592</v>
          </cell>
        </row>
        <row r="114">
          <cell r="J114">
            <v>517686.61999999895</v>
          </cell>
        </row>
        <row r="115">
          <cell r="J115">
            <v>0</v>
          </cell>
        </row>
        <row r="116">
          <cell r="B116" t="str">
            <v>xx</v>
          </cell>
          <cell r="C116">
            <v>3000</v>
          </cell>
          <cell r="D116" t="str">
            <v>ทุนเรือนหุ้น</v>
          </cell>
          <cell r="F116">
            <v>565000000</v>
          </cell>
          <cell r="G116">
            <v>0</v>
          </cell>
          <cell r="H116">
            <v>0</v>
          </cell>
          <cell r="J116">
            <v>565000000</v>
          </cell>
        </row>
        <row r="117">
          <cell r="J117">
            <v>14748721.310000001</v>
          </cell>
        </row>
        <row r="118">
          <cell r="B118" t="str">
            <v>xx</v>
          </cell>
          <cell r="C118">
            <v>3312</v>
          </cell>
          <cell r="D118" t="str">
            <v>กำไรสะสมสำรองตามกฎหมาย</v>
          </cell>
          <cell r="F118">
            <v>4500000</v>
          </cell>
          <cell r="G118">
            <v>0</v>
          </cell>
          <cell r="H118">
            <v>0</v>
          </cell>
          <cell r="J118">
            <v>4500000</v>
          </cell>
        </row>
        <row r="120">
          <cell r="B120" t="str">
            <v>xx</v>
          </cell>
          <cell r="C120">
            <v>4000</v>
          </cell>
          <cell r="D120" t="str">
            <v>ขาย</v>
          </cell>
          <cell r="E120">
            <v>0</v>
          </cell>
          <cell r="F120">
            <v>0</v>
          </cell>
          <cell r="G120">
            <v>0</v>
          </cell>
          <cell r="H120">
            <v>198809724.75</v>
          </cell>
          <cell r="J120">
            <v>198809724.75</v>
          </cell>
        </row>
        <row r="121">
          <cell r="B121" t="str">
            <v>xx</v>
          </cell>
          <cell r="C121">
            <v>4001</v>
          </cell>
          <cell r="D121" t="str">
            <v>รายได้ค่าบริการที่ปรึกษา</v>
          </cell>
          <cell r="G121">
            <v>0</v>
          </cell>
          <cell r="H121">
            <v>209890</v>
          </cell>
          <cell r="J121">
            <v>209890</v>
          </cell>
        </row>
        <row r="122">
          <cell r="B122" t="str">
            <v>xx</v>
          </cell>
          <cell r="C122" t="str">
            <v>4002</v>
          </cell>
          <cell r="D122" t="str">
            <v>รายได้จากการจัดส่งกรมธรรม์</v>
          </cell>
          <cell r="G122">
            <v>0</v>
          </cell>
          <cell r="H122">
            <v>111912.15</v>
          </cell>
          <cell r="J122">
            <v>111912.15</v>
          </cell>
        </row>
        <row r="123">
          <cell r="B123" t="str">
            <v>xx</v>
          </cell>
          <cell r="C123" t="str">
            <v>4003</v>
          </cell>
          <cell r="D123" t="str">
            <v>รายได้รับจากการสำรวจภัย</v>
          </cell>
          <cell r="G123">
            <v>0</v>
          </cell>
          <cell r="H123">
            <v>111218.76</v>
          </cell>
          <cell r="J123">
            <v>111218.76</v>
          </cell>
        </row>
        <row r="124">
          <cell r="J124">
            <v>0</v>
          </cell>
        </row>
        <row r="125">
          <cell r="J125">
            <v>4261777.92</v>
          </cell>
        </row>
        <row r="126">
          <cell r="J126">
            <v>0</v>
          </cell>
        </row>
        <row r="127">
          <cell r="J127">
            <v>24586.93</v>
          </cell>
        </row>
        <row r="128">
          <cell r="J128">
            <v>0</v>
          </cell>
        </row>
        <row r="129">
          <cell r="B129" t="str">
            <v>xx</v>
          </cell>
          <cell r="C129">
            <v>4300</v>
          </cell>
          <cell r="D129" t="str">
            <v>ค่าเช่ารับ</v>
          </cell>
          <cell r="G129">
            <v>0</v>
          </cell>
          <cell r="H129">
            <v>0</v>
          </cell>
          <cell r="J129">
            <v>0</v>
          </cell>
        </row>
        <row r="130">
          <cell r="J130">
            <v>1058637.5699999998</v>
          </cell>
        </row>
        <row r="131">
          <cell r="J131">
            <v>315091</v>
          </cell>
        </row>
        <row r="132">
          <cell r="B132" t="str">
            <v>xx</v>
          </cell>
          <cell r="C132">
            <v>4302</v>
          </cell>
          <cell r="D132" t="str">
            <v>กำไรจากการขายทรัพย์สิน</v>
          </cell>
          <cell r="G132">
            <v>0</v>
          </cell>
          <cell r="H132">
            <v>0</v>
          </cell>
          <cell r="J132">
            <v>0</v>
          </cell>
        </row>
        <row r="133">
          <cell r="B133" t="str">
            <v>xx</v>
          </cell>
          <cell r="C133">
            <v>4303</v>
          </cell>
          <cell r="D133" t="str">
            <v>หนี้สูญรับคืน</v>
          </cell>
          <cell r="G133">
            <v>0</v>
          </cell>
          <cell r="H133">
            <v>2495268.44</v>
          </cell>
          <cell r="J133">
            <v>2495268.44</v>
          </cell>
        </row>
        <row r="136">
          <cell r="J136">
            <v>0</v>
          </cell>
        </row>
        <row r="137">
          <cell r="B137" t="str">
            <v>xx</v>
          </cell>
          <cell r="C137">
            <v>5020</v>
          </cell>
          <cell r="D137" t="str">
            <v>ต้นทุนเช่าซื้อ</v>
          </cell>
          <cell r="G137">
            <v>130789368.30999999</v>
          </cell>
          <cell r="H137">
            <v>0</v>
          </cell>
          <cell r="I137">
            <v>130789368.30999999</v>
          </cell>
        </row>
        <row r="138">
          <cell r="B138" t="str">
            <v>xx</v>
          </cell>
          <cell r="C138">
            <v>5021</v>
          </cell>
          <cell r="D138" t="str">
            <v>ต้นทุนขายเช่าซื้อรถยึด</v>
          </cell>
          <cell r="G138">
            <v>104870.45000000001</v>
          </cell>
          <cell r="H138">
            <v>0</v>
          </cell>
          <cell r="I138">
            <v>104870.45000000001</v>
          </cell>
        </row>
        <row r="140">
          <cell r="B140" t="str">
            <v>xx</v>
          </cell>
          <cell r="C140">
            <v>5700</v>
          </cell>
          <cell r="D140" t="str">
            <v>เงินเดือน</v>
          </cell>
          <cell r="G140">
            <v>7352824</v>
          </cell>
          <cell r="H140">
            <v>47000</v>
          </cell>
          <cell r="I140">
            <v>7305824</v>
          </cell>
        </row>
        <row r="142">
          <cell r="B142" t="str">
            <v>xx</v>
          </cell>
          <cell r="C142">
            <v>5701</v>
          </cell>
          <cell r="D142" t="str">
            <v>เงินรางวัลแผนกสินเชื่อฯ</v>
          </cell>
          <cell r="G142">
            <v>317680</v>
          </cell>
          <cell r="H142">
            <v>0</v>
          </cell>
          <cell r="I142">
            <v>317680</v>
          </cell>
        </row>
        <row r="143">
          <cell r="B143" t="str">
            <v>xx</v>
          </cell>
          <cell r="C143">
            <v>5702</v>
          </cell>
          <cell r="D143" t="str">
            <v>เงินรางวัลแผนกติดตามฯ</v>
          </cell>
          <cell r="G143">
            <v>863328</v>
          </cell>
          <cell r="H143">
            <v>0</v>
          </cell>
          <cell r="I143">
            <v>863328</v>
          </cell>
        </row>
        <row r="144">
          <cell r="B144" t="str">
            <v>xx</v>
          </cell>
          <cell r="C144">
            <v>5703</v>
          </cell>
          <cell r="D144" t="str">
            <v>เงินรางวัลแผนกเร่งรัดฯ</v>
          </cell>
          <cell r="G144">
            <v>46161</v>
          </cell>
          <cell r="H144">
            <v>0</v>
          </cell>
          <cell r="I144">
            <v>46161</v>
          </cell>
        </row>
        <row r="145">
          <cell r="B145" t="str">
            <v>xx</v>
          </cell>
          <cell r="C145">
            <v>5704</v>
          </cell>
          <cell r="D145" t="str">
            <v>เงินรางวัลแผนกนิติการ</v>
          </cell>
          <cell r="G145">
            <v>600</v>
          </cell>
          <cell r="H145">
            <v>0</v>
          </cell>
          <cell r="I145">
            <v>600</v>
          </cell>
        </row>
        <row r="146">
          <cell r="B146" t="str">
            <v>xx</v>
          </cell>
          <cell r="C146">
            <v>5705</v>
          </cell>
          <cell r="D146" t="str">
            <v>ค่าล่วงเวลาและค่าเบี้ยเลี้ยง</v>
          </cell>
          <cell r="G146">
            <v>103769</v>
          </cell>
          <cell r="H146">
            <v>0</v>
          </cell>
          <cell r="I146">
            <v>103769</v>
          </cell>
        </row>
        <row r="147">
          <cell r="B147" t="str">
            <v>xx</v>
          </cell>
          <cell r="C147">
            <v>5706</v>
          </cell>
          <cell r="D147" t="str">
            <v>ค่าสวัสดิการ</v>
          </cell>
          <cell r="G147">
            <v>97096</v>
          </cell>
          <cell r="H147">
            <v>0</v>
          </cell>
          <cell r="I147">
            <v>97096</v>
          </cell>
        </row>
        <row r="148">
          <cell r="B148" t="str">
            <v>xx</v>
          </cell>
          <cell r="C148">
            <v>5707</v>
          </cell>
          <cell r="D148" t="str">
            <v>โบนัส</v>
          </cell>
          <cell r="G148">
            <v>1532770.3800000001</v>
          </cell>
          <cell r="H148">
            <v>0</v>
          </cell>
          <cell r="I148">
            <v>1532770.3800000001</v>
          </cell>
        </row>
        <row r="149">
          <cell r="B149" t="str">
            <v>xx</v>
          </cell>
          <cell r="C149">
            <v>5708</v>
          </cell>
          <cell r="D149" t="str">
            <v>ค่าส่งเสริมการขาย</v>
          </cell>
          <cell r="G149">
            <v>7678</v>
          </cell>
          <cell r="H149">
            <v>0</v>
          </cell>
          <cell r="I149">
            <v>7678</v>
          </cell>
        </row>
        <row r="150">
          <cell r="B150" t="str">
            <v>xx</v>
          </cell>
          <cell r="C150">
            <v>5709</v>
          </cell>
          <cell r="D150" t="str">
            <v>ค่ารับรอง</v>
          </cell>
          <cell r="G150">
            <v>32927.15</v>
          </cell>
          <cell r="H150">
            <v>0</v>
          </cell>
          <cell r="I150">
            <v>32927.15</v>
          </cell>
        </row>
        <row r="151">
          <cell r="B151" t="str">
            <v>xx</v>
          </cell>
          <cell r="C151">
            <v>5710</v>
          </cell>
          <cell r="D151" t="str">
            <v>ค่าใช้จ่ายเกี่ยวกับทะเบียน</v>
          </cell>
          <cell r="G151">
            <v>1084206.99</v>
          </cell>
          <cell r="H151">
            <v>0</v>
          </cell>
          <cell r="I151">
            <v>1084206.99</v>
          </cell>
        </row>
        <row r="152">
          <cell r="B152" t="str">
            <v>xx</v>
          </cell>
          <cell r="C152">
            <v>5711</v>
          </cell>
          <cell r="D152" t="str">
            <v>ค่าเบี้ยประกันตาม พรบ.</v>
          </cell>
          <cell r="G152">
            <v>0</v>
          </cell>
          <cell r="H152">
            <v>0</v>
          </cell>
          <cell r="I152">
            <v>0</v>
          </cell>
        </row>
        <row r="153">
          <cell r="B153" t="str">
            <v>xx</v>
          </cell>
          <cell r="C153">
            <v>5712</v>
          </cell>
          <cell r="D153" t="str">
            <v>ภาษีต้องห้าม</v>
          </cell>
          <cell r="G153">
            <v>851.06000000000006</v>
          </cell>
          <cell r="H153">
            <v>0</v>
          </cell>
          <cell r="I153">
            <v>851.06000000000006</v>
          </cell>
        </row>
        <row r="154">
          <cell r="B154" t="str">
            <v>xx</v>
          </cell>
          <cell r="C154" t="str">
            <v>5713</v>
          </cell>
          <cell r="D154" t="str">
            <v>ภาษีโรงเรือนและภาษีป้าย</v>
          </cell>
          <cell r="G154">
            <v>28720</v>
          </cell>
          <cell r="H154">
            <v>0</v>
          </cell>
          <cell r="I154">
            <v>28720</v>
          </cell>
        </row>
        <row r="160">
          <cell r="B160" t="str">
            <v>xx</v>
          </cell>
          <cell r="C160">
            <v>5800</v>
          </cell>
          <cell r="D160" t="str">
            <v>ค่าพาหนะ</v>
          </cell>
          <cell r="G160">
            <v>13646</v>
          </cell>
          <cell r="H160">
            <v>0</v>
          </cell>
          <cell r="I160">
            <v>13646</v>
          </cell>
        </row>
        <row r="161">
          <cell r="B161" t="str">
            <v>xx</v>
          </cell>
          <cell r="C161">
            <v>5801</v>
          </cell>
          <cell r="D161" t="str">
            <v>ค่าใช้จ่ายเกี่ยวกับรถใช้งาน</v>
          </cell>
          <cell r="G161">
            <v>891423.39000000013</v>
          </cell>
          <cell r="H161">
            <v>0</v>
          </cell>
          <cell r="I161">
            <v>891423.39000000013</v>
          </cell>
        </row>
        <row r="162">
          <cell r="B162" t="str">
            <v>xx</v>
          </cell>
          <cell r="C162">
            <v>5802</v>
          </cell>
          <cell r="D162" t="str">
            <v>ค่าไฟฟ้า</v>
          </cell>
          <cell r="G162">
            <v>312161.98000000004</v>
          </cell>
          <cell r="H162">
            <v>0</v>
          </cell>
          <cell r="I162">
            <v>312161.98000000004</v>
          </cell>
        </row>
        <row r="163">
          <cell r="B163" t="str">
            <v>xx</v>
          </cell>
          <cell r="C163">
            <v>5803</v>
          </cell>
          <cell r="D163" t="str">
            <v>ค่าน้ำประปา</v>
          </cell>
          <cell r="G163">
            <v>13872.07</v>
          </cell>
          <cell r="H163">
            <v>0</v>
          </cell>
          <cell r="I163">
            <v>13872.07</v>
          </cell>
        </row>
        <row r="164">
          <cell r="B164" t="str">
            <v>xx</v>
          </cell>
          <cell r="C164">
            <v>5804</v>
          </cell>
          <cell r="D164" t="str">
            <v>ค่าไปรษณีย์</v>
          </cell>
          <cell r="G164">
            <v>407276</v>
          </cell>
          <cell r="H164">
            <v>0</v>
          </cell>
          <cell r="I164">
            <v>407276</v>
          </cell>
        </row>
        <row r="165">
          <cell r="B165" t="str">
            <v>xx</v>
          </cell>
          <cell r="C165">
            <v>5805</v>
          </cell>
          <cell r="D165" t="str">
            <v>ค่าโทรศัพท์</v>
          </cell>
          <cell r="G165">
            <v>237790.26</v>
          </cell>
          <cell r="H165">
            <v>0</v>
          </cell>
          <cell r="I165">
            <v>237790.26</v>
          </cell>
        </row>
        <row r="166">
          <cell r="B166" t="str">
            <v>xx</v>
          </cell>
          <cell r="C166">
            <v>5806</v>
          </cell>
          <cell r="D166" t="str">
            <v>ค่าเครื่องเขียนแบบพิมพ์</v>
          </cell>
          <cell r="G166">
            <v>271336.92</v>
          </cell>
          <cell r="H166">
            <v>0</v>
          </cell>
          <cell r="I166">
            <v>271336.92</v>
          </cell>
        </row>
        <row r="167">
          <cell r="B167" t="str">
            <v>xx</v>
          </cell>
          <cell r="C167">
            <v>5807</v>
          </cell>
          <cell r="D167" t="str">
            <v>ค่าวัสดุสิ้นเปลืองใช้ไป</v>
          </cell>
          <cell r="G167">
            <v>17103.04</v>
          </cell>
          <cell r="H167">
            <v>0</v>
          </cell>
          <cell r="I167">
            <v>17103.04</v>
          </cell>
        </row>
        <row r="168">
          <cell r="B168" t="str">
            <v>xx</v>
          </cell>
          <cell r="C168">
            <v>5808</v>
          </cell>
          <cell r="D168" t="str">
            <v>ค่าอากรแสตมป์</v>
          </cell>
          <cell r="G168">
            <v>296106</v>
          </cell>
          <cell r="H168">
            <v>0</v>
          </cell>
          <cell r="I168">
            <v>296106</v>
          </cell>
        </row>
        <row r="169">
          <cell r="B169" t="str">
            <v>xx</v>
          </cell>
          <cell r="C169">
            <v>5809</v>
          </cell>
          <cell r="D169" t="str">
            <v>ค่าใช้จ่ายดำเนินคดี</v>
          </cell>
          <cell r="G169">
            <v>53661</v>
          </cell>
          <cell r="H169">
            <v>0</v>
          </cell>
          <cell r="I169">
            <v>53661</v>
          </cell>
        </row>
        <row r="170">
          <cell r="B170" t="str">
            <v>xx</v>
          </cell>
          <cell r="C170">
            <v>5810</v>
          </cell>
          <cell r="D170" t="str">
            <v>ค่าซ่อมแซมและบำรุงรักษา</v>
          </cell>
          <cell r="G170">
            <v>111040.12</v>
          </cell>
          <cell r="H170">
            <v>0</v>
          </cell>
          <cell r="I170">
            <v>111040.12</v>
          </cell>
        </row>
        <row r="171">
          <cell r="B171" t="str">
            <v>xx</v>
          </cell>
          <cell r="C171">
            <v>5811</v>
          </cell>
          <cell r="D171" t="str">
            <v>ค่าใช้จ่ายคอมพิวเตอร์</v>
          </cell>
          <cell r="G171">
            <v>17885.23</v>
          </cell>
          <cell r="H171">
            <v>0</v>
          </cell>
          <cell r="I171">
            <v>17885.23</v>
          </cell>
        </row>
        <row r="175">
          <cell r="B175" t="str">
            <v>xx</v>
          </cell>
          <cell r="C175">
            <v>5813</v>
          </cell>
          <cell r="D175" t="str">
            <v>ค่าเบี้ยประกันต่างๆ</v>
          </cell>
          <cell r="G175">
            <v>346754.22000000003</v>
          </cell>
          <cell r="H175">
            <v>2856.8</v>
          </cell>
          <cell r="I175">
            <v>343897.42000000004</v>
          </cell>
        </row>
        <row r="176">
          <cell r="B176" t="str">
            <v>xx</v>
          </cell>
          <cell r="C176">
            <v>5814</v>
          </cell>
          <cell r="D176" t="str">
            <v>ค่าใช้จ่ายเบ็ดเตล็ด</v>
          </cell>
          <cell r="G176">
            <v>288056.62</v>
          </cell>
          <cell r="H176">
            <v>0</v>
          </cell>
          <cell r="I176">
            <v>288056.62</v>
          </cell>
        </row>
        <row r="178">
          <cell r="B178" t="str">
            <v>xx</v>
          </cell>
          <cell r="C178">
            <v>5815</v>
          </cell>
          <cell r="D178" t="str">
            <v>ส่วนลดจ่าย</v>
          </cell>
          <cell r="G178">
            <v>330940.13</v>
          </cell>
          <cell r="H178">
            <v>0</v>
          </cell>
          <cell r="I178">
            <v>330940.13</v>
          </cell>
        </row>
        <row r="179">
          <cell r="B179" t="str">
            <v>xx</v>
          </cell>
          <cell r="C179">
            <v>5816</v>
          </cell>
          <cell r="D179" t="str">
            <v>ค่าธรรมเนียมเคาน์เตอร์เซอร์วิส</v>
          </cell>
          <cell r="G179">
            <v>15857.07</v>
          </cell>
          <cell r="H179">
            <v>0</v>
          </cell>
          <cell r="I179">
            <v>15857.07</v>
          </cell>
        </row>
        <row r="182">
          <cell r="B182" t="str">
            <v>xx</v>
          </cell>
          <cell r="C182">
            <v>5817</v>
          </cell>
          <cell r="D182" t="str">
            <v>ค่าการกุศล</v>
          </cell>
          <cell r="G182">
            <v>3409</v>
          </cell>
          <cell r="H182">
            <v>0</v>
          </cell>
          <cell r="I182">
            <v>3409</v>
          </cell>
        </row>
        <row r="183">
          <cell r="J183">
            <v>0</v>
          </cell>
        </row>
        <row r="184">
          <cell r="B184" t="str">
            <v>xx</v>
          </cell>
          <cell r="C184">
            <v>5819</v>
          </cell>
          <cell r="D184" t="str">
            <v>ค่าสอบบัญชี</v>
          </cell>
          <cell r="G184">
            <v>174999.99</v>
          </cell>
          <cell r="H184">
            <v>0</v>
          </cell>
          <cell r="I184">
            <v>174999.99</v>
          </cell>
        </row>
        <row r="185">
          <cell r="B185" t="str">
            <v>xx</v>
          </cell>
          <cell r="C185">
            <v>5820</v>
          </cell>
          <cell r="D185" t="str">
            <v>ผลเสียหายจากการยึดรถคืน</v>
          </cell>
          <cell r="G185">
            <v>0</v>
          </cell>
          <cell r="H185">
            <v>2832188.16</v>
          </cell>
          <cell r="I185">
            <v>0</v>
          </cell>
          <cell r="J185">
            <v>2832188.16</v>
          </cell>
        </row>
        <row r="186">
          <cell r="B186" t="str">
            <v>xx</v>
          </cell>
          <cell r="C186">
            <v>5821</v>
          </cell>
          <cell r="D186" t="str">
            <v>ผลเสียหายจากพนักงานทุจริต</v>
          </cell>
          <cell r="G186">
            <v>138035</v>
          </cell>
          <cell r="H186">
            <v>0</v>
          </cell>
          <cell r="I186">
            <v>138035</v>
          </cell>
        </row>
        <row r="188">
          <cell r="B188" t="str">
            <v>xx</v>
          </cell>
          <cell r="C188">
            <v>5823</v>
          </cell>
          <cell r="D188" t="str">
            <v>ค่าใช้จ่ายในการติดตามเร่งรัดหนี้สิน</v>
          </cell>
          <cell r="G188">
            <v>308359</v>
          </cell>
          <cell r="H188">
            <v>0</v>
          </cell>
          <cell r="I188">
            <v>308359</v>
          </cell>
        </row>
        <row r="190">
          <cell r="B190" t="str">
            <v>xx</v>
          </cell>
          <cell r="C190">
            <v>5825</v>
          </cell>
          <cell r="D190" t="str">
            <v>กองทุนทดแทน</v>
          </cell>
          <cell r="G190">
            <v>110000</v>
          </cell>
          <cell r="H190">
            <v>0</v>
          </cell>
          <cell r="I190">
            <v>110000</v>
          </cell>
        </row>
        <row r="191">
          <cell r="B191" t="str">
            <v>xx</v>
          </cell>
          <cell r="C191">
            <v>5826</v>
          </cell>
          <cell r="D191" t="str">
            <v>ค่าใช้จ่ายฝึกอบรม</v>
          </cell>
          <cell r="G191">
            <v>0</v>
          </cell>
          <cell r="H191">
            <v>0</v>
          </cell>
          <cell r="I191">
            <v>0</v>
          </cell>
        </row>
        <row r="193">
          <cell r="B193" t="str">
            <v>xx</v>
          </cell>
          <cell r="C193">
            <v>5828</v>
          </cell>
          <cell r="D193" t="str">
            <v>เงินชดเชยค่าสึกหรอรถใช้งาน</v>
          </cell>
          <cell r="G193">
            <v>214298</v>
          </cell>
          <cell r="H193">
            <v>0</v>
          </cell>
          <cell r="I193">
            <v>214298</v>
          </cell>
        </row>
        <row r="195">
          <cell r="B195" t="str">
            <v>xx</v>
          </cell>
          <cell r="C195">
            <v>5830</v>
          </cell>
          <cell r="D195" t="str">
            <v>ดอกเบี้ยจ่าย</v>
          </cell>
          <cell r="G195">
            <v>130.36000000000001</v>
          </cell>
          <cell r="H195">
            <v>0</v>
          </cell>
          <cell r="I195">
            <v>130.36000000000001</v>
          </cell>
        </row>
        <row r="196">
          <cell r="B196" t="str">
            <v>xx</v>
          </cell>
          <cell r="C196">
            <v>5831</v>
          </cell>
          <cell r="D196" t="str">
            <v>เงินสมทบประกันสังคม</v>
          </cell>
          <cell r="G196">
            <v>245582</v>
          </cell>
          <cell r="H196">
            <v>0</v>
          </cell>
          <cell r="I196">
            <v>245582</v>
          </cell>
        </row>
        <row r="197">
          <cell r="J197">
            <v>0</v>
          </cell>
        </row>
        <row r="198">
          <cell r="B198" t="str">
            <v>xx</v>
          </cell>
          <cell r="C198">
            <v>5833</v>
          </cell>
          <cell r="D198" t="str">
            <v>กำไร(ขาดทุน)จากการขายยึดรถ</v>
          </cell>
          <cell r="G198">
            <v>9451024.6499999985</v>
          </cell>
          <cell r="H198">
            <v>561929.96000000008</v>
          </cell>
          <cell r="I198">
            <v>8889094.6899999976</v>
          </cell>
        </row>
        <row r="199">
          <cell r="B199" t="str">
            <v>xx</v>
          </cell>
          <cell r="C199">
            <v>5834</v>
          </cell>
          <cell r="D199" t="str">
            <v>เบี้ยปรับและเงินเพิ่ม</v>
          </cell>
          <cell r="G199">
            <v>202.52</v>
          </cell>
          <cell r="H199">
            <v>0</v>
          </cell>
          <cell r="I199">
            <v>202.52</v>
          </cell>
        </row>
        <row r="201">
          <cell r="B201" t="str">
            <v>xx</v>
          </cell>
          <cell r="C201">
            <v>5836</v>
          </cell>
          <cell r="D201" t="str">
            <v>สำรองเลี้ยงชีพ</v>
          </cell>
          <cell r="G201">
            <v>50577</v>
          </cell>
          <cell r="H201">
            <v>0</v>
          </cell>
          <cell r="I201">
            <v>50577</v>
          </cell>
        </row>
        <row r="204">
          <cell r="J204">
            <v>282559.1399999999</v>
          </cell>
        </row>
        <row r="205">
          <cell r="J205">
            <v>8437674.8300000001</v>
          </cell>
        </row>
        <row r="207">
          <cell r="J207">
            <v>1190647314.9400001</v>
          </cell>
        </row>
        <row r="208">
          <cell r="J208">
            <v>185636374.56999999</v>
          </cell>
        </row>
        <row r="209">
          <cell r="J209">
            <v>0</v>
          </cell>
        </row>
        <row r="210">
          <cell r="J210">
            <v>0</v>
          </cell>
        </row>
        <row r="211">
          <cell r="J211">
            <v>0</v>
          </cell>
        </row>
        <row r="212">
          <cell r="J212">
            <v>0</v>
          </cell>
        </row>
        <row r="213">
          <cell r="J213">
            <v>0</v>
          </cell>
        </row>
        <row r="214">
          <cell r="J214">
            <v>0</v>
          </cell>
        </row>
        <row r="215">
          <cell r="B215" t="str">
            <v>xx</v>
          </cell>
          <cell r="C215">
            <v>9007</v>
          </cell>
          <cell r="D215" t="str">
            <v>REALIZED P/F จาก REPORT ปีนี้</v>
          </cell>
          <cell r="E215" t="str">
            <v xml:space="preserve"> </v>
          </cell>
          <cell r="G215">
            <v>0</v>
          </cell>
          <cell r="I215" t="str">
            <v>REALIZED P/F จาก REPORT ปีนี้</v>
          </cell>
          <cell r="J215">
            <v>46408507.270000003</v>
          </cell>
        </row>
        <row r="216">
          <cell r="B216" t="str">
            <v>xx</v>
          </cell>
          <cell r="C216">
            <v>9008</v>
          </cell>
          <cell r="D216" t="str">
            <v>R/F เงินค้างปีนี้</v>
          </cell>
          <cell r="E216" t="str">
            <v xml:space="preserve"> </v>
          </cell>
          <cell r="G216">
            <v>0</v>
          </cell>
          <cell r="I216" t="str">
            <v>R/F เงินค้างปีนี้</v>
          </cell>
          <cell r="J216">
            <v>20549528.760000002</v>
          </cell>
        </row>
        <row r="217">
          <cell r="B217" t="str">
            <v>xx</v>
          </cell>
          <cell r="C217">
            <v>9009</v>
          </cell>
          <cell r="D217" t="str">
            <v>R/F เงินค้างปีก่อน (สุทธิ)</v>
          </cell>
          <cell r="E217" t="str">
            <v xml:space="preserve"> </v>
          </cell>
          <cell r="G217">
            <v>0</v>
          </cell>
          <cell r="I217" t="str">
            <v>R/F เงินค้างปีก่อน (สุทธิ)</v>
          </cell>
          <cell r="J217">
            <v>22640665.739999998</v>
          </cell>
        </row>
        <row r="218">
          <cell r="B218" t="str">
            <v>xx</v>
          </cell>
          <cell r="C218">
            <v>9010</v>
          </cell>
          <cell r="D218" t="str">
            <v>ลูกหนี้ค่าภาษีเงินค้างปีนี้</v>
          </cell>
          <cell r="E218" t="str">
            <v xml:space="preserve"> </v>
          </cell>
          <cell r="G218">
            <v>0</v>
          </cell>
          <cell r="I218" t="str">
            <v>ลูกหนี้ค่าภาษีเงินค้างปีนี้</v>
          </cell>
          <cell r="J218">
            <v>4136808.7</v>
          </cell>
        </row>
        <row r="219">
          <cell r="B219" t="str">
            <v>xx</v>
          </cell>
          <cell r="C219">
            <v>9011</v>
          </cell>
          <cell r="D219" t="str">
            <v>ลูกหนี้ค่าภาษีเงินค้างปีก่อน</v>
          </cell>
          <cell r="E219" t="str">
            <v xml:space="preserve"> </v>
          </cell>
          <cell r="G219">
            <v>0</v>
          </cell>
          <cell r="I219" t="str">
            <v>ลูกหนี้ค่าภาษีเงินค้างปีก่อน</v>
          </cell>
          <cell r="J21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1">
          <cell r="B11" t="str">
            <v>xx</v>
          </cell>
          <cell r="C11">
            <v>1200</v>
          </cell>
          <cell r="D11" t="str">
            <v>ลูกหนี้สินค้ารถยึด</v>
          </cell>
          <cell r="E11">
            <v>3754961</v>
          </cell>
          <cell r="G11">
            <v>32708644</v>
          </cell>
          <cell r="H11">
            <v>34210292</v>
          </cell>
          <cell r="I11">
            <v>2253313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1">
          <cell r="B11" t="str">
            <v>xx</v>
          </cell>
          <cell r="C11">
            <v>1200</v>
          </cell>
          <cell r="D11" t="str">
            <v>ลูกหนี้สินค้ารถยึด</v>
          </cell>
          <cell r="E11">
            <v>3754961</v>
          </cell>
          <cell r="G11">
            <v>32708644</v>
          </cell>
          <cell r="H11">
            <v>34210292</v>
          </cell>
          <cell r="I11">
            <v>2253313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 MFC"/>
      <sheetName val="OPEX MFC (old)"/>
      <sheetName val="OPEX MFC"/>
      <sheetName val="Income"/>
      <sheetName val="Movement"/>
      <sheetName val="Sheet2"/>
    </sheetNames>
    <sheetDataSet>
      <sheetData sheetId="0"/>
      <sheetData sheetId="1"/>
      <sheetData sheetId="2">
        <row r="68">
          <cell r="D68">
            <v>1423123.3303382518</v>
          </cell>
          <cell r="E68">
            <v>1921882.9959942061</v>
          </cell>
          <cell r="F68">
            <v>1757294.1630189726</v>
          </cell>
          <cell r="G68">
            <v>2370213.6638315483</v>
          </cell>
          <cell r="H68">
            <v>1071186.259216737</v>
          </cell>
          <cell r="I68">
            <v>1713305.7888845042</v>
          </cell>
          <cell r="J68">
            <v>1583714.9155625252</v>
          </cell>
          <cell r="K68">
            <v>1280816.6540499316</v>
          </cell>
          <cell r="L68">
            <v>1277952.6175681665</v>
          </cell>
          <cell r="M68">
            <v>1476577.3214038732</v>
          </cell>
        </row>
      </sheetData>
      <sheetData sheetId="3">
        <row r="28">
          <cell r="H28">
            <v>453576.67973808013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_procedure"/>
      <sheetName val="FS_Mar"/>
      <sheetName val="Trial bal_Mar"/>
      <sheetName val="งบเปรียบเทียบ 3 เดือน"/>
      <sheetName val="คำนวณDefered Tax"/>
      <sheetName val="Trial bal"/>
      <sheetName val="รายละเอียดประกอบBS (page1-5)"/>
      <sheetName val="รายละเอียดประกอบPL (page6-8)"/>
      <sheetName val="งบเปรียบเทียบ&amp;คชจ.ขาย (Page1-6)"/>
      <sheetName val="Sheet1"/>
      <sheetName val="หมายเหตุข่อ 4 (page 11-13)"/>
      <sheetName val="หมายเหตุข่อ 5,6 (page14)"/>
      <sheetName val="หมายเหตุ7(page15-17)"/>
      <sheetName val="หมายเหต8 (page18)"/>
      <sheetName val="หมายเหตุ9-11(page19-22)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37">
          <cell r="B237" t="str">
            <v>เงินเดือนโบนัสและเงินรางวัลพนักงาน</v>
          </cell>
          <cell r="D237" t="str">
            <v>Salary, Bonus and Incentive</v>
          </cell>
          <cell r="H237" t="str">
            <v>9.3.1</v>
          </cell>
          <cell r="L237">
            <v>0</v>
          </cell>
          <cell r="N237">
            <v>0</v>
          </cell>
          <cell r="O237">
            <v>0</v>
          </cell>
          <cell r="AE237">
            <v>0</v>
          </cell>
        </row>
        <row r="238">
          <cell r="B238" t="str">
            <v>ค่าล่วงเวลาและค่าเบี้ยเลี้ยง</v>
          </cell>
          <cell r="D238" t="str">
            <v>Overtime Expenses</v>
          </cell>
          <cell r="L238">
            <v>50287.5</v>
          </cell>
          <cell r="N238">
            <v>35250</v>
          </cell>
          <cell r="O238">
            <v>15037.5</v>
          </cell>
          <cell r="AE238">
            <v>15037.5</v>
          </cell>
        </row>
        <row r="239">
          <cell r="B239" t="str">
            <v>เงินชดเชยค่าสึกหรอรถใช้งาน</v>
          </cell>
          <cell r="D239" t="str">
            <v>Other expenses</v>
          </cell>
          <cell r="L239">
            <v>0</v>
          </cell>
          <cell r="N239">
            <v>0</v>
          </cell>
          <cell r="O239">
            <v>0</v>
          </cell>
          <cell r="AE239">
            <v>0</v>
          </cell>
        </row>
        <row r="240">
          <cell r="B240" t="str">
            <v>ค่าสวัสดิการ</v>
          </cell>
          <cell r="D240" t="str">
            <v>Benefits</v>
          </cell>
          <cell r="L240">
            <v>0</v>
          </cell>
          <cell r="N240">
            <v>0</v>
          </cell>
          <cell r="O240">
            <v>0</v>
          </cell>
          <cell r="AE240">
            <v>0</v>
          </cell>
        </row>
        <row r="241">
          <cell r="B241" t="str">
            <v>เงินสมทบประกันสังคม,กองทุนเงินทดแทน,กองทุนสำรองเลี้ยงชีพ</v>
          </cell>
          <cell r="D241" t="str">
            <v>Social security payment, Provident fund</v>
          </cell>
          <cell r="L241">
            <v>0</v>
          </cell>
          <cell r="N241">
            <v>0</v>
          </cell>
          <cell r="O241">
            <v>0</v>
          </cell>
          <cell r="AE241">
            <v>0</v>
          </cell>
        </row>
        <row r="242">
          <cell r="B242" t="str">
            <v>ผลตอบแทนกรรมการ</v>
          </cell>
          <cell r="D242" t="str">
            <v>Directors Remuneration</v>
          </cell>
          <cell r="L242">
            <v>0</v>
          </cell>
          <cell r="N242">
            <v>0</v>
          </cell>
          <cell r="O242">
            <v>0</v>
          </cell>
          <cell r="AE242">
            <v>0</v>
          </cell>
        </row>
        <row r="243">
          <cell r="B243" t="str">
            <v>ผลประโยชน์พนักงาน</v>
          </cell>
          <cell r="D243" t="str">
            <v>Other expenses</v>
          </cell>
          <cell r="L243">
            <v>0</v>
          </cell>
          <cell r="N243">
            <v>0</v>
          </cell>
          <cell r="O243">
            <v>0</v>
          </cell>
          <cell r="AE243">
            <v>0</v>
          </cell>
        </row>
        <row r="244">
          <cell r="B244" t="str">
            <v>ค่าเบี้ยประชุมกรรมการ</v>
          </cell>
          <cell r="D244" t="str">
            <v>Directors Remuneration Expenses</v>
          </cell>
          <cell r="L244">
            <v>688000</v>
          </cell>
          <cell r="N244">
            <v>468000</v>
          </cell>
          <cell r="O244">
            <v>220000</v>
          </cell>
          <cell r="AE244">
            <v>220000</v>
          </cell>
        </row>
        <row r="245">
          <cell r="B245" t="str">
            <v>ค่ารักษาความปลอดภัย</v>
          </cell>
          <cell r="D245" t="str">
            <v>Other expenses</v>
          </cell>
          <cell r="L245">
            <v>0</v>
          </cell>
          <cell r="N245">
            <v>0</v>
          </cell>
          <cell r="O245">
            <v>0</v>
          </cell>
          <cell r="AE245">
            <v>0</v>
          </cell>
        </row>
        <row r="246">
          <cell r="B246" t="str">
            <v>ค่าส่งเสริมการขาย</v>
          </cell>
          <cell r="D246" t="str">
            <v>Sales Promotions Expenses</v>
          </cell>
          <cell r="L246">
            <v>153061.32999999999</v>
          </cell>
          <cell r="N246">
            <v>108192.58</v>
          </cell>
          <cell r="O246">
            <v>44868.749999999985</v>
          </cell>
          <cell r="AE246">
            <v>44868.749999999985</v>
          </cell>
        </row>
        <row r="247">
          <cell r="B247" t="str">
            <v>ค่ารับรอง</v>
          </cell>
          <cell r="D247" t="str">
            <v>Entertainment Expenses</v>
          </cell>
          <cell r="L247">
            <v>246509.91</v>
          </cell>
          <cell r="N247">
            <v>196509.91</v>
          </cell>
          <cell r="O247">
            <v>50000</v>
          </cell>
          <cell r="AE247">
            <v>50000</v>
          </cell>
        </row>
        <row r="248">
          <cell r="B248" t="str">
            <v>ค่าของขวัญและของชำร่วย</v>
          </cell>
          <cell r="D248" t="str">
            <v>ค่าของขวัญและของชำร่วย</v>
          </cell>
          <cell r="L248">
            <v>0</v>
          </cell>
          <cell r="N248">
            <v>0</v>
          </cell>
          <cell r="O248">
            <v>0</v>
          </cell>
          <cell r="AE248">
            <v>0</v>
          </cell>
        </row>
        <row r="249">
          <cell r="B249" t="str">
            <v>ค่าใช้จ่ายเกี่ยวกับทะเบียน</v>
          </cell>
          <cell r="D249" t="str">
            <v>Register Fees</v>
          </cell>
          <cell r="L249">
            <v>3499463</v>
          </cell>
          <cell r="N249">
            <v>2799148</v>
          </cell>
          <cell r="O249">
            <v>700315</v>
          </cell>
          <cell r="AE249">
            <v>700315</v>
          </cell>
        </row>
        <row r="250">
          <cell r="B250" t="str">
            <v>ค่าใช้จ่ายเกี่ยวกับรถใช้งาน</v>
          </cell>
          <cell r="D250" t="str">
            <v>Car Expenses</v>
          </cell>
          <cell r="L250">
            <v>8009.34</v>
          </cell>
          <cell r="N250">
            <v>1752.34</v>
          </cell>
          <cell r="O250">
            <v>6257</v>
          </cell>
          <cell r="AE250">
            <v>6257</v>
          </cell>
        </row>
        <row r="251">
          <cell r="B251" t="str">
            <v>ค่าเช่าอาคาร</v>
          </cell>
          <cell r="D251" t="str">
            <v>Office Rental Expenses</v>
          </cell>
          <cell r="L251">
            <v>2208663.59</v>
          </cell>
          <cell r="N251">
            <v>1715694.23</v>
          </cell>
          <cell r="O251">
            <v>492969.35999999987</v>
          </cell>
          <cell r="AE251">
            <v>492969.35999999987</v>
          </cell>
        </row>
        <row r="252">
          <cell r="B252" t="str">
            <v>ค่าบริการรถยนต์เช่า</v>
          </cell>
          <cell r="D252" t="str">
            <v>Car Rental Expenses</v>
          </cell>
          <cell r="L252">
            <v>186251.32</v>
          </cell>
          <cell r="N252">
            <v>151476.32</v>
          </cell>
          <cell r="O252">
            <v>34775</v>
          </cell>
          <cell r="AE252">
            <v>34775</v>
          </cell>
        </row>
        <row r="253">
          <cell r="B253" t="str">
            <v>ค่าเช่าคอมพิวเตอร์</v>
          </cell>
          <cell r="D253" t="str">
            <v>Computer Rental Expenses</v>
          </cell>
          <cell r="L253">
            <v>8329.68</v>
          </cell>
          <cell r="N253">
            <v>8329.68</v>
          </cell>
          <cell r="O253">
            <v>0</v>
          </cell>
          <cell r="AE253">
            <v>0</v>
          </cell>
        </row>
        <row r="254">
          <cell r="B254" t="str">
            <v>ค่าเช่าเครื่องกรองน้ำ</v>
          </cell>
          <cell r="D254" t="str">
            <v>Rental strainer expenses</v>
          </cell>
          <cell r="L254">
            <v>0</v>
          </cell>
          <cell r="N254">
            <v>0</v>
          </cell>
          <cell r="O254">
            <v>0</v>
          </cell>
          <cell r="AE254">
            <v>0</v>
          </cell>
        </row>
        <row r="255">
          <cell r="B255" t="str">
            <v>ค่าเช่าระบบโททัศน์วงจรปิด</v>
          </cell>
          <cell r="D255" t="str">
            <v>Rental CCTV systems expenses</v>
          </cell>
          <cell r="L255">
            <v>0</v>
          </cell>
          <cell r="N255">
            <v>0</v>
          </cell>
          <cell r="O255">
            <v>0</v>
          </cell>
          <cell r="AE255">
            <v>0</v>
          </cell>
        </row>
        <row r="256">
          <cell r="B256" t="str">
            <v>ค่าอากรแสตมป์</v>
          </cell>
          <cell r="D256" t="str">
            <v>Stamp Duty Fees</v>
          </cell>
          <cell r="L256">
            <v>152082</v>
          </cell>
          <cell r="N256">
            <v>112385</v>
          </cell>
          <cell r="O256">
            <v>39697</v>
          </cell>
          <cell r="AE256">
            <v>39697</v>
          </cell>
        </row>
        <row r="257">
          <cell r="B257" t="str">
            <v>ค่าภาษีธุรกิจเฉพาะ</v>
          </cell>
          <cell r="D257" t="str">
            <v>Specific Business Taxes</v>
          </cell>
          <cell r="L257">
            <v>1171629.6399999999</v>
          </cell>
          <cell r="N257">
            <v>896856.13</v>
          </cell>
          <cell r="O257">
            <v>274773.50999999989</v>
          </cell>
          <cell r="AE257">
            <v>274773.50999999989</v>
          </cell>
        </row>
        <row r="258">
          <cell r="B258" t="str">
            <v>ส่วนลดจ่าย</v>
          </cell>
          <cell r="D258" t="str">
            <v>Discount Expenses</v>
          </cell>
          <cell r="L258">
            <v>769653.69</v>
          </cell>
          <cell r="N258">
            <v>566497.13</v>
          </cell>
          <cell r="O258">
            <v>203156.55999999994</v>
          </cell>
          <cell r="AE258">
            <v>203156.55999999994</v>
          </cell>
        </row>
        <row r="259">
          <cell r="B259" t="str">
            <v>ค่าไฟฟ้า ค่าน้ำประปา</v>
          </cell>
          <cell r="D259" t="str">
            <v xml:space="preserve">Electricity and Water  </v>
          </cell>
          <cell r="L259">
            <v>326006.24</v>
          </cell>
          <cell r="N259">
            <v>250600.68999999997</v>
          </cell>
          <cell r="O259">
            <v>75405.550000000017</v>
          </cell>
          <cell r="AE259">
            <v>75405.550000000017</v>
          </cell>
        </row>
        <row r="260">
          <cell r="B260" t="str">
            <v>ค่าใช้จ่ายเกี่ยวกับการสื่อสาร</v>
          </cell>
          <cell r="D260" t="str">
            <v>Communication  Expenses</v>
          </cell>
          <cell r="L260">
            <v>1966691.15</v>
          </cell>
          <cell r="N260">
            <v>1597346.7000000002</v>
          </cell>
          <cell r="O260">
            <v>369344.44999999972</v>
          </cell>
          <cell r="AE260">
            <v>369344.44999999972</v>
          </cell>
        </row>
        <row r="261">
          <cell r="B261" t="str">
            <v>ค่าเครื่องเขียนแบบพิมพ์</v>
          </cell>
          <cell r="D261" t="str">
            <v>Stationery Expenses</v>
          </cell>
          <cell r="L261">
            <v>449536.82</v>
          </cell>
          <cell r="N261">
            <v>381179.91</v>
          </cell>
          <cell r="O261">
            <v>68356.910000000033</v>
          </cell>
          <cell r="AE261">
            <v>68356.910000000033</v>
          </cell>
        </row>
        <row r="262">
          <cell r="B262" t="str">
            <v>ค่าบริการเก็บเอกสาร</v>
          </cell>
          <cell r="D262" t="str">
            <v>Filing Service Expenses</v>
          </cell>
          <cell r="L262">
            <v>131046.22</v>
          </cell>
          <cell r="N262">
            <v>106796.17</v>
          </cell>
          <cell r="O262">
            <v>24250.050000000003</v>
          </cell>
          <cell r="AE262">
            <v>24250.050000000003</v>
          </cell>
        </row>
        <row r="263">
          <cell r="B263" t="str">
            <v>ค่าเบี้ยประกันภัย</v>
          </cell>
          <cell r="D263" t="str">
            <v>Insurance Premiums Expenses</v>
          </cell>
          <cell r="L263">
            <v>1834.55</v>
          </cell>
          <cell r="N263">
            <v>762.49</v>
          </cell>
          <cell r="O263">
            <v>1072.06</v>
          </cell>
          <cell r="AE263">
            <v>1072.06</v>
          </cell>
        </row>
        <row r="264">
          <cell r="B264" t="str">
            <v>ค่าธรรมเนียมธนาคารเคาน์เตอร์เซอร์วิส</v>
          </cell>
          <cell r="D264" t="str">
            <v>Counter Service Fees</v>
          </cell>
          <cell r="L264">
            <v>105684.81</v>
          </cell>
          <cell r="N264">
            <v>84038.02</v>
          </cell>
          <cell r="O264">
            <v>21646.789999999994</v>
          </cell>
          <cell r="AE264">
            <v>21646.789999999994</v>
          </cell>
        </row>
        <row r="265">
          <cell r="B265" t="str">
            <v>ค่าธรรมเนียมธนาคาร TCRB</v>
          </cell>
          <cell r="D265" t="str">
            <v>Bank Service Fees-TCRB</v>
          </cell>
          <cell r="L265">
            <v>63322.82</v>
          </cell>
          <cell r="N265">
            <v>48217.82</v>
          </cell>
          <cell r="O265">
            <v>15105</v>
          </cell>
          <cell r="AE265">
            <v>15105</v>
          </cell>
        </row>
        <row r="266">
          <cell r="B266" t="str">
            <v>ต่าธรรมเนียม ธนาคารไทยเครดิต ATM</v>
          </cell>
          <cell r="D266" t="str">
            <v>ATM Service Fees</v>
          </cell>
          <cell r="L266">
            <v>303123.90000000002</v>
          </cell>
          <cell r="N266">
            <v>267979.90000000002</v>
          </cell>
          <cell r="O266">
            <v>35144</v>
          </cell>
          <cell r="AE266">
            <v>35144</v>
          </cell>
        </row>
        <row r="267">
          <cell r="B267" t="str">
            <v>ค่าธรรมเนียมธนาคารอื่น</v>
          </cell>
          <cell r="D267" t="str">
            <v>Bank Service Fees</v>
          </cell>
          <cell r="L267">
            <v>12323</v>
          </cell>
          <cell r="N267">
            <v>11973</v>
          </cell>
          <cell r="O267">
            <v>350</v>
          </cell>
          <cell r="AE267">
            <v>350</v>
          </cell>
        </row>
        <row r="268">
          <cell r="B268" t="str">
            <v>ค่าสาธารณูประโภค</v>
          </cell>
          <cell r="D268" t="str">
            <v>Utilities</v>
          </cell>
          <cell r="L268">
            <v>464357.88</v>
          </cell>
          <cell r="N268">
            <v>368335.88</v>
          </cell>
          <cell r="O268">
            <v>96022</v>
          </cell>
          <cell r="AE268">
            <v>96022</v>
          </cell>
        </row>
        <row r="269">
          <cell r="B269" t="str">
            <v>ค่าใช้จ่ายสำนักงาน</v>
          </cell>
          <cell r="D269" t="str">
            <v>Office Expenses</v>
          </cell>
          <cell r="L269">
            <v>274005.25</v>
          </cell>
          <cell r="N269">
            <v>262460.71999999997</v>
          </cell>
          <cell r="O269">
            <v>11544.530000000028</v>
          </cell>
          <cell r="AE269">
            <v>11544.530000000028</v>
          </cell>
        </row>
        <row r="270">
          <cell r="B270" t="str">
            <v>ค่าตอบแทนสิทธิการเช่า</v>
          </cell>
          <cell r="D270" t="str">
            <v>Leasehold Remuneration</v>
          </cell>
          <cell r="L270">
            <v>6000</v>
          </cell>
          <cell r="N270">
            <v>0</v>
          </cell>
          <cell r="O270">
            <v>6000</v>
          </cell>
          <cell r="AE270">
            <v>6000</v>
          </cell>
        </row>
        <row r="271">
          <cell r="B271" t="str">
            <v>ค่าใช้จ่ายดำเนินคดี</v>
          </cell>
          <cell r="D271" t="str">
            <v>Litigation Expenses</v>
          </cell>
          <cell r="L271">
            <v>0</v>
          </cell>
          <cell r="N271">
            <v>0</v>
          </cell>
          <cell r="O271">
            <v>0</v>
          </cell>
          <cell r="AE271">
            <v>0</v>
          </cell>
        </row>
        <row r="272">
          <cell r="B272" t="str">
            <v>ค่าใช้จ่ายเพื่อการศึกษา</v>
          </cell>
          <cell r="L272">
            <v>0</v>
          </cell>
          <cell r="N272">
            <v>0</v>
          </cell>
          <cell r="O272">
            <v>0</v>
          </cell>
          <cell r="AE272">
            <v>0</v>
          </cell>
        </row>
        <row r="273">
          <cell r="B273" t="str">
            <v>ค่าใช้จ่ายเบ็ดเตล็ด</v>
          </cell>
          <cell r="D273" t="str">
            <v>Miscellaneous Expenses</v>
          </cell>
          <cell r="H273" t="str">
            <v xml:space="preserve"> </v>
          </cell>
          <cell r="L273">
            <v>136409.01</v>
          </cell>
          <cell r="N273">
            <v>110300.01000000001</v>
          </cell>
          <cell r="O273">
            <v>26109</v>
          </cell>
          <cell r="AE273">
            <v>26109</v>
          </cell>
        </row>
        <row r="274">
          <cell r="B274" t="str">
            <v>ค่าฝึกอบรม</v>
          </cell>
          <cell r="D274" t="str">
            <v>Training Expenses</v>
          </cell>
          <cell r="L274">
            <v>0</v>
          </cell>
          <cell r="N274">
            <v>0</v>
          </cell>
          <cell r="O274">
            <v>0</v>
          </cell>
          <cell r="AE274">
            <v>0</v>
          </cell>
        </row>
        <row r="275">
          <cell r="B275" t="str">
            <v>ค่าใช้จ่ายเกี่ยวกับคอมพิวเตอร์</v>
          </cell>
          <cell r="D275" t="str">
            <v>Computer Expenses</v>
          </cell>
          <cell r="L275">
            <v>102278.35</v>
          </cell>
          <cell r="N275">
            <v>59056.75</v>
          </cell>
          <cell r="O275">
            <v>43221.600000000006</v>
          </cell>
          <cell r="AE275">
            <v>43221.600000000006</v>
          </cell>
        </row>
        <row r="276">
          <cell r="B276" t="str">
            <v>ค่าสอบบัญชี</v>
          </cell>
          <cell r="D276" t="str">
            <v>Audit Fees</v>
          </cell>
          <cell r="L276">
            <v>458333.34</v>
          </cell>
          <cell r="N276">
            <v>366666.68</v>
          </cell>
          <cell r="O276">
            <v>91666.660000000033</v>
          </cell>
          <cell r="AE276">
            <v>91666.660000000033</v>
          </cell>
        </row>
        <row r="277">
          <cell r="B277" t="str">
            <v>ค่าภาษีโรงเรือนและภาษีป้าย</v>
          </cell>
          <cell r="D277" t="str">
            <v>Property and Signboard Taxes</v>
          </cell>
          <cell r="L277">
            <v>507032.71</v>
          </cell>
          <cell r="N277">
            <v>387491.42</v>
          </cell>
          <cell r="O277">
            <v>119541.29000000004</v>
          </cell>
          <cell r="AE277">
            <v>119541.29000000004</v>
          </cell>
        </row>
        <row r="278">
          <cell r="B278" t="str">
            <v>ค่าซ่อมแซมและบำรุงรักษา</v>
          </cell>
          <cell r="D278" t="str">
            <v>Repairs &amp; Maintenance Expenses</v>
          </cell>
          <cell r="L278">
            <v>75422.95</v>
          </cell>
          <cell r="N278">
            <v>46536.54</v>
          </cell>
          <cell r="O278">
            <v>28886.409999999996</v>
          </cell>
          <cell r="AE278">
            <v>28886.409999999996</v>
          </cell>
        </row>
        <row r="279">
          <cell r="B279" t="str">
            <v>ผลขาดทุนจากการด้อยค่าของสินทรัพย์ถาวร</v>
          </cell>
          <cell r="D279" t="str">
            <v>Impairment FA</v>
          </cell>
          <cell r="L279">
            <v>0</v>
          </cell>
          <cell r="N279">
            <v>0</v>
          </cell>
          <cell r="O279">
            <v>0</v>
          </cell>
          <cell r="AE279">
            <v>0</v>
          </cell>
        </row>
        <row r="280">
          <cell r="B280" t="str">
            <v>ค่าการกุศล</v>
          </cell>
          <cell r="D280" t="str">
            <v>Donations</v>
          </cell>
          <cell r="L280">
            <v>0</v>
          </cell>
          <cell r="N280">
            <v>0</v>
          </cell>
          <cell r="O280">
            <v>0</v>
          </cell>
          <cell r="AE280">
            <v>0</v>
          </cell>
        </row>
        <row r="281">
          <cell r="B281" t="str">
            <v>ค่าโฆษณา</v>
          </cell>
          <cell r="D281" t="str">
            <v>Advertising Expenses</v>
          </cell>
          <cell r="L281">
            <v>329544.13</v>
          </cell>
          <cell r="N281">
            <v>311611.21999999997</v>
          </cell>
          <cell r="O281">
            <v>17932.910000000033</v>
          </cell>
          <cell r="AE281">
            <v>17932.910000000033</v>
          </cell>
        </row>
        <row r="282">
          <cell r="B282" t="str">
            <v>ค่าบำรุงสมาคม</v>
          </cell>
          <cell r="D282" t="str">
            <v>Membership fee</v>
          </cell>
          <cell r="L282">
            <v>0</v>
          </cell>
          <cell r="N282">
            <v>0</v>
          </cell>
          <cell r="O282">
            <v>0</v>
          </cell>
          <cell r="AE282">
            <v>0</v>
          </cell>
        </row>
        <row r="283">
          <cell r="B283" t="str">
            <v>ขาดทุนจากการขายและจำหน่ายทรัพย์สิน</v>
          </cell>
          <cell r="D283" t="str">
            <v xml:space="preserve">Loss on Disposals &amp; FA Write-off </v>
          </cell>
          <cell r="L283">
            <v>0</v>
          </cell>
          <cell r="N283">
            <v>0</v>
          </cell>
          <cell r="O283">
            <v>0</v>
          </cell>
          <cell r="AE283">
            <v>0</v>
          </cell>
        </row>
        <row r="284">
          <cell r="B284" t="str">
            <v>ค่าใช้จ่ายในการติดตามเร่งรัดหนี้สิน</v>
          </cell>
          <cell r="D284" t="str">
            <v>Accelerated Credit Collection Expenses</v>
          </cell>
          <cell r="L284">
            <v>1318391.6200000001</v>
          </cell>
          <cell r="N284">
            <v>1045236.7</v>
          </cell>
          <cell r="O284">
            <v>273154.92000000016</v>
          </cell>
          <cell r="AE284">
            <v>273154.92000000016</v>
          </cell>
        </row>
        <row r="285">
          <cell r="B285" t="str">
            <v>ค่าชดใช้ค่าเสียหาย</v>
          </cell>
          <cell r="D285" t="str">
            <v>Indemnity Fees</v>
          </cell>
          <cell r="L285">
            <v>0</v>
          </cell>
          <cell r="N285">
            <v>0</v>
          </cell>
          <cell r="O285">
            <v>0</v>
          </cell>
          <cell r="AE285">
            <v>0</v>
          </cell>
        </row>
        <row r="286">
          <cell r="B286" t="str">
            <v>เบี้ยปรับและเงินเพิ่ม</v>
          </cell>
          <cell r="D286" t="str">
            <v>Penalty Fees &amp; Surcharges</v>
          </cell>
          <cell r="L286">
            <v>29443.919999999998</v>
          </cell>
          <cell r="N286">
            <v>29443.919999999998</v>
          </cell>
          <cell r="O286">
            <v>0</v>
          </cell>
          <cell r="AE286">
            <v>0</v>
          </cell>
        </row>
        <row r="287">
          <cell r="B287" t="str">
            <v>ค่าใช้จ่ายภาษีซื้อไม่ขอคืน</v>
          </cell>
          <cell r="D287" t="str">
            <v>Non-Refundable Input VAT</v>
          </cell>
          <cell r="L287">
            <v>896977.04</v>
          </cell>
          <cell r="N287">
            <v>642249.29</v>
          </cell>
          <cell r="O287">
            <v>254727.75</v>
          </cell>
          <cell r="AE287">
            <v>254727.75</v>
          </cell>
        </row>
        <row r="288">
          <cell r="B288" t="str">
            <v>ค่าที่ปรึกษา บจกไทยประกันชีวิต</v>
          </cell>
          <cell r="L288">
            <v>0</v>
          </cell>
          <cell r="N288">
            <v>0</v>
          </cell>
          <cell r="O288">
            <v>0</v>
          </cell>
          <cell r="AE288">
            <v>0</v>
          </cell>
        </row>
        <row r="289">
          <cell r="B289" t="str">
            <v>ค่าจ้างงานสนับสนุนและบริการอื่นจากTCRB</v>
          </cell>
          <cell r="D289" t="str">
            <v>Support and Other Services From TCRB</v>
          </cell>
          <cell r="L289">
            <v>0</v>
          </cell>
          <cell r="N289">
            <v>0</v>
          </cell>
          <cell r="O289">
            <v>0</v>
          </cell>
          <cell r="AE289">
            <v>0</v>
          </cell>
        </row>
        <row r="290">
          <cell r="B290" t="str">
            <v>ค่าจ้างงานสนับสนุนและบริการอื่นจาก GLH</v>
          </cell>
          <cell r="D290" t="str">
            <v>Management &amp; Other Services Fees - GLH</v>
          </cell>
          <cell r="L290">
            <v>5000000</v>
          </cell>
          <cell r="N290">
            <v>4000000</v>
          </cell>
          <cell r="O290">
            <v>1000000</v>
          </cell>
          <cell r="AE290">
            <v>1000000</v>
          </cell>
        </row>
        <row r="291">
          <cell r="B291" t="str">
            <v>ค่าบริการด้านรถยึด GL</v>
          </cell>
          <cell r="D291" t="str">
            <v>Repossession Service Fees - GL</v>
          </cell>
          <cell r="L291">
            <v>714208</v>
          </cell>
          <cell r="N291">
            <v>571792</v>
          </cell>
          <cell r="O291">
            <v>142416</v>
          </cell>
          <cell r="AE291">
            <v>142416</v>
          </cell>
        </row>
        <row r="292">
          <cell r="B292" t="str">
            <v>ค่าจ้างบริหารงานและบริการอื่นจาก GL</v>
          </cell>
          <cell r="D292" t="str">
            <v>Management &amp; Other Services Fees- GL</v>
          </cell>
          <cell r="L292">
            <v>38963086.899999999</v>
          </cell>
          <cell r="N292">
            <v>31240049.52</v>
          </cell>
          <cell r="O292">
            <v>7723037.379999999</v>
          </cell>
          <cell r="AE292">
            <v>7723037.379999999</v>
          </cell>
        </row>
        <row r="293">
          <cell r="B293" t="str">
            <v>ค่าบริการด้านระบบงานคอมพิวเตอร์จาก TCRB</v>
          </cell>
          <cell r="D293" t="str">
            <v>IT service fee - TCRB</v>
          </cell>
          <cell r="L293">
            <v>0</v>
          </cell>
          <cell r="N293">
            <v>0</v>
          </cell>
          <cell r="O293">
            <v>0</v>
          </cell>
          <cell r="AE293">
            <v>0</v>
          </cell>
        </row>
        <row r="294">
          <cell r="B294" t="str">
            <v>ค่าสมาชิก NCB</v>
          </cell>
          <cell r="D294" t="str">
            <v>NCB Membership Fees</v>
          </cell>
          <cell r="L294">
            <v>267877.81</v>
          </cell>
          <cell r="N294">
            <v>212936.81</v>
          </cell>
          <cell r="O294">
            <v>54941</v>
          </cell>
          <cell r="AE294">
            <v>54941</v>
          </cell>
        </row>
        <row r="295">
          <cell r="B295" t="str">
            <v>ค่าบริการสืบค้นข้อมูล NCB</v>
          </cell>
          <cell r="D295" t="str">
            <v>NCB Searching Fees</v>
          </cell>
          <cell r="L295">
            <v>139498.92000000001</v>
          </cell>
          <cell r="N295">
            <v>108178.67</v>
          </cell>
          <cell r="O295">
            <v>31320.250000000015</v>
          </cell>
          <cell r="AE295">
            <v>31320.250000000015</v>
          </cell>
        </row>
        <row r="296">
          <cell r="B296" t="str">
            <v>ค่าการขายโอนสิทธิเรียกร้องJMTคืนTCRB</v>
          </cell>
          <cell r="D296" t="str">
            <v>Repayment to TCRB (related to JMT)</v>
          </cell>
          <cell r="L296">
            <v>0</v>
          </cell>
          <cell r="N296">
            <v>0</v>
          </cell>
          <cell r="O296">
            <v>0</v>
          </cell>
          <cell r="AE296">
            <v>0</v>
          </cell>
        </row>
        <row r="297">
          <cell r="B297" t="str">
            <v>กองทุนส่งเสริมและพัฒนาคุณถาพชีวิตคนพิการ</v>
          </cell>
          <cell r="D297" t="str">
            <v>Fund, promote and improve the lives of people with disabilities.</v>
          </cell>
          <cell r="L297">
            <v>0</v>
          </cell>
          <cell r="N297">
            <v>0</v>
          </cell>
          <cell r="O297">
            <v>0</v>
          </cell>
          <cell r="AE297">
            <v>0</v>
          </cell>
        </row>
        <row r="298">
          <cell r="B298" t="str">
            <v>ภาษีต้องห้าม</v>
          </cell>
          <cell r="D298" t="str">
            <v>Prohibited Taxes</v>
          </cell>
          <cell r="L298">
            <v>13950.27</v>
          </cell>
          <cell r="N298">
            <v>9733.67</v>
          </cell>
          <cell r="O298">
            <v>4216.6000000000004</v>
          </cell>
          <cell r="AE298">
            <v>4216.6000000000004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_procedure"/>
      <sheetName val="FS_Mar"/>
      <sheetName val="Trial bal_Mar"/>
      <sheetName val="งบเปรียบเทียบ 3 เดือน"/>
      <sheetName val="คำนวณDefered Tax"/>
      <sheetName val="Trial bal"/>
      <sheetName val="รายละเอียดประกอบBS (page1-5)"/>
      <sheetName val="รายละเอียดประกอบPL (page6-8)"/>
      <sheetName val="งบเปรียบเทียบ&amp;คชจ.ขาย (Page1-6)"/>
      <sheetName val="Sheet1"/>
      <sheetName val="หมายเหตุข่อ 4 (page 11-13)"/>
      <sheetName val="หมายเหตุข่อ 5,6 (page14)"/>
      <sheetName val="หมายเหตุ7(page15-17)"/>
      <sheetName val="หมายเหต8 (page18)"/>
      <sheetName val="หมายเหตุ9-11(page19-22)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37">
          <cell r="B237" t="str">
            <v>เงินเดือนโบนัสและเงินรางวัลพนักงาน</v>
          </cell>
          <cell r="D237" t="str">
            <v>Salary, Bonus and Incentive</v>
          </cell>
          <cell r="H237" t="str">
            <v>9.3.1</v>
          </cell>
          <cell r="L237">
            <v>0</v>
          </cell>
          <cell r="N237">
            <v>0</v>
          </cell>
          <cell r="O237">
            <v>0</v>
          </cell>
        </row>
        <row r="238">
          <cell r="B238" t="str">
            <v>ค่าล่วงเวลาและค่าเบี้ยเลี้ยง</v>
          </cell>
          <cell r="D238" t="str">
            <v>Overtime Expenses</v>
          </cell>
          <cell r="L238">
            <v>35250</v>
          </cell>
          <cell r="N238">
            <v>30200</v>
          </cell>
          <cell r="O238">
            <v>5050</v>
          </cell>
        </row>
        <row r="239">
          <cell r="B239" t="str">
            <v>เงินชดเชยค่าสึกหรอรถใช้งาน</v>
          </cell>
          <cell r="D239" t="str">
            <v>Other expenses</v>
          </cell>
          <cell r="L239">
            <v>0</v>
          </cell>
          <cell r="N239">
            <v>0</v>
          </cell>
          <cell r="O239">
            <v>0</v>
          </cell>
        </row>
        <row r="240">
          <cell r="B240" t="str">
            <v>ค่าสวัสดิการ</v>
          </cell>
          <cell r="D240" t="str">
            <v>Benefits</v>
          </cell>
          <cell r="L240">
            <v>0</v>
          </cell>
          <cell r="N240">
            <v>0</v>
          </cell>
          <cell r="O240">
            <v>0</v>
          </cell>
        </row>
        <row r="241">
          <cell r="B241" t="str">
            <v>เงินสมทบประกันสังคม,กองทุนเงินทดแทน,กองทุนสำรองเลี้ยงชีพ</v>
          </cell>
          <cell r="D241" t="str">
            <v>Social security payment, Provident fund</v>
          </cell>
          <cell r="L241">
            <v>0</v>
          </cell>
          <cell r="N241">
            <v>0</v>
          </cell>
          <cell r="O241">
            <v>0</v>
          </cell>
        </row>
        <row r="242">
          <cell r="B242" t="str">
            <v>ผลตอบแทนกรรมการ</v>
          </cell>
          <cell r="D242" t="str">
            <v>Directors Remuneration</v>
          </cell>
          <cell r="L242">
            <v>0</v>
          </cell>
          <cell r="N242">
            <v>0</v>
          </cell>
          <cell r="O242">
            <v>0</v>
          </cell>
        </row>
        <row r="243">
          <cell r="B243" t="str">
            <v>ผลประโยชน์พนักงาน</v>
          </cell>
          <cell r="D243" t="str">
            <v>Other expenses</v>
          </cell>
          <cell r="L243">
            <v>0</v>
          </cell>
          <cell r="N243">
            <v>0</v>
          </cell>
          <cell r="O243">
            <v>0</v>
          </cell>
        </row>
        <row r="244">
          <cell r="B244" t="str">
            <v>ค่าเบี้ยประชุมกรรมการ</v>
          </cell>
          <cell r="D244" t="str">
            <v>Directors Remuneration Expenses</v>
          </cell>
          <cell r="L244">
            <v>468000</v>
          </cell>
          <cell r="N244">
            <v>426000</v>
          </cell>
          <cell r="O244">
            <v>42000</v>
          </cell>
        </row>
        <row r="245">
          <cell r="B245" t="str">
            <v>ค่ารักษาความปลอดภัย</v>
          </cell>
          <cell r="D245" t="str">
            <v>Other expenses</v>
          </cell>
          <cell r="L245">
            <v>0</v>
          </cell>
          <cell r="N245">
            <v>0</v>
          </cell>
          <cell r="O245">
            <v>0</v>
          </cell>
        </row>
        <row r="246">
          <cell r="B246" t="str">
            <v>ค่าส่งเสริมการขาย</v>
          </cell>
          <cell r="D246" t="str">
            <v>Sales Promotions Expenses</v>
          </cell>
          <cell r="L246">
            <v>108192.58</v>
          </cell>
          <cell r="N246">
            <v>87781.18</v>
          </cell>
          <cell r="O246">
            <v>20411.400000000009</v>
          </cell>
        </row>
        <row r="247">
          <cell r="B247" t="str">
            <v>ค่ารับรอง</v>
          </cell>
          <cell r="D247" t="str">
            <v>Entertainment Expenses</v>
          </cell>
          <cell r="L247">
            <v>196509.91</v>
          </cell>
          <cell r="N247">
            <v>144062.46</v>
          </cell>
          <cell r="O247">
            <v>52447.450000000012</v>
          </cell>
        </row>
        <row r="248">
          <cell r="B248" t="str">
            <v>ค่าของขวัญและของชำร่วย</v>
          </cell>
          <cell r="D248" t="str">
            <v>ค่าของขวัญและของชำร่วย</v>
          </cell>
          <cell r="L248">
            <v>0</v>
          </cell>
          <cell r="N248">
            <v>0</v>
          </cell>
          <cell r="O248">
            <v>0</v>
          </cell>
        </row>
        <row r="249">
          <cell r="B249" t="str">
            <v>ค่าใช้จ่ายเกี่ยวกับทะเบียน</v>
          </cell>
          <cell r="D249" t="str">
            <v>Register Fees</v>
          </cell>
          <cell r="L249">
            <v>2799148</v>
          </cell>
          <cell r="N249">
            <v>2108021</v>
          </cell>
          <cell r="O249">
            <v>691127</v>
          </cell>
        </row>
        <row r="250">
          <cell r="B250" t="str">
            <v>ค่าใช้จ่ายเกี่ยวกับรถใช้งาน</v>
          </cell>
          <cell r="D250" t="str">
            <v>Car Expenses</v>
          </cell>
          <cell r="L250">
            <v>1752.34</v>
          </cell>
          <cell r="N250">
            <v>1307.3399999999999</v>
          </cell>
          <cell r="O250">
            <v>445</v>
          </cell>
        </row>
        <row r="251">
          <cell r="B251" t="str">
            <v>ค่าเช่าอาคาร</v>
          </cell>
          <cell r="D251" t="str">
            <v>Office Rental Expenses</v>
          </cell>
          <cell r="L251">
            <v>1715694.23</v>
          </cell>
          <cell r="N251">
            <v>1235672.22</v>
          </cell>
          <cell r="O251">
            <v>480022.01</v>
          </cell>
        </row>
        <row r="252">
          <cell r="B252" t="str">
            <v>ค่าบริการรถยนต์เช่า</v>
          </cell>
          <cell r="D252" t="str">
            <v>Car Rental Expenses</v>
          </cell>
          <cell r="L252">
            <v>151476.32</v>
          </cell>
          <cell r="N252">
            <v>116701.32</v>
          </cell>
          <cell r="O252">
            <v>34775</v>
          </cell>
        </row>
        <row r="253">
          <cell r="B253" t="str">
            <v>ค่าเช่าคอมพิวเตอร์</v>
          </cell>
          <cell r="D253" t="str">
            <v>Computer Rental Expenses</v>
          </cell>
          <cell r="L253">
            <v>8329.68</v>
          </cell>
          <cell r="N253">
            <v>8329.68</v>
          </cell>
          <cell r="O253">
            <v>0</v>
          </cell>
        </row>
        <row r="254">
          <cell r="B254" t="str">
            <v>ค่าเช่าเครื่องกรองน้ำ</v>
          </cell>
          <cell r="D254" t="str">
            <v>Rental strainer expenses</v>
          </cell>
          <cell r="L254">
            <v>0</v>
          </cell>
          <cell r="N254">
            <v>0</v>
          </cell>
          <cell r="O254">
            <v>0</v>
          </cell>
        </row>
        <row r="255">
          <cell r="B255" t="str">
            <v>ค่าเช่าระบบโททัศน์วงจรปิด</v>
          </cell>
          <cell r="D255" t="str">
            <v>Rental CCTV systems expenses</v>
          </cell>
          <cell r="L255">
            <v>0</v>
          </cell>
          <cell r="N255">
            <v>0</v>
          </cell>
          <cell r="O255">
            <v>0</v>
          </cell>
        </row>
        <row r="256">
          <cell r="B256" t="str">
            <v>ค่าอากรแสตมป์</v>
          </cell>
          <cell r="D256" t="str">
            <v>Stamp Duty Fees</v>
          </cell>
          <cell r="L256">
            <v>112385</v>
          </cell>
          <cell r="N256">
            <v>80416</v>
          </cell>
          <cell r="O256">
            <v>31969</v>
          </cell>
        </row>
        <row r="257">
          <cell r="B257" t="str">
            <v>ค่าภาษีธุรกิจเฉพาะ</v>
          </cell>
          <cell r="D257" t="str">
            <v>Specific Business Taxes</v>
          </cell>
          <cell r="L257">
            <v>896856.13</v>
          </cell>
          <cell r="N257">
            <v>644158.76</v>
          </cell>
          <cell r="O257">
            <v>252697.37</v>
          </cell>
        </row>
        <row r="258">
          <cell r="B258" t="str">
            <v>ส่วนลดจ่าย</v>
          </cell>
          <cell r="D258" t="str">
            <v>Discount Expenses</v>
          </cell>
          <cell r="L258">
            <v>566497.13</v>
          </cell>
          <cell r="N258">
            <v>419167.04</v>
          </cell>
          <cell r="O258">
            <v>147330.09000000003</v>
          </cell>
        </row>
        <row r="259">
          <cell r="B259" t="str">
            <v>ค่าไฟฟ้า ค่าน้ำประปา</v>
          </cell>
          <cell r="D259" t="str">
            <v xml:space="preserve">Electricity and Water  </v>
          </cell>
          <cell r="L259">
            <v>250600.68999999997</v>
          </cell>
          <cell r="N259">
            <v>172315.79</v>
          </cell>
          <cell r="O259">
            <v>78284.899999999965</v>
          </cell>
        </row>
        <row r="260">
          <cell r="B260" t="str">
            <v>ค่าใช้จ่ายเกี่ยวกับการสื่อสาร</v>
          </cell>
          <cell r="D260" t="str">
            <v>Communication  Expenses</v>
          </cell>
          <cell r="L260">
            <v>1597346.7000000002</v>
          </cell>
          <cell r="N260">
            <v>1256698.21</v>
          </cell>
          <cell r="O260">
            <v>340648.49000000022</v>
          </cell>
        </row>
        <row r="261">
          <cell r="B261" t="str">
            <v>ค่าเครื่องเขียนแบบพิมพ์</v>
          </cell>
          <cell r="D261" t="str">
            <v>Stationery Expenses</v>
          </cell>
          <cell r="L261">
            <v>381179.91</v>
          </cell>
          <cell r="N261">
            <v>345435.61</v>
          </cell>
          <cell r="O261">
            <v>35744.299999999988</v>
          </cell>
        </row>
        <row r="262">
          <cell r="B262" t="str">
            <v>ค่าบริการเก็บเอกสาร</v>
          </cell>
          <cell r="D262" t="str">
            <v>Filing Service Expenses</v>
          </cell>
          <cell r="L262">
            <v>106796.17</v>
          </cell>
          <cell r="N262">
            <v>81340.86</v>
          </cell>
          <cell r="O262">
            <v>25455.309999999998</v>
          </cell>
        </row>
        <row r="263">
          <cell r="B263" t="str">
            <v>ค่าเบี้ยประกันภัย</v>
          </cell>
          <cell r="D263" t="str">
            <v>Insurance Premiums Expenses</v>
          </cell>
          <cell r="L263">
            <v>762.49</v>
          </cell>
          <cell r="N263">
            <v>762.49</v>
          </cell>
          <cell r="O263">
            <v>0</v>
          </cell>
        </row>
        <row r="264">
          <cell r="B264" t="str">
            <v>ค่าธรรมเนียมธนาคารเคาน์เตอร์เซอร์วิส</v>
          </cell>
          <cell r="D264" t="str">
            <v>Counter Service Fees</v>
          </cell>
          <cell r="L264">
            <v>84038.02</v>
          </cell>
          <cell r="N264">
            <v>64705.22</v>
          </cell>
          <cell r="O264">
            <v>19332.800000000003</v>
          </cell>
        </row>
        <row r="265">
          <cell r="B265" t="str">
            <v>ค่าธรรมเนียมธนาคาร TCRB</v>
          </cell>
          <cell r="D265" t="str">
            <v>Bank Service Fees-TCRB</v>
          </cell>
          <cell r="L265">
            <v>48217.82</v>
          </cell>
          <cell r="N265">
            <v>36129.82</v>
          </cell>
          <cell r="O265">
            <v>12088</v>
          </cell>
        </row>
        <row r="266">
          <cell r="B266" t="str">
            <v>ต่าธรรมเนียม ธนาคารไทยเครดิต ATM</v>
          </cell>
          <cell r="D266" t="str">
            <v>ATM Service Fees</v>
          </cell>
          <cell r="L266">
            <v>267979.90000000002</v>
          </cell>
          <cell r="N266">
            <v>280414.78000000003</v>
          </cell>
          <cell r="O266">
            <v>-12434.880000000005</v>
          </cell>
        </row>
        <row r="267">
          <cell r="B267" t="str">
            <v>ค่าธรรมเนียมธนาคารอื่น</v>
          </cell>
          <cell r="D267" t="str">
            <v>Bank Service Fees</v>
          </cell>
          <cell r="L267">
            <v>11973</v>
          </cell>
          <cell r="N267">
            <v>11573</v>
          </cell>
          <cell r="O267">
            <v>400</v>
          </cell>
        </row>
        <row r="268">
          <cell r="B268" t="str">
            <v>ค่าสาธารณูประโภค</v>
          </cell>
          <cell r="D268" t="str">
            <v>Utilities</v>
          </cell>
          <cell r="L268">
            <v>368335.88</v>
          </cell>
          <cell r="N268">
            <v>272313.88</v>
          </cell>
          <cell r="O268">
            <v>96022</v>
          </cell>
        </row>
        <row r="269">
          <cell r="B269" t="str">
            <v>ค่าใช้จ่ายสำนักงาน</v>
          </cell>
          <cell r="D269" t="str">
            <v>Office Expenses</v>
          </cell>
          <cell r="L269">
            <v>262460.71999999997</v>
          </cell>
          <cell r="N269">
            <v>167456.26</v>
          </cell>
          <cell r="O269">
            <v>95004.459999999963</v>
          </cell>
        </row>
        <row r="270">
          <cell r="B270" t="str">
            <v>ค่าใช้จ่ายดำเนินคดี</v>
          </cell>
          <cell r="D270" t="str">
            <v>Litigation Expenses</v>
          </cell>
          <cell r="L270">
            <v>-918</v>
          </cell>
          <cell r="N270">
            <v>0</v>
          </cell>
          <cell r="O270">
            <v>-918</v>
          </cell>
        </row>
        <row r="271">
          <cell r="B271" t="str">
            <v>ค่าใช้จ่ายเพื่อการศึกษา</v>
          </cell>
          <cell r="L271">
            <v>0</v>
          </cell>
          <cell r="N271">
            <v>0</v>
          </cell>
          <cell r="O271">
            <v>0</v>
          </cell>
        </row>
        <row r="272">
          <cell r="B272" t="str">
            <v>ค่าใช้จ่ายเบ็ดเตล็ด</v>
          </cell>
          <cell r="D272" t="str">
            <v>Miscellaneous Expenses</v>
          </cell>
          <cell r="H272" t="str">
            <v xml:space="preserve"> </v>
          </cell>
          <cell r="L272">
            <v>110300.01000000001</v>
          </cell>
          <cell r="N272">
            <v>56433.13</v>
          </cell>
          <cell r="O272">
            <v>53866.880000000012</v>
          </cell>
        </row>
        <row r="273">
          <cell r="B273" t="str">
            <v>ค่าฝึกอบรม</v>
          </cell>
          <cell r="D273" t="str">
            <v>Training Expenses</v>
          </cell>
          <cell r="L273">
            <v>0</v>
          </cell>
          <cell r="N273">
            <v>0</v>
          </cell>
          <cell r="O273">
            <v>0</v>
          </cell>
        </row>
        <row r="274">
          <cell r="B274" t="str">
            <v>ค่าใช้จ่ายเกี่ยวกับคอมพิวเตอร์</v>
          </cell>
          <cell r="D274" t="str">
            <v>Computer Expenses</v>
          </cell>
          <cell r="L274">
            <v>59056.75</v>
          </cell>
          <cell r="N274">
            <v>53281.45</v>
          </cell>
          <cell r="O274">
            <v>5775.3000000000029</v>
          </cell>
        </row>
        <row r="275">
          <cell r="B275" t="str">
            <v>ค่าสอบบัญชี</v>
          </cell>
          <cell r="D275" t="str">
            <v>Audit Fees</v>
          </cell>
          <cell r="L275">
            <v>366666.68</v>
          </cell>
          <cell r="N275">
            <v>275000.02</v>
          </cell>
          <cell r="O275">
            <v>91666.659999999974</v>
          </cell>
        </row>
        <row r="276">
          <cell r="B276" t="str">
            <v>ค่าภาษีโรงเรือนและภาษีป้าย</v>
          </cell>
          <cell r="D276" t="str">
            <v>Property and Signboard Taxes</v>
          </cell>
          <cell r="L276">
            <v>387491.42</v>
          </cell>
          <cell r="N276">
            <v>316663.99</v>
          </cell>
          <cell r="O276">
            <v>70827.429999999993</v>
          </cell>
        </row>
        <row r="277">
          <cell r="B277" t="str">
            <v>ค่าซ่อมแซมและบำรุงรักษา</v>
          </cell>
          <cell r="D277" t="str">
            <v>Repairs &amp; Maintenance Expenses</v>
          </cell>
          <cell r="L277">
            <v>46536.54</v>
          </cell>
          <cell r="N277">
            <v>43871.54</v>
          </cell>
          <cell r="O277">
            <v>2665</v>
          </cell>
        </row>
        <row r="278">
          <cell r="B278" t="str">
            <v>ผลขาดทุนจากการด้อยค่าของสินทรัพย์ถาวร</v>
          </cell>
          <cell r="D278" t="str">
            <v>Impairment FA</v>
          </cell>
          <cell r="L278">
            <v>0</v>
          </cell>
          <cell r="N278">
            <v>0</v>
          </cell>
          <cell r="O278">
            <v>0</v>
          </cell>
        </row>
        <row r="279">
          <cell r="B279" t="str">
            <v>ค่าการกุศล</v>
          </cell>
          <cell r="D279" t="str">
            <v>Donations</v>
          </cell>
          <cell r="L279">
            <v>0</v>
          </cell>
          <cell r="N279">
            <v>0</v>
          </cell>
          <cell r="O279">
            <v>0</v>
          </cell>
        </row>
        <row r="280">
          <cell r="B280" t="str">
            <v>ค่าโฆษณา</v>
          </cell>
          <cell r="D280" t="str">
            <v>Advertising Expenses</v>
          </cell>
          <cell r="L280">
            <v>311611.21999999997</v>
          </cell>
          <cell r="N280">
            <v>227175.92</v>
          </cell>
          <cell r="O280">
            <v>84435.299999999959</v>
          </cell>
        </row>
        <row r="281">
          <cell r="B281" t="str">
            <v>ค่าบำรุงสมาคม</v>
          </cell>
          <cell r="D281" t="str">
            <v>Membership fee</v>
          </cell>
          <cell r="L281">
            <v>0</v>
          </cell>
          <cell r="N281">
            <v>0</v>
          </cell>
          <cell r="O281">
            <v>0</v>
          </cell>
        </row>
        <row r="282">
          <cell r="B282" t="str">
            <v>ขาดทุนจากการขายและจำหน่ายทรัพย์สิน</v>
          </cell>
          <cell r="D282" t="str">
            <v xml:space="preserve">Loss on Disposals &amp; FA Write-off </v>
          </cell>
          <cell r="L282">
            <v>0</v>
          </cell>
          <cell r="N282">
            <v>15525</v>
          </cell>
          <cell r="O282">
            <v>-15525</v>
          </cell>
        </row>
        <row r="283">
          <cell r="B283" t="str">
            <v>ค่าใช้จ่ายในการติดตามเร่งรัดหนี้สิน</v>
          </cell>
          <cell r="D283" t="str">
            <v>Accelerated Credit Collection Expenses</v>
          </cell>
          <cell r="L283">
            <v>1046154.7</v>
          </cell>
          <cell r="N283">
            <v>815232.83</v>
          </cell>
          <cell r="O283">
            <v>230921.87</v>
          </cell>
        </row>
        <row r="284">
          <cell r="B284" t="str">
            <v>ค่าชดใช้ค่าเสียหาย</v>
          </cell>
          <cell r="D284" t="str">
            <v>Indemnity Fees</v>
          </cell>
          <cell r="L284">
            <v>0</v>
          </cell>
          <cell r="N284">
            <v>0</v>
          </cell>
          <cell r="O284">
            <v>0</v>
          </cell>
        </row>
        <row r="285">
          <cell r="B285" t="str">
            <v>เบี้ยปรับและเงินเพิ่ม</v>
          </cell>
          <cell r="D285" t="str">
            <v>Penalty Fees &amp; Surcharges</v>
          </cell>
          <cell r="L285">
            <v>29443.919999999998</v>
          </cell>
          <cell r="N285">
            <v>29443.919999999998</v>
          </cell>
          <cell r="O285">
            <v>0</v>
          </cell>
        </row>
        <row r="286">
          <cell r="B286" t="str">
            <v>ค่าใช้จ่ายภาษีซื้อไม่ขอคืน</v>
          </cell>
          <cell r="D286" t="str">
            <v>Non-Refundable Input VAT</v>
          </cell>
          <cell r="L286">
            <v>642249.29</v>
          </cell>
          <cell r="N286">
            <v>429874.64</v>
          </cell>
          <cell r="O286">
            <v>212374.65000000002</v>
          </cell>
        </row>
        <row r="287">
          <cell r="B287" t="str">
            <v>ค่าที่ปรึกษา บจกไทยประกันชีวิต</v>
          </cell>
          <cell r="L287">
            <v>0</v>
          </cell>
          <cell r="N287">
            <v>0</v>
          </cell>
          <cell r="O287">
            <v>0</v>
          </cell>
        </row>
        <row r="288">
          <cell r="B288" t="str">
            <v>ค่าจ้างงานสนับสนุนและบริการอื่นจากTCRB</v>
          </cell>
          <cell r="D288" t="str">
            <v>Support and Other Services From TCRB</v>
          </cell>
          <cell r="L288">
            <v>0</v>
          </cell>
          <cell r="N288">
            <v>0</v>
          </cell>
          <cell r="O288">
            <v>0</v>
          </cell>
        </row>
        <row r="289">
          <cell r="B289" t="str">
            <v>ค่าจ้างงานสนับสนุนและบริการอื่นจาก GLH</v>
          </cell>
          <cell r="D289" t="str">
            <v>Management &amp; Other Services Fees - GLH</v>
          </cell>
          <cell r="L289">
            <v>4000000</v>
          </cell>
          <cell r="N289">
            <v>3000000</v>
          </cell>
          <cell r="O289">
            <v>1000000</v>
          </cell>
        </row>
        <row r="290">
          <cell r="B290" t="str">
            <v>ค่าบริการด้านรถยึด GL</v>
          </cell>
          <cell r="D290" t="str">
            <v>Repossession Service Fees - GL</v>
          </cell>
          <cell r="L290">
            <v>571792</v>
          </cell>
          <cell r="N290">
            <v>456493</v>
          </cell>
          <cell r="O290">
            <v>115299</v>
          </cell>
        </row>
        <row r="291">
          <cell r="B291" t="str">
            <v>ค่าจ้างบริหารงานและบริการอื่นจาก GL</v>
          </cell>
          <cell r="D291" t="str">
            <v>Management &amp; Other Services Fees- GL</v>
          </cell>
          <cell r="L291">
            <v>31240049.52</v>
          </cell>
          <cell r="N291">
            <v>23469762.140000001</v>
          </cell>
          <cell r="O291">
            <v>7770287.379999999</v>
          </cell>
        </row>
        <row r="292">
          <cell r="B292" t="str">
            <v>ค่าบริการด้านระบบงานคอมพิวเตอร์จาก TCRB</v>
          </cell>
          <cell r="D292" t="str">
            <v>IT service fee - TCRB</v>
          </cell>
          <cell r="L292">
            <v>0</v>
          </cell>
          <cell r="N292">
            <v>0</v>
          </cell>
          <cell r="O292">
            <v>0</v>
          </cell>
        </row>
        <row r="293">
          <cell r="B293" t="str">
            <v>ค่าสมาชิก NCB</v>
          </cell>
          <cell r="D293" t="str">
            <v>NCB Membership Fees</v>
          </cell>
          <cell r="L293">
            <v>212936.81</v>
          </cell>
          <cell r="N293">
            <v>159570.81</v>
          </cell>
          <cell r="O293">
            <v>53366</v>
          </cell>
        </row>
        <row r="294">
          <cell r="B294" t="str">
            <v>ค่าบริการสืบค้นข้อมูล NCB</v>
          </cell>
          <cell r="D294" t="str">
            <v>NCB Searching Fees</v>
          </cell>
          <cell r="L294">
            <v>108178.67</v>
          </cell>
          <cell r="N294">
            <v>82354.33</v>
          </cell>
          <cell r="O294">
            <v>25824.339999999997</v>
          </cell>
        </row>
        <row r="295">
          <cell r="B295" t="str">
            <v>ค่าการขายโอนสิทธิเรียกร้องJMTคืนTCRB</v>
          </cell>
          <cell r="D295" t="str">
            <v>Repayment to TCRB (related to JMT)</v>
          </cell>
          <cell r="L295">
            <v>0</v>
          </cell>
          <cell r="N295">
            <v>0</v>
          </cell>
          <cell r="O295">
            <v>0</v>
          </cell>
        </row>
        <row r="296">
          <cell r="B296" t="str">
            <v>กองทุนส่งเสริมและพัฒนาคุณถาพชีวิตคนพิการ</v>
          </cell>
          <cell r="D296" t="str">
            <v>Fund, promote and improve the lives of people with disabilities.</v>
          </cell>
          <cell r="L296">
            <v>0</v>
          </cell>
          <cell r="N296">
            <v>0</v>
          </cell>
          <cell r="O296">
            <v>0</v>
          </cell>
        </row>
        <row r="297">
          <cell r="B297" t="str">
            <v>ภาษีต้องห้าม</v>
          </cell>
          <cell r="D297" t="str">
            <v>Prohibited Taxes</v>
          </cell>
          <cell r="L297">
            <v>9733.67</v>
          </cell>
          <cell r="N297">
            <v>6752.71</v>
          </cell>
          <cell r="O297">
            <v>2980.96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_procedure"/>
      <sheetName val="FS_Mar"/>
      <sheetName val="Trial bal_Mar"/>
      <sheetName val="งบเปรียบเทียบ 3 เดือน"/>
      <sheetName val="คำนวณDefered Tax"/>
      <sheetName val="Trial bal"/>
      <sheetName val="รายละเอียดประกอบBS (page1-5)"/>
      <sheetName val="รายละเอียดประกอบPL (page6-8)"/>
      <sheetName val="งบเปรียบเทียบ&amp;คชจ.ขาย (Page1-6)"/>
      <sheetName val="Sheet1"/>
      <sheetName val="หมายเหตุข่อ 4 (page 11-13)"/>
      <sheetName val="หมายเหตุข่อ 5,6 (page14)"/>
      <sheetName val="หมายเหตุ7(page15-17)"/>
      <sheetName val="หมายเหต8 (page18)"/>
      <sheetName val="หมายเหตุ9-11(page19-22)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บริษัท ธนบรรณ จำกัด  (Tanaban Company Limited)</v>
          </cell>
        </row>
      </sheetData>
      <sheetData sheetId="6"/>
      <sheetData sheetId="7"/>
      <sheetData sheetId="8">
        <row r="237">
          <cell r="B237" t="str">
            <v>เงินเดือนโบนัสและเงินรางวัลพนักงาน</v>
          </cell>
          <cell r="D237" t="str">
            <v>Salary, Bonus and Incentive</v>
          </cell>
          <cell r="H237" t="str">
            <v>9.3.1</v>
          </cell>
          <cell r="L237">
            <v>0</v>
          </cell>
          <cell r="N237">
            <v>0</v>
          </cell>
          <cell r="O237">
            <v>0</v>
          </cell>
          <cell r="AC237">
            <v>0</v>
          </cell>
        </row>
        <row r="238">
          <cell r="B238" t="str">
            <v>ค่าล่วงเวลาและค่าเบี้ยเลี้ยง</v>
          </cell>
          <cell r="D238" t="str">
            <v>Overtime Expenses</v>
          </cell>
          <cell r="L238">
            <v>70687.5</v>
          </cell>
          <cell r="N238">
            <v>50287.5</v>
          </cell>
          <cell r="O238">
            <v>20400</v>
          </cell>
          <cell r="AC238">
            <v>20400</v>
          </cell>
        </row>
        <row r="239">
          <cell r="B239" t="str">
            <v>เงินชดเชยค่าสึกหรอรถใช้งาน</v>
          </cell>
          <cell r="D239" t="str">
            <v>Other expenses</v>
          </cell>
          <cell r="L239">
            <v>0</v>
          </cell>
          <cell r="N239">
            <v>0</v>
          </cell>
          <cell r="O239">
            <v>0</v>
          </cell>
          <cell r="AC239">
            <v>0</v>
          </cell>
        </row>
        <row r="240">
          <cell r="B240" t="str">
            <v>ค่าสวัสดิการ</v>
          </cell>
          <cell r="D240" t="str">
            <v>Benefits</v>
          </cell>
          <cell r="L240">
            <v>0</v>
          </cell>
          <cell r="N240">
            <v>0</v>
          </cell>
          <cell r="O240">
            <v>0</v>
          </cell>
          <cell r="AC240">
            <v>0</v>
          </cell>
        </row>
        <row r="241">
          <cell r="B241" t="str">
            <v>เงินสมทบประกันสังคม,กองทุนเงินทดแทน,กองทุนสำรองเลี้ยงชีพ</v>
          </cell>
          <cell r="D241" t="str">
            <v>Social security payment, Provident fund</v>
          </cell>
          <cell r="L241">
            <v>0</v>
          </cell>
          <cell r="N241">
            <v>0</v>
          </cell>
          <cell r="O241">
            <v>0</v>
          </cell>
          <cell r="AC241">
            <v>0</v>
          </cell>
        </row>
        <row r="242">
          <cell r="B242" t="str">
            <v>ผลตอบแทนกรรมการ</v>
          </cell>
          <cell r="D242" t="str">
            <v>Directors Remuneration</v>
          </cell>
          <cell r="L242">
            <v>0</v>
          </cell>
          <cell r="N242">
            <v>0</v>
          </cell>
          <cell r="O242">
            <v>0</v>
          </cell>
          <cell r="AC242">
            <v>0</v>
          </cell>
        </row>
        <row r="243">
          <cell r="B243" t="str">
            <v>ผลประโยชน์พนักงาน</v>
          </cell>
          <cell r="D243" t="str">
            <v>Other expenses</v>
          </cell>
          <cell r="L243">
            <v>0</v>
          </cell>
          <cell r="N243">
            <v>0</v>
          </cell>
          <cell r="O243">
            <v>0</v>
          </cell>
          <cell r="AC243">
            <v>0</v>
          </cell>
        </row>
        <row r="244">
          <cell r="B244" t="str">
            <v>ค่าเบี้ยประชุมกรรมการ</v>
          </cell>
          <cell r="D244" t="str">
            <v>Directors Remuneration Expenses</v>
          </cell>
          <cell r="L244">
            <v>802000</v>
          </cell>
          <cell r="N244">
            <v>688000</v>
          </cell>
          <cell r="O244">
            <v>114000</v>
          </cell>
          <cell r="AC244">
            <v>114000</v>
          </cell>
        </row>
        <row r="245">
          <cell r="B245" t="str">
            <v>ค่ารักษาความปลอดภัย</v>
          </cell>
          <cell r="D245" t="str">
            <v>Other expenses</v>
          </cell>
          <cell r="L245">
            <v>0</v>
          </cell>
          <cell r="N245">
            <v>0</v>
          </cell>
          <cell r="O245">
            <v>0</v>
          </cell>
          <cell r="AC245">
            <v>0</v>
          </cell>
        </row>
        <row r="246">
          <cell r="B246" t="str">
            <v>ค่าส่งเสริมการขาย</v>
          </cell>
          <cell r="D246" t="str">
            <v>Sales Promotions Expenses</v>
          </cell>
          <cell r="L246">
            <v>174061.33</v>
          </cell>
          <cell r="N246">
            <v>153061.32999999999</v>
          </cell>
          <cell r="O246">
            <v>21000</v>
          </cell>
          <cell r="AC246">
            <v>21000</v>
          </cell>
        </row>
        <row r="247">
          <cell r="B247" t="str">
            <v>ค่ารับรอง</v>
          </cell>
          <cell r="D247" t="str">
            <v>Entertainment Expenses</v>
          </cell>
          <cell r="L247">
            <v>331287.02</v>
          </cell>
          <cell r="N247">
            <v>246509.91</v>
          </cell>
          <cell r="O247">
            <v>84777.110000000015</v>
          </cell>
          <cell r="AC247">
            <v>84777.110000000015</v>
          </cell>
        </row>
        <row r="248">
          <cell r="B248" t="str">
            <v>ค่าของขวัญและของชำร่วย</v>
          </cell>
          <cell r="D248" t="str">
            <v>ค่าของขวัญและของชำร่วย</v>
          </cell>
          <cell r="L248">
            <v>0</v>
          </cell>
          <cell r="N248">
            <v>0</v>
          </cell>
          <cell r="O248">
            <v>0</v>
          </cell>
          <cell r="AC248">
            <v>0</v>
          </cell>
        </row>
        <row r="249">
          <cell r="B249" t="str">
            <v>ค่าใช้จ่ายเกี่ยวกับทะเบียน</v>
          </cell>
          <cell r="D249" t="str">
            <v>Register Fees</v>
          </cell>
          <cell r="L249">
            <v>4182566</v>
          </cell>
          <cell r="N249">
            <v>3499463</v>
          </cell>
          <cell r="O249">
            <v>683103</v>
          </cell>
          <cell r="AC249">
            <v>683103</v>
          </cell>
        </row>
        <row r="250">
          <cell r="B250" t="str">
            <v>ค่าใช้จ่ายเกี่ยวกับรถใช้งาน</v>
          </cell>
          <cell r="D250" t="str">
            <v>Car Expenses</v>
          </cell>
          <cell r="L250">
            <v>10079.34</v>
          </cell>
          <cell r="N250">
            <v>8009.34</v>
          </cell>
          <cell r="O250">
            <v>2070</v>
          </cell>
          <cell r="AC250">
            <v>2070</v>
          </cell>
        </row>
        <row r="251">
          <cell r="B251" t="str">
            <v>ค่าเช่าอาคาร</v>
          </cell>
          <cell r="D251" t="str">
            <v>Office Rental Expenses</v>
          </cell>
          <cell r="L251">
            <v>2729001.38</v>
          </cell>
          <cell r="N251">
            <v>2208663.59</v>
          </cell>
          <cell r="O251">
            <v>520337.79000000004</v>
          </cell>
          <cell r="AC251">
            <v>520337.79000000004</v>
          </cell>
        </row>
        <row r="252">
          <cell r="B252" t="str">
            <v>ค่าบริการรถยนต์เช่า</v>
          </cell>
          <cell r="D252" t="str">
            <v>Car Rental Expenses</v>
          </cell>
          <cell r="L252">
            <v>221026.32</v>
          </cell>
          <cell r="N252">
            <v>186251.32</v>
          </cell>
          <cell r="O252">
            <v>34775</v>
          </cell>
          <cell r="AC252">
            <v>34775</v>
          </cell>
        </row>
        <row r="253">
          <cell r="B253" t="str">
            <v>ค่าเช่าคอมพิวเตอร์</v>
          </cell>
          <cell r="D253" t="str">
            <v>Computer Rental Expenses</v>
          </cell>
          <cell r="L253">
            <v>8329.68</v>
          </cell>
          <cell r="N253">
            <v>8329.68</v>
          </cell>
          <cell r="O253">
            <v>0</v>
          </cell>
          <cell r="AC253">
            <v>0</v>
          </cell>
        </row>
        <row r="254">
          <cell r="B254" t="str">
            <v>ค่าเช่าเครื่องกรองน้ำ</v>
          </cell>
          <cell r="D254" t="str">
            <v>Rental strainer expenses</v>
          </cell>
          <cell r="L254">
            <v>0</v>
          </cell>
          <cell r="N254">
            <v>0</v>
          </cell>
          <cell r="O254">
            <v>0</v>
          </cell>
          <cell r="AC254">
            <v>0</v>
          </cell>
        </row>
        <row r="255">
          <cell r="B255" t="str">
            <v>ค่าเช่าระบบโททัศน์วงจรปิด</v>
          </cell>
          <cell r="D255" t="str">
            <v>Rental CCTV systems expenses</v>
          </cell>
          <cell r="L255">
            <v>0</v>
          </cell>
          <cell r="N255">
            <v>0</v>
          </cell>
          <cell r="O255">
            <v>0</v>
          </cell>
          <cell r="AC255">
            <v>0</v>
          </cell>
        </row>
        <row r="256">
          <cell r="B256" t="str">
            <v>ค่าอากรแสตมป์</v>
          </cell>
          <cell r="D256" t="str">
            <v>Stamp Duty Fees</v>
          </cell>
          <cell r="L256">
            <v>202130</v>
          </cell>
          <cell r="N256">
            <v>152082</v>
          </cell>
          <cell r="O256">
            <v>50048</v>
          </cell>
          <cell r="AC256">
            <v>50048</v>
          </cell>
        </row>
        <row r="257">
          <cell r="B257" t="str">
            <v>ค่าภาษีธุรกิจเฉพาะ</v>
          </cell>
          <cell r="D257" t="str">
            <v>Specific Business Taxes</v>
          </cell>
          <cell r="L257">
            <v>1471256.15</v>
          </cell>
          <cell r="N257">
            <v>1171629.6399999999</v>
          </cell>
          <cell r="O257">
            <v>299626.51</v>
          </cell>
          <cell r="AC257">
            <v>299626.51</v>
          </cell>
        </row>
        <row r="258">
          <cell r="B258" t="str">
            <v>ส่วนลดจ่าย</v>
          </cell>
          <cell r="D258" t="str">
            <v>Discount Expenses</v>
          </cell>
          <cell r="L258">
            <v>959478.84000000008</v>
          </cell>
          <cell r="N258">
            <v>769653.69</v>
          </cell>
          <cell r="O258">
            <v>189825.15000000014</v>
          </cell>
          <cell r="AC258">
            <v>189825.15000000014</v>
          </cell>
        </row>
        <row r="259">
          <cell r="B259" t="str">
            <v>ค่าไฟฟ้า ค่าน้ำประปา</v>
          </cell>
          <cell r="D259" t="str">
            <v xml:space="preserve">Electricity and Water  </v>
          </cell>
          <cell r="L259">
            <v>419124.23000000004</v>
          </cell>
          <cell r="N259">
            <v>326006.24</v>
          </cell>
          <cell r="O259">
            <v>93117.990000000049</v>
          </cell>
          <cell r="AC259">
            <v>93117.990000000049</v>
          </cell>
        </row>
        <row r="260">
          <cell r="B260" t="str">
            <v>ค่าใช้จ่ายเกี่ยวกับการสื่อสาร</v>
          </cell>
          <cell r="D260" t="str">
            <v>Communication  Expenses</v>
          </cell>
          <cell r="L260">
            <v>2308820.7800000003</v>
          </cell>
          <cell r="N260">
            <v>1966691.15</v>
          </cell>
          <cell r="O260">
            <v>342129.63000000035</v>
          </cell>
          <cell r="AC260">
            <v>342129.63000000035</v>
          </cell>
        </row>
        <row r="261">
          <cell r="B261" t="str">
            <v>ค่าเครื่องเขียนแบบพิมพ์</v>
          </cell>
          <cell r="D261" t="str">
            <v>Stationery Expenses</v>
          </cell>
          <cell r="L261">
            <v>504956.1</v>
          </cell>
          <cell r="N261">
            <v>449536.82</v>
          </cell>
          <cell r="O261">
            <v>55419.27999999997</v>
          </cell>
          <cell r="AC261">
            <v>55419.27999999997</v>
          </cell>
        </row>
        <row r="262">
          <cell r="B262" t="str">
            <v>ค่าบริการเก็บเอกสาร</v>
          </cell>
          <cell r="D262" t="str">
            <v>Filing Service Expenses</v>
          </cell>
          <cell r="L262">
            <v>155420.47</v>
          </cell>
          <cell r="N262">
            <v>131046.22</v>
          </cell>
          <cell r="O262">
            <v>24374.25</v>
          </cell>
          <cell r="AC262">
            <v>24374.25</v>
          </cell>
        </row>
        <row r="263">
          <cell r="B263" t="str">
            <v>ค่าเบี้ยประกันภัย</v>
          </cell>
          <cell r="D263" t="str">
            <v>Insurance Premiums Expenses</v>
          </cell>
          <cell r="L263">
            <v>10214.790000000001</v>
          </cell>
          <cell r="N263">
            <v>1834.55</v>
          </cell>
          <cell r="O263">
            <v>8380.2400000000016</v>
          </cell>
          <cell r="AC263">
            <v>8380.2400000000016</v>
          </cell>
        </row>
        <row r="264">
          <cell r="B264" t="str">
            <v>ค่าธรรมเนียมธนาคารเคาน์เตอร์เซอร์วิส</v>
          </cell>
          <cell r="D264" t="str">
            <v>Counter Service Fees</v>
          </cell>
          <cell r="L264">
            <v>126269.01</v>
          </cell>
          <cell r="N264">
            <v>105684.81</v>
          </cell>
          <cell r="O264">
            <v>20584.199999999997</v>
          </cell>
          <cell r="AC264">
            <v>20584.199999999997</v>
          </cell>
        </row>
        <row r="265">
          <cell r="B265" t="str">
            <v>ค่าธรรมเนียมธนาคาร TCRB</v>
          </cell>
          <cell r="D265" t="str">
            <v>Bank Service Fees-TCRB</v>
          </cell>
          <cell r="L265">
            <v>1079368.52</v>
          </cell>
          <cell r="N265">
            <v>63322.82</v>
          </cell>
          <cell r="O265">
            <v>1016045.7000000001</v>
          </cell>
          <cell r="AC265">
            <v>1016045.7000000001</v>
          </cell>
        </row>
        <row r="266">
          <cell r="B266" t="str">
            <v>ต่าธรรมเนียม ธนาคารไทยเครดิต ATM</v>
          </cell>
          <cell r="D266" t="str">
            <v>ATM Service Fees</v>
          </cell>
          <cell r="L266">
            <v>341528.9</v>
          </cell>
          <cell r="N266">
            <v>303123.90000000002</v>
          </cell>
          <cell r="O266">
            <v>38405</v>
          </cell>
          <cell r="AC266">
            <v>38405</v>
          </cell>
        </row>
        <row r="267">
          <cell r="B267" t="str">
            <v>ค่าธรรมเนียมธนาคารอื่น</v>
          </cell>
          <cell r="D267" t="str">
            <v>Bank Service Fees</v>
          </cell>
          <cell r="L267">
            <v>12383</v>
          </cell>
          <cell r="N267">
            <v>12323</v>
          </cell>
          <cell r="O267">
            <v>60</v>
          </cell>
          <cell r="AC267">
            <v>60</v>
          </cell>
        </row>
        <row r="268">
          <cell r="B268" t="str">
            <v>ค่าสาธารณูประโภค</v>
          </cell>
          <cell r="D268" t="str">
            <v>Utilities</v>
          </cell>
          <cell r="L268">
            <v>571679.88</v>
          </cell>
          <cell r="N268">
            <v>464357.88</v>
          </cell>
          <cell r="O268">
            <v>107322</v>
          </cell>
          <cell r="AC268">
            <v>107322</v>
          </cell>
        </row>
        <row r="269">
          <cell r="B269" t="str">
            <v>ค่าใช้จ่ายสำนักงาน</v>
          </cell>
          <cell r="D269" t="str">
            <v>Office Expenses</v>
          </cell>
          <cell r="L269">
            <v>274005.25</v>
          </cell>
          <cell r="N269">
            <v>274005.25</v>
          </cell>
          <cell r="O269">
            <v>0</v>
          </cell>
          <cell r="AC269">
            <v>0</v>
          </cell>
        </row>
        <row r="270">
          <cell r="B270" t="str">
            <v>ค่าตอบแทนสิทธิการเช่า</v>
          </cell>
          <cell r="D270" t="str">
            <v>Leasehold Remuneration</v>
          </cell>
          <cell r="L270">
            <v>12000</v>
          </cell>
          <cell r="N270">
            <v>6000</v>
          </cell>
          <cell r="O270">
            <v>6000</v>
          </cell>
          <cell r="AC270">
            <v>6000</v>
          </cell>
        </row>
        <row r="271">
          <cell r="B271" t="str">
            <v>ค่าใช้จ่ายดำเนินคดี</v>
          </cell>
          <cell r="D271" t="str">
            <v>Litigation Expenses</v>
          </cell>
          <cell r="L271">
            <v>0</v>
          </cell>
          <cell r="N271">
            <v>0</v>
          </cell>
          <cell r="O271">
            <v>0</v>
          </cell>
          <cell r="AC271">
            <v>0</v>
          </cell>
        </row>
        <row r="272">
          <cell r="B272" t="str">
            <v>ค่าใช้จ่ายเพื่อการศึกษา</v>
          </cell>
          <cell r="L272">
            <v>0</v>
          </cell>
          <cell r="N272">
            <v>0</v>
          </cell>
          <cell r="O272">
            <v>0</v>
          </cell>
          <cell r="AC272">
            <v>0</v>
          </cell>
        </row>
        <row r="273">
          <cell r="B273" t="str">
            <v>ค่าใช้จ่ายเบ็ดเตล็ด</v>
          </cell>
          <cell r="D273" t="str">
            <v>Miscellaneous Expenses</v>
          </cell>
          <cell r="H273" t="str">
            <v xml:space="preserve"> </v>
          </cell>
          <cell r="L273">
            <v>169278.64</v>
          </cell>
          <cell r="N273">
            <v>136409.01</v>
          </cell>
          <cell r="O273">
            <v>32869.630000000005</v>
          </cell>
          <cell r="AC273">
            <v>32869.630000000005</v>
          </cell>
        </row>
        <row r="274">
          <cell r="B274" t="str">
            <v>ค่าฝึกอบรม</v>
          </cell>
          <cell r="D274" t="str">
            <v>Training Expenses</v>
          </cell>
          <cell r="L274">
            <v>0</v>
          </cell>
          <cell r="N274">
            <v>0</v>
          </cell>
          <cell r="O274">
            <v>0</v>
          </cell>
          <cell r="AC274">
            <v>0</v>
          </cell>
        </row>
        <row r="275">
          <cell r="B275" t="str">
            <v>ค่าใช้จ่ายเกี่ยวกับคอมพิวเตอร์</v>
          </cell>
          <cell r="D275" t="str">
            <v>Computer Expenses</v>
          </cell>
          <cell r="L275">
            <v>103499.65</v>
          </cell>
          <cell r="N275">
            <v>102278.35</v>
          </cell>
          <cell r="O275">
            <v>1221.2999999999884</v>
          </cell>
          <cell r="AC275">
            <v>1221.2999999999884</v>
          </cell>
        </row>
        <row r="276">
          <cell r="B276" t="str">
            <v>ค่าสอบบัญชี</v>
          </cell>
          <cell r="D276" t="str">
            <v>Audit Fees</v>
          </cell>
          <cell r="L276">
            <v>550000</v>
          </cell>
          <cell r="N276">
            <v>458333.34</v>
          </cell>
          <cell r="O276">
            <v>91666.659999999974</v>
          </cell>
          <cell r="AC276">
            <v>91666.659999999974</v>
          </cell>
        </row>
        <row r="277">
          <cell r="B277" t="str">
            <v>ค่าภาษีโรงเรือนและภาษีป้าย</v>
          </cell>
          <cell r="D277" t="str">
            <v>Property and Signboard Taxes</v>
          </cell>
          <cell r="L277">
            <v>533869.14</v>
          </cell>
          <cell r="N277">
            <v>507032.71</v>
          </cell>
          <cell r="O277">
            <v>26836.429999999993</v>
          </cell>
          <cell r="AC277">
            <v>26836.429999999993</v>
          </cell>
        </row>
        <row r="278">
          <cell r="B278" t="str">
            <v>ค่าซ่อมแซมและบำรุงรักษา</v>
          </cell>
          <cell r="D278" t="str">
            <v>Repairs &amp; Maintenance Expenses</v>
          </cell>
          <cell r="L278">
            <v>84686.2</v>
          </cell>
          <cell r="N278">
            <v>75422.95</v>
          </cell>
          <cell r="O278">
            <v>9263.25</v>
          </cell>
          <cell r="AC278">
            <v>9263.25</v>
          </cell>
        </row>
        <row r="279">
          <cell r="B279" t="str">
            <v>ผลขาดทุนจากการด้อยค่าของสินทรัพย์ถาวร</v>
          </cell>
          <cell r="D279" t="str">
            <v>Impairment FA</v>
          </cell>
          <cell r="L279">
            <v>0</v>
          </cell>
          <cell r="N279">
            <v>0</v>
          </cell>
          <cell r="O279">
            <v>0</v>
          </cell>
          <cell r="AC279">
            <v>0</v>
          </cell>
        </row>
        <row r="280">
          <cell r="B280" t="str">
            <v>ค่าการกุศล</v>
          </cell>
          <cell r="D280" t="str">
            <v>Donations</v>
          </cell>
          <cell r="L280">
            <v>0</v>
          </cell>
          <cell r="N280">
            <v>0</v>
          </cell>
          <cell r="O280">
            <v>0</v>
          </cell>
          <cell r="AC280">
            <v>0</v>
          </cell>
        </row>
        <row r="281">
          <cell r="B281" t="str">
            <v>ค่าโฆษณา</v>
          </cell>
          <cell r="D281" t="str">
            <v>Advertising Expenses</v>
          </cell>
          <cell r="L281">
            <v>341458.39</v>
          </cell>
          <cell r="N281">
            <v>329544.13</v>
          </cell>
          <cell r="O281">
            <v>11914.260000000009</v>
          </cell>
          <cell r="AC281">
            <v>11914.260000000009</v>
          </cell>
        </row>
        <row r="282">
          <cell r="B282" t="str">
            <v>ค่าบำรุงสมาคม</v>
          </cell>
          <cell r="D282" t="str">
            <v>Membership fee</v>
          </cell>
          <cell r="L282">
            <v>0</v>
          </cell>
          <cell r="N282">
            <v>0</v>
          </cell>
          <cell r="O282">
            <v>0</v>
          </cell>
          <cell r="AC282">
            <v>0</v>
          </cell>
        </row>
        <row r="283">
          <cell r="B283" t="str">
            <v>ขาดทุนจากการขายและจำหน่ายทรัพย์สิน</v>
          </cell>
          <cell r="D283" t="str">
            <v xml:space="preserve">Loss on Disposals &amp; FA Write-off </v>
          </cell>
          <cell r="L283">
            <v>0</v>
          </cell>
          <cell r="N283">
            <v>0</v>
          </cell>
          <cell r="O283">
            <v>0</v>
          </cell>
          <cell r="AC283">
            <v>0</v>
          </cell>
        </row>
        <row r="284">
          <cell r="B284" t="str">
            <v>ค่าใช้จ่ายในการติดตามเร่งรัดหนี้สิน</v>
          </cell>
          <cell r="D284" t="str">
            <v>Accelerated Credit Collection Expenses</v>
          </cell>
          <cell r="L284">
            <v>1531708.56</v>
          </cell>
          <cell r="N284">
            <v>1318391.6200000001</v>
          </cell>
          <cell r="O284">
            <v>213316.93999999994</v>
          </cell>
          <cell r="AC284">
            <v>213316.93999999994</v>
          </cell>
        </row>
        <row r="285">
          <cell r="B285" t="str">
            <v>ค่าชดใช้ค่าเสียหาย</v>
          </cell>
          <cell r="D285" t="str">
            <v>Indemnity Fees</v>
          </cell>
          <cell r="L285">
            <v>0</v>
          </cell>
          <cell r="N285">
            <v>0</v>
          </cell>
          <cell r="O285">
            <v>0</v>
          </cell>
          <cell r="AC285">
            <v>0</v>
          </cell>
        </row>
        <row r="286">
          <cell r="B286" t="str">
            <v>เบี้ยปรับและเงินเพิ่ม</v>
          </cell>
          <cell r="D286" t="str">
            <v>Penalty Fees &amp; Surcharges</v>
          </cell>
          <cell r="L286">
            <v>29443.919999999998</v>
          </cell>
          <cell r="N286">
            <v>29443.919999999998</v>
          </cell>
          <cell r="O286">
            <v>0</v>
          </cell>
          <cell r="AC286">
            <v>0</v>
          </cell>
        </row>
        <row r="287">
          <cell r="B287" t="str">
            <v>ค่าใช้จ่ายภาษีซื้อไม่ขอคืน</v>
          </cell>
          <cell r="D287" t="str">
            <v>Non-Refundable Input VAT</v>
          </cell>
          <cell r="L287">
            <v>1177606.46</v>
          </cell>
          <cell r="N287">
            <v>896977.04</v>
          </cell>
          <cell r="O287">
            <v>280629.41999999993</v>
          </cell>
          <cell r="AC287">
            <v>280629.41999999993</v>
          </cell>
        </row>
        <row r="288">
          <cell r="B288" t="str">
            <v>ค่าที่ปรึกษา บจกไทยประกันชีวิต</v>
          </cell>
          <cell r="L288">
            <v>0</v>
          </cell>
          <cell r="N288">
            <v>0</v>
          </cell>
          <cell r="O288">
            <v>0</v>
          </cell>
          <cell r="AC288">
            <v>0</v>
          </cell>
        </row>
        <row r="289">
          <cell r="B289" t="str">
            <v>ค่าจ้างงานสนับสนุนและบริการอื่นจากTCRB</v>
          </cell>
          <cell r="D289" t="str">
            <v>Support and Other Services From TCRB</v>
          </cell>
          <cell r="L289">
            <v>0</v>
          </cell>
          <cell r="N289">
            <v>0</v>
          </cell>
          <cell r="O289">
            <v>0</v>
          </cell>
          <cell r="AC289">
            <v>0</v>
          </cell>
        </row>
        <row r="290">
          <cell r="B290" t="str">
            <v>ค่าจ้างงานสนับสนุนและบริการอื่นจาก GLH</v>
          </cell>
          <cell r="D290" t="str">
            <v>Management &amp; Other Services Fees - GLH</v>
          </cell>
          <cell r="L290">
            <v>6000000</v>
          </cell>
          <cell r="N290">
            <v>5000000</v>
          </cell>
          <cell r="O290">
            <v>1000000</v>
          </cell>
          <cell r="AC290">
            <v>1000000</v>
          </cell>
        </row>
        <row r="291">
          <cell r="B291" t="str">
            <v>ค่าบริการด้านรถยึด GL</v>
          </cell>
          <cell r="D291" t="str">
            <v>Repossession Service Fees - GL</v>
          </cell>
          <cell r="L291">
            <v>814131</v>
          </cell>
          <cell r="N291">
            <v>714208</v>
          </cell>
          <cell r="O291">
            <v>99923</v>
          </cell>
          <cell r="AC291">
            <v>99923</v>
          </cell>
        </row>
        <row r="292">
          <cell r="B292" t="str">
            <v>ค่าจ้างบริหารงานและบริการอื่นจาก GL</v>
          </cell>
          <cell r="D292" t="str">
            <v>Management &amp; Other Services Fees- GL</v>
          </cell>
          <cell r="L292">
            <v>47136124.280000001</v>
          </cell>
          <cell r="N292">
            <v>38963086.899999999</v>
          </cell>
          <cell r="O292">
            <v>8173037.3800000027</v>
          </cell>
          <cell r="AC292">
            <v>7723037.3800000027</v>
          </cell>
        </row>
        <row r="293">
          <cell r="B293" t="str">
            <v>ค่าบริการด้านระบบงานคอมพิวเตอร์จาก TCRB</v>
          </cell>
          <cell r="D293" t="str">
            <v>IT service fee - TCRB</v>
          </cell>
          <cell r="L293">
            <v>6000</v>
          </cell>
          <cell r="N293">
            <v>0</v>
          </cell>
          <cell r="O293">
            <v>6000</v>
          </cell>
          <cell r="AC293">
            <v>6000</v>
          </cell>
        </row>
        <row r="294">
          <cell r="B294" t="str">
            <v>ค่าสมาชิก NCB</v>
          </cell>
          <cell r="D294" t="str">
            <v>NCB Membership Fees</v>
          </cell>
          <cell r="L294">
            <v>322818.81</v>
          </cell>
          <cell r="N294">
            <v>267877.81</v>
          </cell>
          <cell r="O294">
            <v>54941</v>
          </cell>
          <cell r="AC294">
            <v>54941</v>
          </cell>
        </row>
        <row r="295">
          <cell r="B295" t="str">
            <v>ค่าบริการสืบค้นข้อมูล NCB</v>
          </cell>
          <cell r="D295" t="str">
            <v>NCB Searching Fees</v>
          </cell>
          <cell r="L295">
            <v>165486.39999999999</v>
          </cell>
          <cell r="N295">
            <v>139498.92000000001</v>
          </cell>
          <cell r="O295">
            <v>25987.479999999981</v>
          </cell>
          <cell r="AC295">
            <v>25987.479999999981</v>
          </cell>
        </row>
        <row r="296">
          <cell r="B296" t="str">
            <v>ค่าการขายโอนสิทธิเรียกร้องJMTคืนTCRB</v>
          </cell>
          <cell r="D296" t="str">
            <v>Repayment to TCRB (related to JMT)</v>
          </cell>
          <cell r="L296">
            <v>0</v>
          </cell>
          <cell r="N296">
            <v>0</v>
          </cell>
          <cell r="O296">
            <v>0</v>
          </cell>
          <cell r="AC296">
            <v>0</v>
          </cell>
        </row>
        <row r="297">
          <cell r="B297" t="str">
            <v>ภาษีต้องห้าม</v>
          </cell>
          <cell r="D297" t="str">
            <v>Prohibited Taxes</v>
          </cell>
          <cell r="L297">
            <v>17178.810000000001</v>
          </cell>
          <cell r="N297">
            <v>13950.27</v>
          </cell>
          <cell r="O297">
            <v>3228.5400000000009</v>
          </cell>
          <cell r="AC297">
            <v>3228.5400000000009</v>
          </cell>
        </row>
        <row r="298">
          <cell r="B298" t="str">
            <v>รวมค่าใช้จ่ายในการบริการและบริหารก่อนค่าที่ปรึกษา ค่าเสื่อมราคาและค่าตัดจำหน่าย</v>
          </cell>
          <cell r="D298" t="str">
            <v>Total Expenses Before Depreciation</v>
          </cell>
          <cell r="L298">
            <v>75960964.750000015</v>
          </cell>
          <cell r="M298">
            <v>0</v>
          </cell>
          <cell r="N298">
            <v>62198328.610000007</v>
          </cell>
          <cell r="O298">
            <v>13762636.140000002</v>
          </cell>
          <cell r="P298">
            <v>0</v>
          </cell>
          <cell r="AC298">
            <v>13312636.140000002</v>
          </cell>
        </row>
        <row r="299">
          <cell r="B299" t="str">
            <v>ค่าเสื่อมราคา</v>
          </cell>
          <cell r="D299" t="str">
            <v>Depreciation</v>
          </cell>
          <cell r="H299" t="str">
            <v xml:space="preserve"> </v>
          </cell>
          <cell r="L299">
            <v>1974996.3400000003</v>
          </cell>
          <cell r="N299">
            <v>1639445.27</v>
          </cell>
          <cell r="O299">
            <v>335551.0700000003</v>
          </cell>
          <cell r="AC299">
            <v>335551.0700000003</v>
          </cell>
        </row>
        <row r="300">
          <cell r="B300" t="str">
            <v>ค่าเสื่อมราคาสินทรัพย์ไม่มีตัวตน</v>
          </cell>
          <cell r="D300" t="str">
            <v>Amotization Intangible Assets</v>
          </cell>
          <cell r="L300">
            <v>227945.75999999998</v>
          </cell>
          <cell r="N300">
            <v>189411.3</v>
          </cell>
          <cell r="O300">
            <v>38534.459999999992</v>
          </cell>
          <cell r="AC300">
            <v>38534.459999999992</v>
          </cell>
        </row>
        <row r="301">
          <cell r="B301" t="str">
            <v>ค่าที่ปรึกษา บจ. วี ไอ เอส แอสโซซิเอท</v>
          </cell>
          <cell r="D301" t="str">
            <v>ค่าที่ปรึกษา บจ. วี ไอ เอส แอสโซซิเอท</v>
          </cell>
          <cell r="G301">
            <v>11</v>
          </cell>
          <cell r="L301">
            <v>0</v>
          </cell>
          <cell r="N301">
            <v>0</v>
          </cell>
          <cell r="O301">
            <v>0</v>
          </cell>
          <cell r="AC301">
            <v>0</v>
          </cell>
        </row>
        <row r="302">
          <cell r="B302" t="str">
            <v>รวมค่าใช้จ่ายในการบริการและบริหาร</v>
          </cell>
          <cell r="D302" t="str">
            <v>Total Expenses for Services and Administrative Expenses</v>
          </cell>
          <cell r="L302">
            <v>78163906.850000024</v>
          </cell>
          <cell r="M302">
            <v>0</v>
          </cell>
          <cell r="N302">
            <v>64027185.180000007</v>
          </cell>
          <cell r="O302">
            <v>14136721.670000004</v>
          </cell>
          <cell r="P302">
            <v>0</v>
          </cell>
          <cell r="AC302">
            <v>13686721.670000004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30"/>
  <sheetViews>
    <sheetView topLeftCell="A7" workbookViewId="0">
      <selection activeCell="L24" sqref="L24"/>
    </sheetView>
  </sheetViews>
  <sheetFormatPr defaultRowHeight="15"/>
  <sheetData>
    <row r="2" spans="2:3">
      <c r="B2" s="199" t="s">
        <v>272</v>
      </c>
    </row>
    <row r="3" spans="2:3">
      <c r="B3" s="46" t="s">
        <v>271</v>
      </c>
    </row>
    <row r="4" spans="2:3">
      <c r="C4" t="s">
        <v>245</v>
      </c>
    </row>
    <row r="5" spans="2:3">
      <c r="C5" t="s">
        <v>273</v>
      </c>
    </row>
    <row r="6" spans="2:3">
      <c r="B6" t="s">
        <v>246</v>
      </c>
    </row>
    <row r="7" spans="2:3">
      <c r="C7" t="s">
        <v>247</v>
      </c>
    </row>
    <row r="8" spans="2:3">
      <c r="C8" t="s">
        <v>248</v>
      </c>
    </row>
    <row r="9" spans="2:3">
      <c r="C9" t="s">
        <v>249</v>
      </c>
    </row>
    <row r="10" spans="2:3">
      <c r="C10" t="s">
        <v>250</v>
      </c>
    </row>
    <row r="11" spans="2:3">
      <c r="C11" t="s">
        <v>251</v>
      </c>
    </row>
    <row r="12" spans="2:3">
      <c r="C12" t="s">
        <v>269</v>
      </c>
    </row>
    <row r="13" spans="2:3">
      <c r="B13" t="s">
        <v>258</v>
      </c>
    </row>
    <row r="14" spans="2:3">
      <c r="C14" t="s">
        <v>264</v>
      </c>
    </row>
    <row r="15" spans="2:3">
      <c r="C15" t="s">
        <v>265</v>
      </c>
    </row>
    <row r="16" spans="2:3">
      <c r="C16" t="s">
        <v>266</v>
      </c>
    </row>
    <row r="17" spans="2:3">
      <c r="C17" s="2" t="s">
        <v>259</v>
      </c>
    </row>
    <row r="18" spans="2:3">
      <c r="C18" s="2" t="s">
        <v>260</v>
      </c>
    </row>
    <row r="19" spans="2:3">
      <c r="C19" s="2" t="s">
        <v>261</v>
      </c>
    </row>
    <row r="20" spans="2:3">
      <c r="C20" s="2" t="s">
        <v>262</v>
      </c>
    </row>
    <row r="21" spans="2:3">
      <c r="C21" s="2" t="s">
        <v>263</v>
      </c>
    </row>
    <row r="22" spans="2:3">
      <c r="B22" t="s">
        <v>252</v>
      </c>
    </row>
    <row r="23" spans="2:3">
      <c r="C23" t="s">
        <v>253</v>
      </c>
    </row>
    <row r="24" spans="2:3">
      <c r="C24" t="s">
        <v>254</v>
      </c>
    </row>
    <row r="25" spans="2:3">
      <c r="C25" s="2" t="s">
        <v>255</v>
      </c>
    </row>
    <row r="26" spans="2:3">
      <c r="C26" s="2" t="s">
        <v>256</v>
      </c>
    </row>
    <row r="27" spans="2:3">
      <c r="C27" s="2" t="s">
        <v>257</v>
      </c>
    </row>
    <row r="28" spans="2:3">
      <c r="B28" t="s">
        <v>267</v>
      </c>
    </row>
    <row r="29" spans="2:3">
      <c r="C29" s="2" t="s">
        <v>268</v>
      </c>
    </row>
    <row r="30" spans="2:3">
      <c r="C30" s="2" t="s">
        <v>270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workbookViewId="0">
      <pane xSplit="3" topLeftCell="AI1" activePane="topRight" state="frozen"/>
      <selection pane="topRight" activeCell="AM27" sqref="AM27"/>
    </sheetView>
  </sheetViews>
  <sheetFormatPr defaultRowHeight="15"/>
  <cols>
    <col min="4" max="4" width="13.85546875" hidden="1" customWidth="1"/>
    <col min="5" max="5" width="10.5703125" hidden="1" customWidth="1"/>
    <col min="6" max="6" width="13.28515625" hidden="1" customWidth="1"/>
    <col min="7" max="7" width="12.5703125" hidden="1" customWidth="1"/>
    <col min="8" max="9" width="10.5703125" hidden="1" customWidth="1"/>
    <col min="10" max="10" width="12.5703125" hidden="1" customWidth="1"/>
    <col min="11" max="12" width="10.5703125" hidden="1" customWidth="1"/>
    <col min="13" max="13" width="15.42578125" bestFit="1" customWidth="1"/>
    <col min="14" max="14" width="12.85546875" bestFit="1" customWidth="1"/>
    <col min="15" max="15" width="13.140625" bestFit="1" customWidth="1"/>
    <col min="16" max="16" width="15.42578125" bestFit="1" customWidth="1"/>
    <col min="17" max="18" width="24.42578125" bestFit="1" customWidth="1"/>
    <col min="19" max="19" width="15" bestFit="1" customWidth="1"/>
    <col min="20" max="20" width="20.5703125" bestFit="1" customWidth="1"/>
    <col min="21" max="21" width="22.7109375" bestFit="1" customWidth="1"/>
    <col min="22" max="22" width="15.42578125" bestFit="1" customWidth="1"/>
    <col min="23" max="24" width="22.7109375" bestFit="1" customWidth="1"/>
    <col min="25" max="25" width="15.42578125" bestFit="1" customWidth="1"/>
    <col min="26" max="27" width="22.7109375" bestFit="1" customWidth="1"/>
    <col min="28" max="28" width="15.42578125" bestFit="1" customWidth="1"/>
    <col min="29" max="30" width="22.7109375" bestFit="1" customWidth="1"/>
    <col min="31" max="31" width="17.42578125" bestFit="1" customWidth="1"/>
    <col min="32" max="33" width="24.42578125" bestFit="1" customWidth="1"/>
    <col min="34" max="34" width="14" customWidth="1"/>
    <col min="35" max="36" width="22.7109375" bestFit="1" customWidth="1"/>
    <col min="37" max="37" width="12.5703125" bestFit="1" customWidth="1"/>
    <col min="38" max="38" width="13.28515625" bestFit="1" customWidth="1"/>
    <col min="39" max="40" width="15.28515625" bestFit="1" customWidth="1"/>
    <col min="41" max="42" width="13.28515625" bestFit="1" customWidth="1"/>
  </cols>
  <sheetData>
    <row r="1" spans="1:42">
      <c r="A1" s="261"/>
      <c r="B1" s="221" t="s">
        <v>319</v>
      </c>
      <c r="C1" s="268"/>
      <c r="D1" s="222">
        <v>42186</v>
      </c>
      <c r="E1" s="221"/>
      <c r="F1" s="268"/>
      <c r="G1" s="222">
        <v>42217</v>
      </c>
      <c r="H1" s="221"/>
      <c r="I1" s="268"/>
      <c r="J1" s="222">
        <v>42248</v>
      </c>
      <c r="K1" s="221"/>
      <c r="L1" s="268"/>
      <c r="M1" s="222">
        <v>42278</v>
      </c>
      <c r="O1" s="261"/>
      <c r="P1" s="222">
        <v>42309</v>
      </c>
      <c r="R1" s="261"/>
      <c r="S1" s="222">
        <v>42339</v>
      </c>
      <c r="U1" s="261"/>
      <c r="V1" s="222">
        <v>42370</v>
      </c>
      <c r="X1" s="261"/>
      <c r="Y1" s="222">
        <v>42401</v>
      </c>
      <c r="AA1" s="261"/>
      <c r="AB1" s="381" t="s">
        <v>397</v>
      </c>
      <c r="AD1" s="261"/>
      <c r="AE1" s="381" t="s">
        <v>453</v>
      </c>
      <c r="AG1" s="261"/>
      <c r="AH1" s="381" t="s">
        <v>485</v>
      </c>
      <c r="AJ1" s="261"/>
      <c r="AK1" s="381" t="s">
        <v>492</v>
      </c>
      <c r="AM1" s="261"/>
      <c r="AN1" s="381" t="s">
        <v>496</v>
      </c>
      <c r="AP1" s="261"/>
    </row>
    <row r="2" spans="1:42">
      <c r="A2" s="266" t="s">
        <v>317</v>
      </c>
      <c r="B2" s="267" t="s">
        <v>315</v>
      </c>
      <c r="C2" s="266" t="s">
        <v>316</v>
      </c>
      <c r="D2" s="267" t="s">
        <v>318</v>
      </c>
      <c r="E2" s="267" t="s">
        <v>315</v>
      </c>
      <c r="F2" s="266" t="s">
        <v>316</v>
      </c>
      <c r="G2" s="267" t="s">
        <v>318</v>
      </c>
      <c r="H2" s="267" t="s">
        <v>315</v>
      </c>
      <c r="I2" s="266" t="s">
        <v>316</v>
      </c>
      <c r="J2" s="267" t="s">
        <v>318</v>
      </c>
      <c r="K2" s="267" t="s">
        <v>315</v>
      </c>
      <c r="L2" s="266" t="s">
        <v>316</v>
      </c>
      <c r="M2" s="267" t="s">
        <v>318</v>
      </c>
      <c r="N2" s="267" t="s">
        <v>315</v>
      </c>
      <c r="O2" s="266" t="s">
        <v>316</v>
      </c>
      <c r="P2" s="267" t="s">
        <v>318</v>
      </c>
      <c r="Q2" s="267" t="s">
        <v>315</v>
      </c>
      <c r="R2" s="266" t="s">
        <v>316</v>
      </c>
      <c r="S2" s="267" t="s">
        <v>318</v>
      </c>
      <c r="T2" s="267" t="s">
        <v>315</v>
      </c>
      <c r="U2" s="266" t="s">
        <v>316</v>
      </c>
      <c r="V2" s="267" t="s">
        <v>318</v>
      </c>
      <c r="W2" s="267" t="s">
        <v>315</v>
      </c>
      <c r="X2" s="266" t="s">
        <v>316</v>
      </c>
      <c r="Y2" s="267" t="s">
        <v>318</v>
      </c>
      <c r="Z2" s="267" t="s">
        <v>315</v>
      </c>
      <c r="AA2" s="266" t="s">
        <v>316</v>
      </c>
      <c r="AB2" s="267" t="s">
        <v>318</v>
      </c>
      <c r="AC2" s="267" t="s">
        <v>315</v>
      </c>
      <c r="AD2" s="266" t="s">
        <v>316</v>
      </c>
      <c r="AE2" s="267" t="s">
        <v>318</v>
      </c>
      <c r="AF2" s="267" t="s">
        <v>315</v>
      </c>
      <c r="AG2" s="266" t="s">
        <v>316</v>
      </c>
      <c r="AH2" s="267" t="s">
        <v>318</v>
      </c>
      <c r="AI2" s="267" t="s">
        <v>315</v>
      </c>
      <c r="AJ2" s="266" t="s">
        <v>316</v>
      </c>
      <c r="AK2" s="267" t="s">
        <v>318</v>
      </c>
      <c r="AL2" s="267" t="s">
        <v>315</v>
      </c>
      <c r="AM2" s="266" t="s">
        <v>316</v>
      </c>
      <c r="AN2" s="267" t="s">
        <v>318</v>
      </c>
      <c r="AO2" s="267" t="s">
        <v>315</v>
      </c>
      <c r="AP2" s="266" t="s">
        <v>316</v>
      </c>
    </row>
    <row r="3" spans="1:42">
      <c r="A3" s="261">
        <v>0</v>
      </c>
      <c r="B3" s="260">
        <v>0.01</v>
      </c>
      <c r="C3" s="262">
        <v>0.01</v>
      </c>
      <c r="D3" s="259">
        <v>104609583.34599993</v>
      </c>
      <c r="E3" s="259">
        <f>B3*D3</f>
        <v>1046095.8334599993</v>
      </c>
      <c r="F3" s="264">
        <f>D3*C3</f>
        <v>1046095.8334599993</v>
      </c>
      <c r="G3" s="259">
        <v>117924626.72</v>
      </c>
      <c r="H3" s="259">
        <f>G3*B3</f>
        <v>1179246.2672000001</v>
      </c>
      <c r="I3" s="263">
        <f>G3*C3</f>
        <v>1179246.2672000001</v>
      </c>
      <c r="J3" s="259">
        <v>130096956.91000012</v>
      </c>
      <c r="K3" s="259">
        <f>J3*B3</f>
        <v>1300969.5691000011</v>
      </c>
      <c r="L3" s="263">
        <f>J3*C3</f>
        <v>1300969.5691000011</v>
      </c>
      <c r="M3" s="259">
        <v>141356801.44999999</v>
      </c>
      <c r="N3" s="259">
        <f>M3*B3</f>
        <v>1413568.0144999998</v>
      </c>
      <c r="O3" s="305">
        <f>M3*C3</f>
        <v>1413568.0144999998</v>
      </c>
      <c r="P3" s="259">
        <f>39140594.34+113306664.49</f>
        <v>152447258.82999998</v>
      </c>
      <c r="Q3" s="306">
        <v>59194.05</v>
      </c>
      <c r="R3" s="305">
        <f>P3*C3</f>
        <v>1524472.5882999999</v>
      </c>
      <c r="S3" s="317">
        <f>40991720.96+127330716.51</f>
        <v>168322437.47</v>
      </c>
      <c r="T3" s="306">
        <f>S3*B3</f>
        <v>1683224.3747</v>
      </c>
      <c r="U3" s="305">
        <f>S3*C3</f>
        <v>1683224.3747</v>
      </c>
      <c r="V3" s="317">
        <f>38597122.8499999+133284495.44</f>
        <v>171881618.2899999</v>
      </c>
      <c r="W3" s="306">
        <f>V3*B3</f>
        <v>1718816.182899999</v>
      </c>
      <c r="X3" s="305">
        <f>V3*C3</f>
        <v>1718816.182899999</v>
      </c>
      <c r="Y3" s="317">
        <f>142207522.36+141279500.23</f>
        <v>283487022.59000003</v>
      </c>
      <c r="Z3" s="306">
        <f>Y3*B3</f>
        <v>2834870.2259000004</v>
      </c>
      <c r="AA3" s="305">
        <f>Y3*C3</f>
        <v>2834870.2259000004</v>
      </c>
      <c r="AB3" s="317">
        <v>287800350.11999941</v>
      </c>
      <c r="AC3" s="306">
        <f>AB3*B3</f>
        <v>2878003.5011999942</v>
      </c>
      <c r="AD3" s="305">
        <f>AB3*C3</f>
        <v>2878003.5011999942</v>
      </c>
      <c r="AE3" s="317">
        <v>280914224.54000092</v>
      </c>
      <c r="AF3" s="306">
        <f>AE3*B3</f>
        <v>2809142.2454000092</v>
      </c>
      <c r="AG3" s="305">
        <f>AE3*C3</f>
        <v>2809142.2454000092</v>
      </c>
      <c r="AH3" s="317">
        <v>283372077.85000134</v>
      </c>
      <c r="AI3" s="306">
        <f>AH3*B3</f>
        <v>2833720.7785000135</v>
      </c>
      <c r="AJ3" s="305">
        <f>AH3*C3</f>
        <v>2833720.7785000135</v>
      </c>
      <c r="AK3" s="317">
        <v>288936231.97999883</v>
      </c>
      <c r="AL3" s="306">
        <f>AK3*B3</f>
        <v>2889362.3197999885</v>
      </c>
      <c r="AM3" s="305">
        <f>AK3*C3</f>
        <v>2889362.3197999885</v>
      </c>
      <c r="AN3" s="317">
        <v>290611299.3900013</v>
      </c>
      <c r="AO3" s="306">
        <f t="shared" ref="AO3:AO8" si="0">AN3*B3</f>
        <v>2906112.9939000132</v>
      </c>
      <c r="AP3" s="305">
        <f t="shared" ref="AP3:AP9" si="1">AN3*C3</f>
        <v>2906112.9939000132</v>
      </c>
    </row>
    <row r="4" spans="1:42">
      <c r="A4" s="261">
        <v>1</v>
      </c>
      <c r="B4" s="260">
        <v>0.01</v>
      </c>
      <c r="C4" s="262">
        <v>0.1</v>
      </c>
      <c r="D4" s="259">
        <v>13204540.856000002</v>
      </c>
      <c r="E4" s="259">
        <f t="shared" ref="E4:E15" si="2">B4*D4</f>
        <v>132045.40856000004</v>
      </c>
      <c r="F4" s="264">
        <f t="shared" ref="F4:F15" si="3">D4*C4</f>
        <v>1320454.0856000003</v>
      </c>
      <c r="G4" s="259">
        <v>14456909.56200001</v>
      </c>
      <c r="H4" s="259">
        <f t="shared" ref="H4:H15" si="4">G4*B4</f>
        <v>144569.09562000009</v>
      </c>
      <c r="I4" s="263">
        <f t="shared" ref="I4:I15" si="5">G4*C4</f>
        <v>1445690.9562000011</v>
      </c>
      <c r="J4" s="259">
        <v>14654528.696000012</v>
      </c>
      <c r="K4" s="259">
        <f t="shared" ref="K4:K15" si="6">J4*B4</f>
        <v>146545.28696000011</v>
      </c>
      <c r="L4" s="263">
        <f t="shared" ref="L4:L15" si="7">J4*C4</f>
        <v>1465452.8696000013</v>
      </c>
      <c r="M4" s="259">
        <v>15865280.186000001</v>
      </c>
      <c r="N4" s="259">
        <f t="shared" ref="N4:N15" si="8">M4*B4</f>
        <v>158652.80186000001</v>
      </c>
      <c r="O4" s="263">
        <f t="shared" ref="O4:O15" si="9">M4*C4</f>
        <v>1586528.0186000001</v>
      </c>
      <c r="P4" s="259">
        <f>7399150.46600001+9319490.71999999</f>
        <v>16718641.186000001</v>
      </c>
      <c r="Q4" s="306">
        <f>P4*B4</f>
        <v>167186.41186000002</v>
      </c>
      <c r="R4" s="305">
        <f t="shared" ref="R4:R15" si="10">P4*C4</f>
        <v>1671864.1186000002</v>
      </c>
      <c r="S4" s="317">
        <f>6109716.95+11419334.74</f>
        <v>17529051.690000001</v>
      </c>
      <c r="T4" s="306">
        <f t="shared" ref="T4:T15" si="11">S4*B4</f>
        <v>175290.51690000002</v>
      </c>
      <c r="U4" s="305">
        <f t="shared" ref="U4:U16" si="12">S4*C4</f>
        <v>1752905.1690000002</v>
      </c>
      <c r="V4" s="317">
        <f>5930712.53399999+13115492.42</f>
        <v>19046204.953999989</v>
      </c>
      <c r="W4" s="306">
        <f t="shared" ref="W4:W16" si="13">V4*B4</f>
        <v>190462.04953999989</v>
      </c>
      <c r="X4" s="305">
        <f t="shared" ref="X4:X16" si="14">V4*C4</f>
        <v>1904620.495399999</v>
      </c>
      <c r="Y4" s="317">
        <f>39508878.76+16222137.36</f>
        <v>55731016.119999997</v>
      </c>
      <c r="Z4" s="306">
        <f t="shared" ref="Z4:Z16" si="15">Y4*B4</f>
        <v>557310.16119999997</v>
      </c>
      <c r="AA4" s="305">
        <f t="shared" ref="AA4:AA16" si="16">Y4*C4</f>
        <v>5573101.6119999997</v>
      </c>
      <c r="AB4" s="317">
        <v>50478970.789999962</v>
      </c>
      <c r="AC4" s="306">
        <f>AB4*B4</f>
        <v>504789.70789999963</v>
      </c>
      <c r="AD4" s="305">
        <f t="shared" ref="AD4:AD15" si="17">AB4*C4</f>
        <v>5047897.0789999962</v>
      </c>
      <c r="AE4" s="317">
        <v>51811574.720000029</v>
      </c>
      <c r="AF4" s="306">
        <f t="shared" ref="AF4:AF16" si="18">AE4*B4</f>
        <v>518115.74720000027</v>
      </c>
      <c r="AG4" s="305">
        <f t="shared" ref="AG4:AG16" si="19">AE4*C4</f>
        <v>5181157.4720000029</v>
      </c>
      <c r="AH4" s="317">
        <v>49015261.349999949</v>
      </c>
      <c r="AI4" s="306">
        <f t="shared" ref="AI4:AI16" si="20">AH4*B4</f>
        <v>490152.61349999951</v>
      </c>
      <c r="AJ4" s="305">
        <f t="shared" ref="AJ4:AJ15" si="21">AH4*C4</f>
        <v>4901526.1349999951</v>
      </c>
      <c r="AK4" s="317">
        <v>45385001.200000033</v>
      </c>
      <c r="AL4" s="306">
        <f t="shared" ref="AL4:AL16" si="22">AK4*B4</f>
        <v>453850.01200000034</v>
      </c>
      <c r="AM4" s="305">
        <f t="shared" ref="AM4:AM16" si="23">AK4*C4</f>
        <v>4538500.1200000038</v>
      </c>
      <c r="AN4" s="317">
        <v>42627362.850000009</v>
      </c>
      <c r="AO4" s="306">
        <f t="shared" si="0"/>
        <v>426273.62850000011</v>
      </c>
      <c r="AP4" s="305">
        <f t="shared" si="1"/>
        <v>4262736.2850000011</v>
      </c>
    </row>
    <row r="5" spans="1:42">
      <c r="A5" s="261">
        <v>2</v>
      </c>
      <c r="B5" s="260">
        <v>0.02</v>
      </c>
      <c r="C5" s="262">
        <v>0.1</v>
      </c>
      <c r="D5" s="259">
        <v>6575700.2899999991</v>
      </c>
      <c r="E5" s="259">
        <f t="shared" si="2"/>
        <v>131514.00579999998</v>
      </c>
      <c r="F5" s="264">
        <f t="shared" si="3"/>
        <v>657570.02899999998</v>
      </c>
      <c r="G5" s="259">
        <v>6670092.4399999883</v>
      </c>
      <c r="H5" s="259">
        <f t="shared" si="4"/>
        <v>133401.84879999977</v>
      </c>
      <c r="I5" s="263">
        <f t="shared" si="5"/>
        <v>667009.2439999989</v>
      </c>
      <c r="J5" s="259">
        <v>8537548.6160000041</v>
      </c>
      <c r="K5" s="259">
        <f t="shared" si="6"/>
        <v>170750.97232000009</v>
      </c>
      <c r="L5" s="263">
        <f t="shared" si="7"/>
        <v>853754.86160000041</v>
      </c>
      <c r="M5" s="259">
        <v>8670087.9159999918</v>
      </c>
      <c r="N5" s="259">
        <f t="shared" si="8"/>
        <v>173401.75831999985</v>
      </c>
      <c r="O5" s="263">
        <f t="shared" si="9"/>
        <v>867008.79159999918</v>
      </c>
      <c r="P5" s="259">
        <f>5921629.036+3208671.78</f>
        <v>9130300.8159999996</v>
      </c>
      <c r="Q5" s="306">
        <f t="shared" ref="Q5:Q15" si="24">P5*B5</f>
        <v>182606.01632</v>
      </c>
      <c r="R5" s="305">
        <f t="shared" si="10"/>
        <v>913030.08160000003</v>
      </c>
      <c r="S5" s="317">
        <f>5367267.96600001+4285247.57</f>
        <v>9652515.5360000096</v>
      </c>
      <c r="T5" s="306">
        <f t="shared" si="11"/>
        <v>193050.31072000018</v>
      </c>
      <c r="U5" s="305">
        <f t="shared" si="12"/>
        <v>965251.55360000103</v>
      </c>
      <c r="V5" s="317">
        <f>4554845.63+4871813.09</f>
        <v>9426658.7199999988</v>
      </c>
      <c r="W5" s="306">
        <f t="shared" si="13"/>
        <v>188533.17439999999</v>
      </c>
      <c r="X5" s="305">
        <f t="shared" si="14"/>
        <v>942665.87199999997</v>
      </c>
      <c r="Y5" s="317">
        <f>39051260.1800001+5792203.68</f>
        <v>44843463.860000096</v>
      </c>
      <c r="Z5" s="306">
        <f t="shared" si="15"/>
        <v>896869.27720000199</v>
      </c>
      <c r="AA5" s="305">
        <f t="shared" si="16"/>
        <v>4484346.3860000102</v>
      </c>
      <c r="AB5" s="317">
        <v>40173421.470000014</v>
      </c>
      <c r="AC5" s="306">
        <f t="shared" ref="AC5:AC15" si="25">AB5*B5</f>
        <v>803468.42940000026</v>
      </c>
      <c r="AD5" s="305">
        <f t="shared" si="17"/>
        <v>4017342.1470000017</v>
      </c>
      <c r="AE5" s="317">
        <v>37484521.909999982</v>
      </c>
      <c r="AF5" s="306">
        <f t="shared" si="18"/>
        <v>749690.43819999963</v>
      </c>
      <c r="AG5" s="305">
        <f t="shared" si="19"/>
        <v>3748452.1909999982</v>
      </c>
      <c r="AH5" s="317">
        <v>36337170.110000007</v>
      </c>
      <c r="AI5" s="306">
        <f t="shared" si="20"/>
        <v>726743.40220000013</v>
      </c>
      <c r="AJ5" s="305">
        <f t="shared" si="21"/>
        <v>3633717.0110000009</v>
      </c>
      <c r="AK5" s="317">
        <v>32696964.049999975</v>
      </c>
      <c r="AL5" s="306">
        <f t="shared" si="22"/>
        <v>653939.28099999949</v>
      </c>
      <c r="AM5" s="305">
        <f t="shared" si="23"/>
        <v>3269696.4049999975</v>
      </c>
      <c r="AN5" s="317">
        <v>31898271.840000018</v>
      </c>
      <c r="AO5" s="306">
        <f t="shared" si="0"/>
        <v>637965.43680000037</v>
      </c>
      <c r="AP5" s="305">
        <f t="shared" si="1"/>
        <v>3189827.1840000022</v>
      </c>
    </row>
    <row r="6" spans="1:42">
      <c r="A6" s="261">
        <v>3</v>
      </c>
      <c r="B6" s="260">
        <v>0.02</v>
      </c>
      <c r="C6" s="262">
        <v>0.2</v>
      </c>
      <c r="D6" s="259">
        <v>1955509.0800000003</v>
      </c>
      <c r="E6" s="259">
        <f t="shared" si="2"/>
        <v>39110.181600000004</v>
      </c>
      <c r="F6" s="264">
        <f t="shared" si="3"/>
        <v>391101.81600000011</v>
      </c>
      <c r="G6" s="259">
        <v>2330745.5499999998</v>
      </c>
      <c r="H6" s="259">
        <f t="shared" si="4"/>
        <v>46614.911</v>
      </c>
      <c r="I6" s="263">
        <f t="shared" si="5"/>
        <v>466149.11</v>
      </c>
      <c r="J6" s="259">
        <v>2267688.5199999996</v>
      </c>
      <c r="K6" s="259">
        <f t="shared" si="6"/>
        <v>45353.770399999994</v>
      </c>
      <c r="L6" s="263">
        <f t="shared" si="7"/>
        <v>453537.70399999991</v>
      </c>
      <c r="M6" s="259">
        <v>2581982.9400000009</v>
      </c>
      <c r="N6" s="259">
        <f t="shared" si="8"/>
        <v>51639.658800000019</v>
      </c>
      <c r="O6" s="263">
        <f t="shared" si="9"/>
        <v>516396.58800000022</v>
      </c>
      <c r="P6" s="259">
        <f>2350459.34+854818.24</f>
        <v>3205277.58</v>
      </c>
      <c r="Q6" s="306">
        <f t="shared" si="24"/>
        <v>64105.551600000006</v>
      </c>
      <c r="R6" s="305">
        <f t="shared" si="10"/>
        <v>641055.51600000006</v>
      </c>
      <c r="S6" s="317">
        <f>2171837.48+1159616.46</f>
        <v>3331453.94</v>
      </c>
      <c r="T6" s="306">
        <f t="shared" si="11"/>
        <v>66629.078800000003</v>
      </c>
      <c r="U6" s="305">
        <f t="shared" si="12"/>
        <v>666290.78800000006</v>
      </c>
      <c r="V6" s="317">
        <f>1784919.16+1427264.07</f>
        <v>3212183.23</v>
      </c>
      <c r="W6" s="306">
        <f t="shared" si="13"/>
        <v>64243.664600000004</v>
      </c>
      <c r="X6" s="305">
        <f t="shared" si="14"/>
        <v>642436.64600000007</v>
      </c>
      <c r="Y6" s="317">
        <f>19361718.02+1700988.34</f>
        <v>21062706.359999999</v>
      </c>
      <c r="Z6" s="306">
        <f t="shared" si="15"/>
        <v>421254.12719999999</v>
      </c>
      <c r="AA6" s="305">
        <f t="shared" si="16"/>
        <v>4212541.2719999999</v>
      </c>
      <c r="AB6" s="317">
        <v>18974358.160000011</v>
      </c>
      <c r="AC6" s="306">
        <f t="shared" si="25"/>
        <v>379487.16320000024</v>
      </c>
      <c r="AD6" s="305">
        <f t="shared" si="17"/>
        <v>3794871.6320000025</v>
      </c>
      <c r="AE6" s="317">
        <v>17151718.329999991</v>
      </c>
      <c r="AF6" s="306">
        <f t="shared" si="18"/>
        <v>343034.36659999983</v>
      </c>
      <c r="AG6" s="305">
        <f t="shared" si="19"/>
        <v>3430343.6659999983</v>
      </c>
      <c r="AH6" s="317">
        <v>15409225.670000004</v>
      </c>
      <c r="AI6" s="306">
        <f t="shared" si="20"/>
        <v>308184.51340000005</v>
      </c>
      <c r="AJ6" s="305">
        <f t="shared" si="21"/>
        <v>3081845.134000001</v>
      </c>
      <c r="AK6" s="317">
        <v>14679580.260000005</v>
      </c>
      <c r="AL6" s="306">
        <f t="shared" si="22"/>
        <v>293591.60520000011</v>
      </c>
      <c r="AM6" s="305">
        <f t="shared" si="23"/>
        <v>2935916.0520000011</v>
      </c>
      <c r="AN6" s="317">
        <v>12056230.830000002</v>
      </c>
      <c r="AO6" s="306">
        <f t="shared" si="0"/>
        <v>241124.61660000004</v>
      </c>
      <c r="AP6" s="305">
        <f t="shared" si="1"/>
        <v>2411246.1660000007</v>
      </c>
    </row>
    <row r="7" spans="1:42">
      <c r="A7" s="261">
        <v>4</v>
      </c>
      <c r="B7" s="260">
        <v>1</v>
      </c>
      <c r="C7" s="262">
        <v>0.2</v>
      </c>
      <c r="D7" s="259">
        <v>924422.48599999957</v>
      </c>
      <c r="E7" s="259">
        <f t="shared" si="2"/>
        <v>924422.48599999957</v>
      </c>
      <c r="F7" s="264">
        <f t="shared" si="3"/>
        <v>184884.49719999993</v>
      </c>
      <c r="G7" s="259">
        <v>670535.52299999993</v>
      </c>
      <c r="H7" s="259">
        <f t="shared" si="4"/>
        <v>670535.52299999993</v>
      </c>
      <c r="I7" s="263">
        <f t="shared" si="5"/>
        <v>134107.10459999999</v>
      </c>
      <c r="J7" s="259">
        <v>780969.09300000011</v>
      </c>
      <c r="K7" s="259">
        <f t="shared" si="6"/>
        <v>780969.09300000011</v>
      </c>
      <c r="L7" s="263">
        <f t="shared" si="7"/>
        <v>156193.81860000003</v>
      </c>
      <c r="M7" s="259">
        <v>682473.63</v>
      </c>
      <c r="N7" s="259">
        <f t="shared" si="8"/>
        <v>682473.63</v>
      </c>
      <c r="O7" s="263">
        <f t="shared" si="9"/>
        <v>136494.726</v>
      </c>
      <c r="P7" s="259">
        <f>687239.05+224432.18</f>
        <v>911671.23</v>
      </c>
      <c r="Q7" s="306">
        <f t="shared" si="24"/>
        <v>911671.23</v>
      </c>
      <c r="R7" s="305">
        <f t="shared" si="10"/>
        <v>182334.24600000001</v>
      </c>
      <c r="S7" s="317">
        <f>712124.62+357848.86</f>
        <v>1069973.48</v>
      </c>
      <c r="T7" s="306">
        <f t="shared" si="11"/>
        <v>1069973.48</v>
      </c>
      <c r="U7" s="305">
        <f t="shared" si="12"/>
        <v>213994.696</v>
      </c>
      <c r="V7" s="317">
        <f>629961.01+636970.25</f>
        <v>1266931.26</v>
      </c>
      <c r="W7" s="306">
        <f t="shared" si="13"/>
        <v>1266931.26</v>
      </c>
      <c r="X7" s="305">
        <f t="shared" si="14"/>
        <v>253386.25200000001</v>
      </c>
      <c r="Y7" s="317">
        <f>7501839.18+668769.8</f>
        <v>8170608.9799999995</v>
      </c>
      <c r="Z7" s="306">
        <f t="shared" si="15"/>
        <v>8170608.9799999995</v>
      </c>
      <c r="AA7" s="305">
        <f t="shared" si="16"/>
        <v>1634121.7960000001</v>
      </c>
      <c r="AB7" s="317">
        <v>7497934.6999999993</v>
      </c>
      <c r="AC7" s="306">
        <f t="shared" si="25"/>
        <v>7497934.6999999993</v>
      </c>
      <c r="AD7" s="305">
        <f t="shared" si="17"/>
        <v>1499586.94</v>
      </c>
      <c r="AE7" s="317">
        <v>6937301.049999998</v>
      </c>
      <c r="AF7" s="306">
        <f t="shared" si="18"/>
        <v>6937301.049999998</v>
      </c>
      <c r="AG7" s="305">
        <f t="shared" si="19"/>
        <v>1387460.2099999997</v>
      </c>
      <c r="AH7" s="317">
        <v>5781896.5199999986</v>
      </c>
      <c r="AI7" s="306">
        <f t="shared" si="20"/>
        <v>5781896.5199999986</v>
      </c>
      <c r="AJ7" s="305">
        <f t="shared" si="21"/>
        <v>1156379.3039999998</v>
      </c>
      <c r="AK7" s="317">
        <v>4996648.3899999987</v>
      </c>
      <c r="AL7" s="306">
        <f t="shared" si="22"/>
        <v>4996648.3899999987</v>
      </c>
      <c r="AM7" s="305">
        <f t="shared" si="23"/>
        <v>999329.67799999984</v>
      </c>
      <c r="AN7" s="317">
        <v>4840811.790000001</v>
      </c>
      <c r="AO7" s="306">
        <f t="shared" si="0"/>
        <v>4840811.790000001</v>
      </c>
      <c r="AP7" s="305">
        <f t="shared" si="1"/>
        <v>968162.35800000024</v>
      </c>
    </row>
    <row r="8" spans="1:42">
      <c r="A8" s="261">
        <v>5</v>
      </c>
      <c r="B8" s="260">
        <v>1</v>
      </c>
      <c r="C8" s="262">
        <v>0.2</v>
      </c>
      <c r="D8" s="259">
        <v>529209.26</v>
      </c>
      <c r="E8" s="259">
        <f t="shared" si="2"/>
        <v>529209.26</v>
      </c>
      <c r="F8" s="264">
        <f t="shared" si="3"/>
        <v>105841.85200000001</v>
      </c>
      <c r="G8" s="259">
        <v>682350.04999999981</v>
      </c>
      <c r="H8" s="259">
        <f t="shared" si="4"/>
        <v>682350.04999999981</v>
      </c>
      <c r="I8" s="263">
        <f t="shared" si="5"/>
        <v>136470.00999999998</v>
      </c>
      <c r="J8" s="259">
        <v>509455.50999999989</v>
      </c>
      <c r="K8" s="259">
        <f t="shared" si="6"/>
        <v>509455.50999999989</v>
      </c>
      <c r="L8" s="263">
        <f t="shared" si="7"/>
        <v>101891.10199999998</v>
      </c>
      <c r="M8" s="259">
        <v>600779.85000000009</v>
      </c>
      <c r="N8" s="259">
        <f t="shared" si="8"/>
        <v>600779.85000000009</v>
      </c>
      <c r="O8" s="263">
        <f t="shared" si="9"/>
        <v>120155.97000000003</v>
      </c>
      <c r="P8" s="259">
        <f>408655.98+74521.05</f>
        <v>483177.02999999997</v>
      </c>
      <c r="Q8" s="306">
        <f t="shared" si="24"/>
        <v>483177.02999999997</v>
      </c>
      <c r="R8" s="305">
        <f t="shared" si="10"/>
        <v>96635.406000000003</v>
      </c>
      <c r="S8" s="317">
        <f>420745.75+194770.39</f>
        <v>615516.14</v>
      </c>
      <c r="T8" s="306">
        <f t="shared" si="11"/>
        <v>615516.14</v>
      </c>
      <c r="U8" s="305">
        <f t="shared" si="12"/>
        <v>123103.228</v>
      </c>
      <c r="V8" s="317">
        <f>461783.52+277269.18</f>
        <v>739052.7</v>
      </c>
      <c r="W8" s="306">
        <f t="shared" si="13"/>
        <v>739052.7</v>
      </c>
      <c r="X8" s="305">
        <f t="shared" si="14"/>
        <v>147810.54</v>
      </c>
      <c r="Y8" s="317">
        <f>4395210.72+524029.65</f>
        <v>4919240.37</v>
      </c>
      <c r="Z8" s="306">
        <f t="shared" si="15"/>
        <v>4919240.37</v>
      </c>
      <c r="AA8" s="305">
        <f t="shared" si="16"/>
        <v>983848.07400000002</v>
      </c>
      <c r="AB8" s="317">
        <v>3416320.7300000028</v>
      </c>
      <c r="AC8" s="306">
        <f t="shared" si="25"/>
        <v>3416320.7300000028</v>
      </c>
      <c r="AD8" s="305">
        <f t="shared" si="17"/>
        <v>683264.14600000065</v>
      </c>
      <c r="AE8" s="317">
        <v>3917333.370000001</v>
      </c>
      <c r="AF8" s="306">
        <f t="shared" si="18"/>
        <v>3917333.370000001</v>
      </c>
      <c r="AG8" s="305">
        <f t="shared" si="19"/>
        <v>783466.67400000023</v>
      </c>
      <c r="AH8" s="317">
        <v>3922641.2000000016</v>
      </c>
      <c r="AI8" s="306">
        <f t="shared" si="20"/>
        <v>3922641.2000000016</v>
      </c>
      <c r="AJ8" s="305">
        <f t="shared" si="21"/>
        <v>784528.24000000034</v>
      </c>
      <c r="AK8" s="317">
        <v>3313740.5099999988</v>
      </c>
      <c r="AL8" s="306">
        <f t="shared" si="22"/>
        <v>3313740.5099999988</v>
      </c>
      <c r="AM8" s="305">
        <f t="shared" si="23"/>
        <v>662748.10199999984</v>
      </c>
      <c r="AN8" s="317">
        <v>2514087.77</v>
      </c>
      <c r="AO8" s="306">
        <f t="shared" si="0"/>
        <v>2514087.77</v>
      </c>
      <c r="AP8" s="305">
        <f t="shared" si="1"/>
        <v>502817.554</v>
      </c>
    </row>
    <row r="9" spans="1:42">
      <c r="A9" s="261">
        <v>6</v>
      </c>
      <c r="B9" s="260">
        <v>1</v>
      </c>
      <c r="C9" s="262">
        <v>0.4</v>
      </c>
      <c r="D9" s="259">
        <v>382939.98000000004</v>
      </c>
      <c r="E9" s="259">
        <f t="shared" si="2"/>
        <v>382939.98000000004</v>
      </c>
      <c r="F9" s="264">
        <f t="shared" si="3"/>
        <v>153175.99200000003</v>
      </c>
      <c r="G9" s="259">
        <v>437901.55</v>
      </c>
      <c r="H9" s="259">
        <f t="shared" si="4"/>
        <v>437901.55</v>
      </c>
      <c r="I9" s="263">
        <f t="shared" si="5"/>
        <v>175160.62</v>
      </c>
      <c r="J9" s="259">
        <v>594606.37999999977</v>
      </c>
      <c r="K9" s="259">
        <f t="shared" si="6"/>
        <v>594606.37999999977</v>
      </c>
      <c r="L9" s="263">
        <f t="shared" si="7"/>
        <v>237842.55199999991</v>
      </c>
      <c r="M9" s="259">
        <v>430359.67999999993</v>
      </c>
      <c r="N9" s="259">
        <f t="shared" si="8"/>
        <v>430359.67999999993</v>
      </c>
      <c r="O9" s="263">
        <f t="shared" si="9"/>
        <v>172143.87199999997</v>
      </c>
      <c r="P9" s="259">
        <f>435930.21+92940</f>
        <v>528870.21</v>
      </c>
      <c r="Q9" s="306">
        <f t="shared" si="24"/>
        <v>528870.21</v>
      </c>
      <c r="R9" s="305">
        <f t="shared" si="10"/>
        <v>211548.084</v>
      </c>
      <c r="S9" s="317">
        <f>358668.46+59194.05</f>
        <v>417862.51</v>
      </c>
      <c r="T9" s="306">
        <f t="shared" si="11"/>
        <v>417862.51</v>
      </c>
      <c r="U9" s="305">
        <f t="shared" si="12"/>
        <v>167145.00400000002</v>
      </c>
      <c r="V9" s="317">
        <f>300290.46+173269.4</f>
        <v>473559.86</v>
      </c>
      <c r="W9" s="306">
        <f t="shared" si="13"/>
        <v>473559.86</v>
      </c>
      <c r="X9" s="305">
        <f t="shared" si="14"/>
        <v>189423.94400000002</v>
      </c>
      <c r="Y9" s="317">
        <f>3441816.92+226902.62</f>
        <v>3668719.54</v>
      </c>
      <c r="Z9" s="306">
        <f t="shared" si="15"/>
        <v>3668719.54</v>
      </c>
      <c r="AA9" s="305">
        <f t="shared" si="16"/>
        <v>1467487.8160000001</v>
      </c>
      <c r="AB9" s="317">
        <v>3878449.91</v>
      </c>
      <c r="AC9" s="306">
        <f t="shared" si="25"/>
        <v>3878449.91</v>
      </c>
      <c r="AD9" s="305">
        <f t="shared" si="17"/>
        <v>1551379.9640000002</v>
      </c>
      <c r="AE9" s="317">
        <v>2726360.7800000012</v>
      </c>
      <c r="AF9" s="306">
        <f t="shared" si="18"/>
        <v>2726360.7800000012</v>
      </c>
      <c r="AG9" s="305">
        <f t="shared" si="19"/>
        <v>1090544.3120000006</v>
      </c>
      <c r="AH9" s="317">
        <v>2981265.4099999997</v>
      </c>
      <c r="AI9" s="306">
        <f t="shared" si="20"/>
        <v>2981265.4099999997</v>
      </c>
      <c r="AJ9" s="305">
        <f t="shared" si="21"/>
        <v>1192506.1639999999</v>
      </c>
      <c r="AK9" s="317">
        <v>3070663.0100000002</v>
      </c>
      <c r="AL9" s="306">
        <f t="shared" si="22"/>
        <v>3070663.0100000002</v>
      </c>
      <c r="AM9" s="305">
        <f t="shared" si="23"/>
        <v>1228265.2040000001</v>
      </c>
      <c r="AN9" s="317">
        <v>2595726.3499999996</v>
      </c>
      <c r="AO9" s="306">
        <f t="shared" ref="AO9:AO17" si="26">AN9*B9</f>
        <v>2595726.3499999996</v>
      </c>
      <c r="AP9" s="305">
        <f t="shared" si="1"/>
        <v>1038290.5399999999</v>
      </c>
    </row>
    <row r="10" spans="1:42">
      <c r="A10" s="261">
        <v>7</v>
      </c>
      <c r="B10" s="260">
        <v>1</v>
      </c>
      <c r="C10" s="262">
        <v>0.4</v>
      </c>
      <c r="D10" s="259">
        <v>305335.65000000008</v>
      </c>
      <c r="E10" s="259">
        <f t="shared" si="2"/>
        <v>305335.65000000008</v>
      </c>
      <c r="F10" s="264">
        <f t="shared" si="3"/>
        <v>122134.26000000004</v>
      </c>
      <c r="G10" s="259">
        <v>325636.30000000005</v>
      </c>
      <c r="H10" s="259">
        <f t="shared" si="4"/>
        <v>325636.30000000005</v>
      </c>
      <c r="I10" s="263">
        <f t="shared" si="5"/>
        <v>130254.52000000002</v>
      </c>
      <c r="J10" s="259">
        <v>400126.97</v>
      </c>
      <c r="K10" s="259">
        <f t="shared" si="6"/>
        <v>400126.97</v>
      </c>
      <c r="L10" s="263">
        <f t="shared" si="7"/>
        <v>160050.788</v>
      </c>
      <c r="M10" s="259">
        <v>578353.05999999982</v>
      </c>
      <c r="N10" s="259">
        <f t="shared" si="8"/>
        <v>578353.05999999982</v>
      </c>
      <c r="O10" s="263">
        <f t="shared" si="9"/>
        <v>231341.22399999993</v>
      </c>
      <c r="P10" s="259">
        <v>397520.94999999995</v>
      </c>
      <c r="Q10" s="306">
        <f t="shared" si="24"/>
        <v>397520.94999999995</v>
      </c>
      <c r="R10" s="305">
        <f t="shared" si="10"/>
        <v>159008.38</v>
      </c>
      <c r="S10" s="317">
        <f>435930.21+68045</f>
        <v>503975.21</v>
      </c>
      <c r="T10" s="306">
        <f t="shared" si="11"/>
        <v>503975.21</v>
      </c>
      <c r="U10" s="305">
        <f t="shared" si="12"/>
        <v>201590.08400000003</v>
      </c>
      <c r="V10" s="317">
        <f>343051.36+59194.05</f>
        <v>402245.41</v>
      </c>
      <c r="W10" s="306">
        <f t="shared" si="13"/>
        <v>402245.41</v>
      </c>
      <c r="X10" s="305">
        <f t="shared" si="14"/>
        <v>160898.16399999999</v>
      </c>
      <c r="Y10" s="317">
        <f>3575828.99+173269.41</f>
        <v>3749098.4000000004</v>
      </c>
      <c r="Z10" s="306">
        <f t="shared" si="15"/>
        <v>3749098.4000000004</v>
      </c>
      <c r="AA10" s="305">
        <f t="shared" si="16"/>
        <v>1499639.3600000003</v>
      </c>
      <c r="AB10" s="317">
        <v>3179099.2399999998</v>
      </c>
      <c r="AC10" s="306">
        <f t="shared" si="25"/>
        <v>3179099.2399999998</v>
      </c>
      <c r="AD10" s="305">
        <f t="shared" si="17"/>
        <v>1271639.696</v>
      </c>
      <c r="AE10" s="317">
        <v>3428711.8299999996</v>
      </c>
      <c r="AF10" s="306">
        <f t="shared" si="18"/>
        <v>3428711.8299999996</v>
      </c>
      <c r="AG10" s="305">
        <f t="shared" si="19"/>
        <v>1371484.7319999998</v>
      </c>
      <c r="AH10" s="317">
        <v>2396189.13</v>
      </c>
      <c r="AI10" s="306">
        <f t="shared" si="20"/>
        <v>2396189.13</v>
      </c>
      <c r="AJ10" s="305">
        <f t="shared" si="21"/>
        <v>958475.652</v>
      </c>
      <c r="AK10" s="317">
        <v>2716189.1400000006</v>
      </c>
      <c r="AL10" s="306">
        <f t="shared" si="22"/>
        <v>2716189.1400000006</v>
      </c>
      <c r="AM10" s="305">
        <f t="shared" si="23"/>
        <v>1086475.6560000002</v>
      </c>
      <c r="AN10" s="317">
        <v>2821127.1100000003</v>
      </c>
      <c r="AO10" s="306">
        <f t="shared" si="26"/>
        <v>2821127.1100000003</v>
      </c>
      <c r="AP10" s="305">
        <f t="shared" ref="AP10:AP17" si="27">AN10*C10</f>
        <v>1128450.8440000003</v>
      </c>
    </row>
    <row r="11" spans="1:42">
      <c r="A11" s="261">
        <v>8</v>
      </c>
      <c r="B11" s="260">
        <v>1</v>
      </c>
      <c r="C11" s="262">
        <v>0.4</v>
      </c>
      <c r="D11" s="259">
        <v>265698.33</v>
      </c>
      <c r="E11" s="259">
        <f t="shared" si="2"/>
        <v>265698.33</v>
      </c>
      <c r="F11" s="264">
        <f t="shared" si="3"/>
        <v>106279.33200000001</v>
      </c>
      <c r="G11" s="259">
        <v>302203.08000000007</v>
      </c>
      <c r="H11" s="259">
        <f t="shared" si="4"/>
        <v>302203.08000000007</v>
      </c>
      <c r="I11" s="263">
        <f t="shared" si="5"/>
        <v>120881.23200000003</v>
      </c>
      <c r="J11" s="259">
        <v>325636.30000000005</v>
      </c>
      <c r="K11" s="259">
        <f t="shared" si="6"/>
        <v>325636.30000000005</v>
      </c>
      <c r="L11" s="263">
        <f t="shared" si="7"/>
        <v>130254.52000000002</v>
      </c>
      <c r="M11" s="259">
        <v>385825.29</v>
      </c>
      <c r="N11" s="259">
        <f t="shared" si="8"/>
        <v>385825.29</v>
      </c>
      <c r="O11" s="263">
        <f t="shared" si="9"/>
        <v>154330.11600000001</v>
      </c>
      <c r="P11" s="259">
        <v>578353.05999999994</v>
      </c>
      <c r="Q11" s="306">
        <f t="shared" si="24"/>
        <v>578353.05999999994</v>
      </c>
      <c r="R11" s="305">
        <f t="shared" si="10"/>
        <v>231341.22399999999</v>
      </c>
      <c r="S11" s="317">
        <v>397520.94999999995</v>
      </c>
      <c r="T11" s="306">
        <f t="shared" si="11"/>
        <v>397520.94999999995</v>
      </c>
      <c r="U11" s="305">
        <f t="shared" si="12"/>
        <v>159008.38</v>
      </c>
      <c r="V11" s="317">
        <f>419782.19+68045</f>
        <v>487827.19</v>
      </c>
      <c r="W11" s="306">
        <f t="shared" si="13"/>
        <v>487827.19</v>
      </c>
      <c r="X11" s="305">
        <f t="shared" si="14"/>
        <v>195130.87600000002</v>
      </c>
      <c r="Y11" s="317">
        <f>3759255.54+59194.04</f>
        <v>3818449.58</v>
      </c>
      <c r="Z11" s="306">
        <f t="shared" si="15"/>
        <v>3818449.58</v>
      </c>
      <c r="AA11" s="305">
        <f t="shared" si="16"/>
        <v>1527379.8320000002</v>
      </c>
      <c r="AB11" s="317">
        <v>3532128.4300000006</v>
      </c>
      <c r="AC11" s="306">
        <f t="shared" si="25"/>
        <v>3532128.4300000006</v>
      </c>
      <c r="AD11" s="305">
        <f t="shared" si="17"/>
        <v>1412851.3720000004</v>
      </c>
      <c r="AE11" s="317">
        <v>2950319.53</v>
      </c>
      <c r="AF11" s="306">
        <f t="shared" si="18"/>
        <v>2950319.53</v>
      </c>
      <c r="AG11" s="305">
        <f t="shared" si="19"/>
        <v>1180127.8119999999</v>
      </c>
      <c r="AH11" s="317">
        <v>3169908.91</v>
      </c>
      <c r="AI11" s="306">
        <f t="shared" si="20"/>
        <v>3169908.91</v>
      </c>
      <c r="AJ11" s="305">
        <f t="shared" si="21"/>
        <v>1267963.5640000002</v>
      </c>
      <c r="AK11" s="317">
        <v>2227532.1900000004</v>
      </c>
      <c r="AL11" s="306">
        <f t="shared" si="22"/>
        <v>2227532.1900000004</v>
      </c>
      <c r="AM11" s="305">
        <f t="shared" si="23"/>
        <v>891012.87600000016</v>
      </c>
      <c r="AN11" s="317">
        <v>2480845.7300000009</v>
      </c>
      <c r="AO11" s="306">
        <f t="shared" si="26"/>
        <v>2480845.7300000009</v>
      </c>
      <c r="AP11" s="305">
        <f t="shared" si="27"/>
        <v>992338.29200000037</v>
      </c>
    </row>
    <row r="12" spans="1:42">
      <c r="A12" s="261">
        <v>9</v>
      </c>
      <c r="B12" s="260">
        <v>1</v>
      </c>
      <c r="C12" s="262">
        <v>0.6</v>
      </c>
      <c r="D12" s="259">
        <v>259544.43000000002</v>
      </c>
      <c r="E12" s="259">
        <f t="shared" si="2"/>
        <v>259544.43000000002</v>
      </c>
      <c r="F12" s="264">
        <f t="shared" si="3"/>
        <v>155726.658</v>
      </c>
      <c r="G12" s="259">
        <v>265698.33</v>
      </c>
      <c r="H12" s="259">
        <f t="shared" si="4"/>
        <v>265698.33</v>
      </c>
      <c r="I12" s="263">
        <f t="shared" si="5"/>
        <v>159418.99799999999</v>
      </c>
      <c r="J12" s="259">
        <v>271683.12000000005</v>
      </c>
      <c r="K12" s="259">
        <f t="shared" si="6"/>
        <v>271683.12000000005</v>
      </c>
      <c r="L12" s="263">
        <f t="shared" si="7"/>
        <v>163009.87200000003</v>
      </c>
      <c r="M12" s="259">
        <v>321517.73000000004</v>
      </c>
      <c r="N12" s="259">
        <f t="shared" si="8"/>
        <v>321517.73000000004</v>
      </c>
      <c r="O12" s="263">
        <f t="shared" si="9"/>
        <v>192910.63800000001</v>
      </c>
      <c r="P12" s="259">
        <v>385825.28999999986</v>
      </c>
      <c r="Q12" s="306">
        <f t="shared" si="24"/>
        <v>385825.28999999986</v>
      </c>
      <c r="R12" s="305">
        <f t="shared" si="10"/>
        <v>231495.17399999991</v>
      </c>
      <c r="S12" s="317">
        <v>564124.70999999985</v>
      </c>
      <c r="T12" s="306">
        <f t="shared" si="11"/>
        <v>564124.70999999985</v>
      </c>
      <c r="U12" s="305">
        <f t="shared" si="12"/>
        <v>338474.82599999988</v>
      </c>
      <c r="V12" s="317">
        <v>367704.82999999996</v>
      </c>
      <c r="W12" s="306">
        <f t="shared" si="13"/>
        <v>367704.82999999996</v>
      </c>
      <c r="X12" s="305">
        <f t="shared" si="14"/>
        <v>220622.89799999996</v>
      </c>
      <c r="Y12" s="317">
        <f>3708835.69+68045.01</f>
        <v>3776880.6999999997</v>
      </c>
      <c r="Z12" s="306">
        <f t="shared" si="15"/>
        <v>3776880.6999999997</v>
      </c>
      <c r="AA12" s="305">
        <f t="shared" si="16"/>
        <v>2266128.42</v>
      </c>
      <c r="AB12" s="317">
        <v>3571249.6300000008</v>
      </c>
      <c r="AC12" s="306">
        <f t="shared" si="25"/>
        <v>3571249.6300000008</v>
      </c>
      <c r="AD12" s="305">
        <f t="shared" si="17"/>
        <v>2142749.7780000004</v>
      </c>
      <c r="AE12" s="317">
        <v>3417386.4100000006</v>
      </c>
      <c r="AF12" s="306">
        <f t="shared" si="18"/>
        <v>3417386.4100000006</v>
      </c>
      <c r="AG12" s="305">
        <f t="shared" si="19"/>
        <v>2050431.8460000004</v>
      </c>
      <c r="AH12" s="317">
        <v>2892556.0999999996</v>
      </c>
      <c r="AI12" s="306">
        <f t="shared" si="20"/>
        <v>2892556.0999999996</v>
      </c>
      <c r="AJ12" s="305">
        <f t="shared" si="21"/>
        <v>1735533.6599999997</v>
      </c>
      <c r="AK12" s="317">
        <v>3210457.92</v>
      </c>
      <c r="AL12" s="306">
        <f t="shared" si="22"/>
        <v>3210457.92</v>
      </c>
      <c r="AM12" s="305">
        <f t="shared" si="23"/>
        <v>1926274.7519999999</v>
      </c>
      <c r="AN12" s="317">
        <v>2172753.5</v>
      </c>
      <c r="AO12" s="306">
        <f t="shared" si="26"/>
        <v>2172753.5</v>
      </c>
      <c r="AP12" s="305">
        <f t="shared" si="27"/>
        <v>1303652.0999999999</v>
      </c>
    </row>
    <row r="13" spans="1:42">
      <c r="A13" s="261">
        <v>10</v>
      </c>
      <c r="B13" s="260">
        <v>1</v>
      </c>
      <c r="C13" s="262">
        <v>0.6</v>
      </c>
      <c r="D13" s="259">
        <v>257384.67</v>
      </c>
      <c r="E13" s="259">
        <f t="shared" si="2"/>
        <v>257384.67</v>
      </c>
      <c r="F13" s="264">
        <f t="shared" si="3"/>
        <v>154430.802</v>
      </c>
      <c r="G13" s="259">
        <v>233969.56</v>
      </c>
      <c r="H13" s="259">
        <f t="shared" si="4"/>
        <v>233969.56</v>
      </c>
      <c r="I13" s="263">
        <f t="shared" si="5"/>
        <v>140381.736</v>
      </c>
      <c r="J13" s="259">
        <v>265698.33</v>
      </c>
      <c r="K13" s="259">
        <f t="shared" si="6"/>
        <v>265698.33</v>
      </c>
      <c r="L13" s="263">
        <f t="shared" si="7"/>
        <v>159418.99799999999</v>
      </c>
      <c r="M13" s="259">
        <v>271683.12000000005</v>
      </c>
      <c r="N13" s="259">
        <f t="shared" si="8"/>
        <v>271683.12000000005</v>
      </c>
      <c r="O13" s="263">
        <f t="shared" si="9"/>
        <v>163009.87200000003</v>
      </c>
      <c r="P13" s="259">
        <v>318248.27</v>
      </c>
      <c r="Q13" s="306">
        <f t="shared" si="24"/>
        <v>318248.27</v>
      </c>
      <c r="R13" s="305">
        <f t="shared" si="10"/>
        <v>190948.962</v>
      </c>
      <c r="S13" s="317">
        <v>346398.64</v>
      </c>
      <c r="T13" s="306">
        <f t="shared" si="11"/>
        <v>346398.64</v>
      </c>
      <c r="U13" s="305">
        <f t="shared" si="12"/>
        <v>207839.18400000001</v>
      </c>
      <c r="V13" s="317">
        <v>554070.23</v>
      </c>
      <c r="W13" s="306">
        <f t="shared" si="13"/>
        <v>554070.23</v>
      </c>
      <c r="X13" s="305">
        <f t="shared" si="14"/>
        <v>332442.13799999998</v>
      </c>
      <c r="Y13" s="317">
        <v>3650212.2400000012</v>
      </c>
      <c r="Z13" s="306">
        <f t="shared" si="15"/>
        <v>3650212.2400000012</v>
      </c>
      <c r="AA13" s="305">
        <f t="shared" si="16"/>
        <v>2190127.3440000005</v>
      </c>
      <c r="AB13" s="317">
        <v>3687022.1999999993</v>
      </c>
      <c r="AC13" s="306">
        <f t="shared" si="25"/>
        <v>3687022.1999999993</v>
      </c>
      <c r="AD13" s="305">
        <f t="shared" si="17"/>
        <v>2212213.3199999994</v>
      </c>
      <c r="AE13" s="317">
        <v>3483976.1300000004</v>
      </c>
      <c r="AF13" s="306">
        <f t="shared" si="18"/>
        <v>3483976.1300000004</v>
      </c>
      <c r="AG13" s="305">
        <f t="shared" si="19"/>
        <v>2090385.6780000001</v>
      </c>
      <c r="AH13" s="317">
        <v>3310208.0800000005</v>
      </c>
      <c r="AI13" s="306">
        <f t="shared" si="20"/>
        <v>3310208.0800000005</v>
      </c>
      <c r="AJ13" s="305">
        <f t="shared" si="21"/>
        <v>1986124.8480000002</v>
      </c>
      <c r="AK13" s="317">
        <v>2849634.1399999997</v>
      </c>
      <c r="AL13" s="306">
        <f t="shared" si="22"/>
        <v>2849634.1399999997</v>
      </c>
      <c r="AM13" s="305">
        <f t="shared" si="23"/>
        <v>1709780.4839999997</v>
      </c>
      <c r="AN13" s="317">
        <v>3167234.76</v>
      </c>
      <c r="AO13" s="306">
        <f t="shared" si="26"/>
        <v>3167234.76</v>
      </c>
      <c r="AP13" s="305">
        <f t="shared" si="27"/>
        <v>1900340.8559999997</v>
      </c>
    </row>
    <row r="14" spans="1:42">
      <c r="A14" s="261">
        <v>11</v>
      </c>
      <c r="B14" s="260">
        <v>1</v>
      </c>
      <c r="C14" s="262">
        <v>0.6</v>
      </c>
      <c r="D14" s="259">
        <v>158006.82999999996</v>
      </c>
      <c r="E14" s="259">
        <f t="shared" si="2"/>
        <v>158006.82999999996</v>
      </c>
      <c r="F14" s="264">
        <f t="shared" si="3"/>
        <v>94804.097999999969</v>
      </c>
      <c r="G14" s="259">
        <v>251555.51</v>
      </c>
      <c r="H14" s="259">
        <f t="shared" si="4"/>
        <v>251555.51</v>
      </c>
      <c r="I14" s="263">
        <f t="shared" si="5"/>
        <v>150933.30600000001</v>
      </c>
      <c r="J14" s="259">
        <v>233969.56</v>
      </c>
      <c r="K14" s="259">
        <f t="shared" si="6"/>
        <v>233969.56</v>
      </c>
      <c r="L14" s="263">
        <f t="shared" si="7"/>
        <v>140381.736</v>
      </c>
      <c r="M14" s="259">
        <v>263422.63</v>
      </c>
      <c r="N14" s="259">
        <f t="shared" si="8"/>
        <v>263422.63</v>
      </c>
      <c r="O14" s="263">
        <f t="shared" si="9"/>
        <v>158053.57800000001</v>
      </c>
      <c r="P14" s="259">
        <v>257888.86000000002</v>
      </c>
      <c r="Q14" s="306">
        <f t="shared" si="24"/>
        <v>257888.86000000002</v>
      </c>
      <c r="R14" s="305">
        <f t="shared" si="10"/>
        <v>154733.31599999999</v>
      </c>
      <c r="S14" s="317">
        <v>318248.27</v>
      </c>
      <c r="T14" s="306">
        <f t="shared" si="11"/>
        <v>318248.27</v>
      </c>
      <c r="U14" s="305">
        <f t="shared" si="12"/>
        <v>190948.962</v>
      </c>
      <c r="V14" s="317">
        <v>346398.6399999999</v>
      </c>
      <c r="W14" s="306">
        <f t="shared" si="13"/>
        <v>346398.6399999999</v>
      </c>
      <c r="X14" s="305">
        <f t="shared" si="14"/>
        <v>207839.18399999992</v>
      </c>
      <c r="Y14" s="317">
        <v>4227574.8199999984</v>
      </c>
      <c r="Z14" s="306">
        <f t="shared" si="15"/>
        <v>4227574.8199999984</v>
      </c>
      <c r="AA14" s="305">
        <f t="shared" si="16"/>
        <v>2536544.8919999991</v>
      </c>
      <c r="AB14" s="317">
        <v>3526156.3600000008</v>
      </c>
      <c r="AC14" s="306">
        <f t="shared" si="25"/>
        <v>3526156.3600000008</v>
      </c>
      <c r="AD14" s="305">
        <f t="shared" si="17"/>
        <v>2115693.8160000006</v>
      </c>
      <c r="AE14" s="317">
        <v>3640715.2899999986</v>
      </c>
      <c r="AF14" s="306">
        <f t="shared" si="18"/>
        <v>3640715.2899999986</v>
      </c>
      <c r="AG14" s="305">
        <f t="shared" si="19"/>
        <v>2184429.1739999992</v>
      </c>
      <c r="AH14" s="317">
        <v>3391775.8099999996</v>
      </c>
      <c r="AI14" s="306">
        <f t="shared" si="20"/>
        <v>3391775.8099999996</v>
      </c>
      <c r="AJ14" s="305">
        <f t="shared" si="21"/>
        <v>2035065.4859999996</v>
      </c>
      <c r="AK14" s="317">
        <v>3200328.1100000003</v>
      </c>
      <c r="AL14" s="306">
        <f t="shared" si="22"/>
        <v>3200328.1100000003</v>
      </c>
      <c r="AM14" s="305">
        <f t="shared" si="23"/>
        <v>1920196.8660000002</v>
      </c>
      <c r="AN14" s="317">
        <v>2866864.28</v>
      </c>
      <c r="AO14" s="306">
        <f t="shared" si="26"/>
        <v>2866864.28</v>
      </c>
      <c r="AP14" s="305">
        <f t="shared" si="27"/>
        <v>1720118.5679999997</v>
      </c>
    </row>
    <row r="15" spans="1:42">
      <c r="A15" s="261">
        <v>12</v>
      </c>
      <c r="B15" s="260">
        <v>1</v>
      </c>
      <c r="C15" s="262">
        <v>0.8</v>
      </c>
      <c r="D15" s="259">
        <v>125355.44</v>
      </c>
      <c r="E15" s="259">
        <f t="shared" si="2"/>
        <v>125355.44</v>
      </c>
      <c r="F15" s="264">
        <f t="shared" si="3"/>
        <v>100284.35200000001</v>
      </c>
      <c r="G15" s="259">
        <v>151809.88</v>
      </c>
      <c r="H15" s="259">
        <f t="shared" si="4"/>
        <v>151809.88</v>
      </c>
      <c r="I15" s="263">
        <f t="shared" si="5"/>
        <v>121447.90400000001</v>
      </c>
      <c r="J15" s="259">
        <v>251555.51</v>
      </c>
      <c r="K15" s="259">
        <f t="shared" si="6"/>
        <v>251555.51</v>
      </c>
      <c r="L15" s="263">
        <f t="shared" si="7"/>
        <v>201244.40800000002</v>
      </c>
      <c r="M15" s="259">
        <v>233060.9</v>
      </c>
      <c r="N15" s="259">
        <f t="shared" si="8"/>
        <v>233060.9</v>
      </c>
      <c r="O15" s="263">
        <f t="shared" si="9"/>
        <v>186448.72</v>
      </c>
      <c r="P15" s="259">
        <v>263422.63</v>
      </c>
      <c r="Q15" s="306">
        <f t="shared" si="24"/>
        <v>263422.63</v>
      </c>
      <c r="R15" s="305">
        <f t="shared" si="10"/>
        <v>210738.10400000002</v>
      </c>
      <c r="S15" s="317">
        <v>247151.62000000005</v>
      </c>
      <c r="T15" s="306">
        <f t="shared" si="11"/>
        <v>247151.62000000005</v>
      </c>
      <c r="U15" s="305">
        <f t="shared" si="12"/>
        <v>197721.29600000006</v>
      </c>
      <c r="V15" s="317">
        <v>311381.49999999994</v>
      </c>
      <c r="W15" s="306">
        <f t="shared" si="13"/>
        <v>311381.49999999994</v>
      </c>
      <c r="X15" s="305">
        <f t="shared" si="14"/>
        <v>249105.19999999995</v>
      </c>
      <c r="Y15" s="317">
        <v>4406109.9800000004</v>
      </c>
      <c r="Z15" s="306">
        <f t="shared" si="15"/>
        <v>4406109.9800000004</v>
      </c>
      <c r="AA15" s="305">
        <f t="shared" si="16"/>
        <v>3524887.9840000006</v>
      </c>
      <c r="AB15" s="317">
        <v>4115856.169999999</v>
      </c>
      <c r="AC15" s="306">
        <f t="shared" si="25"/>
        <v>4115856.169999999</v>
      </c>
      <c r="AD15" s="305">
        <f t="shared" si="17"/>
        <v>3292684.9359999993</v>
      </c>
      <c r="AE15" s="317">
        <v>3428221.7800000003</v>
      </c>
      <c r="AF15" s="306">
        <f t="shared" si="18"/>
        <v>3428221.7800000003</v>
      </c>
      <c r="AG15" s="305">
        <f t="shared" si="19"/>
        <v>2742577.4240000006</v>
      </c>
      <c r="AH15" s="317">
        <v>3397543.9599999986</v>
      </c>
      <c r="AI15" s="306">
        <f t="shared" si="20"/>
        <v>3397543.9599999986</v>
      </c>
      <c r="AJ15" s="305">
        <f t="shared" si="21"/>
        <v>2718035.1679999991</v>
      </c>
      <c r="AK15" s="317">
        <v>3348397.6399999997</v>
      </c>
      <c r="AL15" s="306">
        <f t="shared" si="22"/>
        <v>3348397.6399999997</v>
      </c>
      <c r="AM15" s="305">
        <f t="shared" si="23"/>
        <v>2678718.1119999997</v>
      </c>
      <c r="AN15" s="317">
        <v>3149409.6100000008</v>
      </c>
      <c r="AO15" s="306">
        <f t="shared" si="26"/>
        <v>3149409.6100000008</v>
      </c>
      <c r="AP15" s="305">
        <f t="shared" si="27"/>
        <v>2519527.688000001</v>
      </c>
    </row>
    <row r="16" spans="1:42">
      <c r="A16" s="265">
        <v>13</v>
      </c>
      <c r="B16" s="260">
        <v>1</v>
      </c>
      <c r="C16" s="262">
        <v>1</v>
      </c>
      <c r="F16" s="261"/>
      <c r="I16" s="261"/>
      <c r="L16" s="261"/>
      <c r="O16" s="261"/>
      <c r="R16" s="261"/>
      <c r="S16" s="317">
        <v>263422.63</v>
      </c>
      <c r="T16" s="306">
        <f>S16*B16</f>
        <v>263422.63</v>
      </c>
      <c r="U16" s="305">
        <f t="shared" si="12"/>
        <v>263422.63</v>
      </c>
      <c r="V16" s="317"/>
      <c r="W16" s="306">
        <f t="shared" si="13"/>
        <v>0</v>
      </c>
      <c r="X16" s="305">
        <f t="shared" si="14"/>
        <v>0</v>
      </c>
      <c r="Y16" s="317">
        <v>10624583.550000012</v>
      </c>
      <c r="Z16" s="306">
        <f t="shared" si="15"/>
        <v>10624583.550000012</v>
      </c>
      <c r="AA16" s="305">
        <f t="shared" si="16"/>
        <v>10624583.550000012</v>
      </c>
      <c r="AB16" s="317"/>
      <c r="AC16" s="306"/>
      <c r="AD16" s="305"/>
      <c r="AE16" s="317"/>
      <c r="AF16" s="306">
        <f t="shared" si="18"/>
        <v>0</v>
      </c>
      <c r="AG16" s="305">
        <f t="shared" si="19"/>
        <v>0</v>
      </c>
      <c r="AH16" s="317"/>
      <c r="AI16" s="306">
        <f t="shared" si="20"/>
        <v>0</v>
      </c>
      <c r="AJ16" s="305"/>
      <c r="AK16" s="317">
        <v>46161.369999999995</v>
      </c>
      <c r="AL16" s="306">
        <f t="shared" si="22"/>
        <v>46161.369999999995</v>
      </c>
      <c r="AM16" s="305">
        <f t="shared" si="23"/>
        <v>46161.369999999995</v>
      </c>
      <c r="AN16" s="317">
        <v>68277.94</v>
      </c>
      <c r="AO16" s="306">
        <f t="shared" si="26"/>
        <v>68277.94</v>
      </c>
      <c r="AP16" s="305">
        <f t="shared" si="27"/>
        <v>68277.94</v>
      </c>
    </row>
    <row r="17" spans="1:42">
      <c r="A17" s="265">
        <v>14</v>
      </c>
      <c r="B17" s="260">
        <v>1</v>
      </c>
      <c r="C17" s="262">
        <v>1</v>
      </c>
      <c r="F17" s="261"/>
      <c r="I17" s="261"/>
      <c r="L17" s="261"/>
      <c r="O17" s="261"/>
      <c r="R17" s="261"/>
      <c r="S17" s="317"/>
      <c r="T17" s="306"/>
      <c r="U17" s="305"/>
      <c r="V17" s="317"/>
      <c r="W17" s="306"/>
      <c r="X17" s="305"/>
      <c r="Y17" s="317">
        <v>15642.13</v>
      </c>
      <c r="Z17" s="306">
        <f t="shared" ref="Z17:Z20" si="28">Y17*B17</f>
        <v>15642.13</v>
      </c>
      <c r="AA17" s="305">
        <f t="shared" ref="AA17:AA20" si="29">Y17*C17</f>
        <v>15642.13</v>
      </c>
      <c r="AB17" s="317"/>
      <c r="AC17" s="306"/>
      <c r="AD17" s="305"/>
      <c r="AE17" s="317"/>
      <c r="AF17" s="306"/>
      <c r="AG17" s="305"/>
      <c r="AH17" s="317"/>
      <c r="AI17" s="306"/>
      <c r="AJ17" s="305"/>
      <c r="AK17" s="317"/>
      <c r="AL17" s="306"/>
      <c r="AM17" s="305"/>
      <c r="AN17" s="317">
        <v>428</v>
      </c>
      <c r="AO17" s="306">
        <f t="shared" si="26"/>
        <v>428</v>
      </c>
      <c r="AP17" s="305">
        <f t="shared" si="27"/>
        <v>428</v>
      </c>
    </row>
    <row r="18" spans="1:42">
      <c r="A18" s="265">
        <v>15</v>
      </c>
      <c r="B18" s="260">
        <v>1</v>
      </c>
      <c r="C18" s="262">
        <v>1</v>
      </c>
      <c r="F18" s="261"/>
      <c r="I18" s="261"/>
      <c r="L18" s="261"/>
      <c r="O18" s="261"/>
      <c r="R18" s="261"/>
      <c r="S18" s="317"/>
      <c r="T18" s="306"/>
      <c r="U18" s="305"/>
      <c r="V18" s="317"/>
      <c r="W18" s="306"/>
      <c r="X18" s="305"/>
      <c r="Y18" s="317">
        <v>11857.08</v>
      </c>
      <c r="Z18" s="306">
        <f t="shared" si="28"/>
        <v>11857.08</v>
      </c>
      <c r="AA18" s="305">
        <f t="shared" si="29"/>
        <v>11857.08</v>
      </c>
      <c r="AB18" s="317"/>
      <c r="AC18" s="306"/>
      <c r="AD18" s="305"/>
      <c r="AE18" s="317"/>
      <c r="AF18" s="306"/>
      <c r="AG18" s="305"/>
      <c r="AH18" s="317"/>
      <c r="AI18" s="306"/>
      <c r="AJ18" s="305"/>
      <c r="AK18" s="317"/>
      <c r="AL18" s="306"/>
      <c r="AM18" s="305"/>
      <c r="AN18" s="317"/>
      <c r="AO18" s="306"/>
      <c r="AP18" s="305"/>
    </row>
    <row r="19" spans="1:42">
      <c r="A19" s="265">
        <v>16</v>
      </c>
      <c r="B19" s="260">
        <v>1</v>
      </c>
      <c r="C19" s="262">
        <v>1</v>
      </c>
      <c r="F19" s="261"/>
      <c r="I19" s="261"/>
      <c r="L19" s="261"/>
      <c r="O19" s="261"/>
      <c r="R19" s="261"/>
      <c r="S19" s="317"/>
      <c r="T19" s="306"/>
      <c r="U19" s="305"/>
      <c r="V19" s="317"/>
      <c r="W19" s="306"/>
      <c r="X19" s="305"/>
      <c r="Y19" s="317"/>
      <c r="Z19" s="306">
        <f t="shared" si="28"/>
        <v>0</v>
      </c>
      <c r="AA19" s="305">
        <f t="shared" si="29"/>
        <v>0</v>
      </c>
      <c r="AB19" s="317"/>
      <c r="AC19" s="306"/>
      <c r="AD19" s="305"/>
      <c r="AE19" s="317"/>
      <c r="AF19" s="306"/>
      <c r="AG19" s="305"/>
      <c r="AH19" s="317"/>
      <c r="AI19" s="306"/>
      <c r="AJ19" s="305"/>
      <c r="AK19" s="317"/>
      <c r="AL19" s="306"/>
      <c r="AM19" s="305"/>
      <c r="AN19" s="317"/>
      <c r="AO19" s="306"/>
      <c r="AP19" s="305"/>
    </row>
    <row r="20" spans="1:42">
      <c r="A20" s="265">
        <v>17</v>
      </c>
      <c r="B20" s="260">
        <v>1</v>
      </c>
      <c r="C20" s="262">
        <v>1</v>
      </c>
      <c r="F20" s="261"/>
      <c r="I20" s="261"/>
      <c r="L20" s="261"/>
      <c r="O20" s="261"/>
      <c r="R20" s="261"/>
      <c r="S20" s="317"/>
      <c r="T20" s="306"/>
      <c r="U20" s="305"/>
      <c r="V20" s="317"/>
      <c r="W20" s="306"/>
      <c r="X20" s="305"/>
      <c r="Y20" s="317">
        <v>10619.32</v>
      </c>
      <c r="Z20" s="306">
        <f t="shared" si="28"/>
        <v>10619.32</v>
      </c>
      <c r="AA20" s="305">
        <f t="shared" si="29"/>
        <v>10619.32</v>
      </c>
      <c r="AB20" s="317"/>
      <c r="AC20" s="306"/>
      <c r="AD20" s="305"/>
      <c r="AE20" s="317"/>
      <c r="AF20" s="306"/>
      <c r="AG20" s="305"/>
      <c r="AH20" s="317"/>
      <c r="AI20" s="306"/>
      <c r="AJ20" s="305"/>
      <c r="AK20" s="317"/>
      <c r="AL20" s="306"/>
      <c r="AM20" s="305"/>
      <c r="AN20" s="317"/>
      <c r="AO20" s="306"/>
      <c r="AP20" s="305"/>
    </row>
    <row r="21" spans="1:42">
      <c r="A21" s="265"/>
      <c r="B21" s="260"/>
      <c r="C21" s="262"/>
      <c r="F21" s="261"/>
      <c r="I21" s="261"/>
      <c r="L21" s="261"/>
      <c r="O21" s="261"/>
      <c r="R21" s="261"/>
      <c r="S21" s="317"/>
      <c r="T21" s="306"/>
      <c r="U21" s="305"/>
      <c r="V21" s="317"/>
      <c r="W21" s="306"/>
      <c r="X21" s="305"/>
      <c r="Y21" s="317"/>
      <c r="Z21" s="306"/>
      <c r="AA21" s="305"/>
      <c r="AB21" s="317"/>
      <c r="AC21" s="306"/>
      <c r="AD21" s="305"/>
      <c r="AE21" s="317"/>
      <c r="AF21" s="306"/>
      <c r="AG21" s="305"/>
      <c r="AH21" s="317"/>
      <c r="AI21" s="306"/>
      <c r="AJ21" s="305"/>
      <c r="AK21" s="317"/>
      <c r="AL21" s="306"/>
      <c r="AM21" s="305"/>
      <c r="AN21" s="317"/>
      <c r="AO21" s="306"/>
      <c r="AP21" s="305"/>
    </row>
    <row r="22" spans="1:42" s="269" customFormat="1">
      <c r="A22" s="271" t="s">
        <v>236</v>
      </c>
      <c r="C22" s="271"/>
      <c r="D22" s="270">
        <f>SUM(D3:D16)</f>
        <v>129553230.64799994</v>
      </c>
      <c r="E22" s="270">
        <f t="shared" ref="E22:O22" si="30">SUM(E3:E16)</f>
        <v>4556662.5054199994</v>
      </c>
      <c r="F22" s="272">
        <f t="shared" si="30"/>
        <v>4592783.6072600009</v>
      </c>
      <c r="G22" s="270">
        <f t="shared" si="30"/>
        <v>144704034.05500007</v>
      </c>
      <c r="H22" s="270">
        <f t="shared" si="30"/>
        <v>4825491.9056199994</v>
      </c>
      <c r="I22" s="272">
        <f t="shared" si="30"/>
        <v>5027151.0079999994</v>
      </c>
      <c r="J22" s="270">
        <f t="shared" si="30"/>
        <v>159190423.51500013</v>
      </c>
      <c r="K22" s="270">
        <f t="shared" si="30"/>
        <v>5297320.3717800006</v>
      </c>
      <c r="L22" s="272">
        <f t="shared" si="30"/>
        <v>5524002.7989000017</v>
      </c>
      <c r="M22" s="270">
        <f t="shared" si="30"/>
        <v>172241628.38199994</v>
      </c>
      <c r="N22" s="270">
        <f t="shared" si="30"/>
        <v>5564738.1234800005</v>
      </c>
      <c r="O22" s="272">
        <f t="shared" si="30"/>
        <v>5898390.1286999993</v>
      </c>
      <c r="P22" s="270">
        <f t="shared" ref="P22:X22" si="31">SUM(P3:P16)</f>
        <v>185626455.94199997</v>
      </c>
      <c r="Q22" s="270">
        <f t="shared" si="31"/>
        <v>4598069.5597800007</v>
      </c>
      <c r="R22" s="272">
        <f t="shared" si="31"/>
        <v>6419205.2005000012</v>
      </c>
      <c r="S22" s="270">
        <f t="shared" si="31"/>
        <v>203579652.79599997</v>
      </c>
      <c r="T22" s="270">
        <f t="shared" si="31"/>
        <v>6862388.4411200006</v>
      </c>
      <c r="U22" s="272">
        <f t="shared" si="31"/>
        <v>7130920.1753000021</v>
      </c>
      <c r="V22" s="270">
        <f t="shared" si="31"/>
        <v>208515836.81399986</v>
      </c>
      <c r="W22" s="270">
        <f t="shared" si="31"/>
        <v>7111226.6914400002</v>
      </c>
      <c r="X22" s="272">
        <f t="shared" si="31"/>
        <v>7165198.3922999995</v>
      </c>
      <c r="Y22" s="270">
        <f t="shared" ref="Y22:AD22" si="32">SUM(Y3:Y21)</f>
        <v>456173805.62000012</v>
      </c>
      <c r="Z22" s="270">
        <f t="shared" si="32"/>
        <v>55759900.481500015</v>
      </c>
      <c r="AA22" s="272">
        <f t="shared" si="32"/>
        <v>45397727.093900017</v>
      </c>
      <c r="AB22" s="270">
        <f t="shared" si="32"/>
        <v>433831317.90999949</v>
      </c>
      <c r="AC22" s="270">
        <f t="shared" si="32"/>
        <v>40969966.171700001</v>
      </c>
      <c r="AD22" s="272">
        <f t="shared" si="32"/>
        <v>31920178.327199999</v>
      </c>
      <c r="AE22" s="270">
        <f>SUM(AE3:AE21)</f>
        <v>421292365.67000085</v>
      </c>
      <c r="AF22" s="270">
        <f>SUM(AF3:AF21)</f>
        <v>38350308.967400007</v>
      </c>
      <c r="AG22" s="272">
        <f t="shared" ref="AG22" si="33">SUM(AG3:AG21)</f>
        <v>30050003.436400004</v>
      </c>
      <c r="AH22" s="270">
        <f t="shared" ref="AH22:AP22" si="34">SUM(AH3:AH21)</f>
        <v>415377720.10000134</v>
      </c>
      <c r="AI22" s="270">
        <f t="shared" si="34"/>
        <v>35602786.427600011</v>
      </c>
      <c r="AJ22" s="272">
        <f t="shared" si="34"/>
        <v>28285421.14450001</v>
      </c>
      <c r="AK22" s="270">
        <f t="shared" si="34"/>
        <v>410677529.90999877</v>
      </c>
      <c r="AL22" s="270">
        <f t="shared" si="34"/>
        <v>33270495.637999985</v>
      </c>
      <c r="AM22" s="270">
        <f t="shared" si="34"/>
        <v>26782437.996799994</v>
      </c>
      <c r="AN22" s="270">
        <f t="shared" si="34"/>
        <v>403870731.75000137</v>
      </c>
      <c r="AO22" s="270">
        <f t="shared" si="34"/>
        <v>30889043.515800018</v>
      </c>
      <c r="AP22" s="270">
        <f t="shared" si="34"/>
        <v>24912327.36890002</v>
      </c>
    </row>
    <row r="26" spans="1:42">
      <c r="S26" s="318"/>
      <c r="AB26" t="s">
        <v>421</v>
      </c>
    </row>
    <row r="27" spans="1:42">
      <c r="S27" s="318"/>
    </row>
    <row r="28" spans="1:42">
      <c r="S28" s="318"/>
    </row>
    <row r="29" spans="1:42">
      <c r="S29" s="318"/>
    </row>
    <row r="30" spans="1:42">
      <c r="S30" s="318"/>
    </row>
    <row r="31" spans="1:42">
      <c r="S31" s="318"/>
    </row>
    <row r="32" spans="1:42">
      <c r="S32" s="318"/>
    </row>
    <row r="33" spans="19:19">
      <c r="S33" s="318"/>
    </row>
    <row r="34" spans="19:19">
      <c r="S34" s="318"/>
    </row>
    <row r="35" spans="19:19">
      <c r="S35" s="318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Q16"/>
  <sheetViews>
    <sheetView workbookViewId="0">
      <pane xSplit="7" topLeftCell="K1" activePane="topRight" state="frozen"/>
      <selection pane="topRight" activeCell="Q20" sqref="Q20"/>
    </sheetView>
  </sheetViews>
  <sheetFormatPr defaultRowHeight="15"/>
  <cols>
    <col min="1" max="1" width="24.42578125" bestFit="1" customWidth="1"/>
    <col min="2" max="2" width="60.5703125" bestFit="1" customWidth="1"/>
    <col min="3" max="3" width="28.28515625" bestFit="1" customWidth="1"/>
    <col min="4" max="4" width="14.42578125" hidden="1" customWidth="1"/>
    <col min="5" max="10" width="12.85546875" hidden="1" customWidth="1"/>
    <col min="11" max="12" width="12.85546875" bestFit="1" customWidth="1"/>
    <col min="13" max="13" width="15.140625" bestFit="1" customWidth="1"/>
    <col min="14" max="15" width="14" bestFit="1" customWidth="1"/>
    <col min="16" max="16" width="12.5703125" bestFit="1" customWidth="1"/>
    <col min="17" max="17" width="11.28515625" customWidth="1"/>
  </cols>
  <sheetData>
    <row r="2" spans="1:17">
      <c r="B2" s="221" t="s">
        <v>280</v>
      </c>
      <c r="C2" s="221"/>
      <c r="D2" s="222">
        <v>42156</v>
      </c>
      <c r="E2" s="222">
        <v>42186</v>
      </c>
      <c r="F2" s="222">
        <v>42217</v>
      </c>
      <c r="G2" s="222">
        <v>42248</v>
      </c>
      <c r="H2" s="222">
        <v>42278</v>
      </c>
      <c r="I2" s="222">
        <v>42309</v>
      </c>
      <c r="J2" s="222">
        <v>42339</v>
      </c>
      <c r="K2" s="355">
        <v>42370</v>
      </c>
      <c r="L2" s="355">
        <v>42401</v>
      </c>
      <c r="M2" s="355">
        <v>42431</v>
      </c>
      <c r="N2" s="355">
        <v>42462</v>
      </c>
      <c r="O2" s="355">
        <v>42493</v>
      </c>
      <c r="P2" s="355">
        <v>42525</v>
      </c>
      <c r="Q2" s="355">
        <v>42555</v>
      </c>
    </row>
    <row r="3" spans="1:17" ht="30">
      <c r="A3" s="368" t="s">
        <v>406</v>
      </c>
      <c r="B3" s="224" t="s">
        <v>278</v>
      </c>
      <c r="C3" s="225" t="s">
        <v>277</v>
      </c>
      <c r="D3" s="226"/>
      <c r="E3" s="226">
        <v>450875.08000000007</v>
      </c>
      <c r="F3" s="226">
        <v>402053.01</v>
      </c>
      <c r="G3" s="226">
        <v>339057.97</v>
      </c>
      <c r="H3" s="226">
        <v>372805</v>
      </c>
      <c r="I3" s="226">
        <f>-(Movement!S14+Movement!S33)*10^6</f>
        <v>335145.32</v>
      </c>
      <c r="J3" s="226">
        <f>-(Movement!T14+Movement!T33)*10^6</f>
        <v>358279.33</v>
      </c>
      <c r="K3" s="226">
        <f>-(Movement!W14+Movement!W33)</f>
        <v>378983.82999999996</v>
      </c>
      <c r="L3" s="226">
        <f>-(Movement!X14+Movement!X33)</f>
        <v>497394.14</v>
      </c>
      <c r="M3" s="226">
        <v>354617.48</v>
      </c>
      <c r="N3" s="226">
        <f>(197316.98-27949.47)+(737016.55-274969.9)</f>
        <v>631414.16</v>
      </c>
      <c r="O3" s="226">
        <f>(120915.01-27095.19)+( 722040.82-263316.43    )</f>
        <v>552544.21</v>
      </c>
      <c r="P3" s="226">
        <f>(177791.74-39937.3)+(554808.61-212382.34  )</f>
        <v>480280.71</v>
      </c>
      <c r="Q3" s="226">
        <f>(25230.82-3080.55)+(817408.68-320042.09)</f>
        <v>519516.86000000004</v>
      </c>
    </row>
    <row r="4" spans="1:17">
      <c r="A4" s="223"/>
      <c r="B4" s="361" t="s">
        <v>404</v>
      </c>
      <c r="C4" s="225" t="s">
        <v>198</v>
      </c>
      <c r="D4" s="226"/>
      <c r="E4" s="226">
        <v>0</v>
      </c>
      <c r="F4" s="226">
        <v>48037</v>
      </c>
      <c r="G4" s="226">
        <v>15358</v>
      </c>
      <c r="H4" s="226">
        <f>-Movement!R54*1000000</f>
        <v>114650.67</v>
      </c>
      <c r="I4" s="226">
        <f>-Movement!S54*10^6</f>
        <v>137053</v>
      </c>
      <c r="J4" s="226">
        <f>-Movement!T54*10^6</f>
        <v>163987.54999999999</v>
      </c>
      <c r="K4" s="226">
        <f>-Movement!W54</f>
        <v>265760.69</v>
      </c>
      <c r="L4" s="226">
        <f>-Movement!X54</f>
        <v>252210.36</v>
      </c>
      <c r="M4" s="226">
        <v>361747.05</v>
      </c>
      <c r="N4" s="226">
        <f>740489-227132.15</f>
        <v>513356.85</v>
      </c>
      <c r="O4" s="226">
        <f>469149-128606.61</f>
        <v>340542.39</v>
      </c>
      <c r="P4" s="226">
        <f>753566-203172.45</f>
        <v>550393.55000000005</v>
      </c>
      <c r="Q4" s="226">
        <f>559633-155984.35</f>
        <v>403648.65</v>
      </c>
    </row>
    <row r="5" spans="1:17">
      <c r="A5" s="223"/>
      <c r="B5" s="361"/>
      <c r="C5" s="225" t="s">
        <v>494</v>
      </c>
      <c r="D5" s="226"/>
      <c r="E5" s="226"/>
      <c r="F5" s="226"/>
      <c r="G5" s="226"/>
      <c r="H5" s="226"/>
      <c r="I5" s="226"/>
      <c r="J5" s="226"/>
      <c r="K5" s="226"/>
      <c r="L5" s="226"/>
      <c r="M5" s="226">
        <v>310570.47000000003</v>
      </c>
      <c r="N5" s="226">
        <f>N6-N3-N4</f>
        <v>-743505.65999999992</v>
      </c>
      <c r="O5" s="226">
        <f>O6-O3-O4</f>
        <v>-601584.29</v>
      </c>
      <c r="P5" s="226">
        <f>P6-P3-P4</f>
        <v>-749934.26</v>
      </c>
      <c r="Q5" s="226">
        <f>Q6-Q3-Q4</f>
        <v>-864395.17</v>
      </c>
    </row>
    <row r="6" spans="1:17">
      <c r="A6" s="223"/>
      <c r="B6" s="361" t="s">
        <v>408</v>
      </c>
      <c r="C6" s="223" t="s">
        <v>236</v>
      </c>
      <c r="D6" s="231"/>
      <c r="E6" s="231">
        <f t="shared" ref="E6:L6" si="0">SUM(E3:E4)</f>
        <v>450875.08000000007</v>
      </c>
      <c r="F6" s="231">
        <f t="shared" si="0"/>
        <v>450090.01</v>
      </c>
      <c r="G6" s="231">
        <f t="shared" si="0"/>
        <v>354415.97</v>
      </c>
      <c r="H6" s="231">
        <f t="shared" si="0"/>
        <v>487455.67</v>
      </c>
      <c r="I6" s="231">
        <f t="shared" si="0"/>
        <v>472198.32</v>
      </c>
      <c r="J6" s="231">
        <f t="shared" si="0"/>
        <v>522266.88</v>
      </c>
      <c r="K6" s="231">
        <f t="shared" si="0"/>
        <v>644744.52</v>
      </c>
      <c r="L6" s="231">
        <f t="shared" si="0"/>
        <v>749604.5</v>
      </c>
      <c r="M6" s="231">
        <v>1026935</v>
      </c>
      <c r="N6" s="231">
        <v>401265.35000000009</v>
      </c>
      <c r="O6" s="231">
        <v>291502.31</v>
      </c>
      <c r="P6" s="231">
        <v>280740</v>
      </c>
      <c r="Q6" s="231">
        <v>58770.34</v>
      </c>
    </row>
    <row r="7" spans="1:17" ht="45">
      <c r="A7" s="227" t="s">
        <v>275</v>
      </c>
      <c r="B7" s="228" t="s">
        <v>279</v>
      </c>
      <c r="C7" s="229" t="s">
        <v>277</v>
      </c>
      <c r="D7" s="230"/>
      <c r="E7" s="230">
        <v>227041.63</v>
      </c>
      <c r="F7" s="230">
        <v>100156.39999999998</v>
      </c>
      <c r="G7" s="230">
        <v>154811.79999999999</v>
      </c>
      <c r="H7" s="230">
        <v>243859</v>
      </c>
      <c r="I7" s="230">
        <f>-Movement!S15*10^6</f>
        <v>220686</v>
      </c>
      <c r="J7" s="230">
        <f>-Movement!T15*10^6</f>
        <v>263422.63</v>
      </c>
      <c r="K7" s="230">
        <f>-Movement!W15</f>
        <v>247151.62</v>
      </c>
      <c r="L7" s="230">
        <f>-Movement!X15</f>
        <v>311381.5</v>
      </c>
      <c r="M7" s="230">
        <v>330322.82</v>
      </c>
      <c r="N7" s="230">
        <f>28109.35+460131</f>
        <v>488240.35</v>
      </c>
      <c r="O7" s="230">
        <f>(440760.06-96828.13)</f>
        <v>343931.93</v>
      </c>
      <c r="P7" s="230">
        <f>(493935-121734)</f>
        <v>372201</v>
      </c>
      <c r="Q7" s="230"/>
    </row>
    <row r="8" spans="1:17">
      <c r="A8" s="227"/>
      <c r="B8" s="367" t="s">
        <v>414</v>
      </c>
      <c r="C8" s="229" t="s">
        <v>198</v>
      </c>
      <c r="D8" s="230"/>
      <c r="E8" s="230">
        <v>0</v>
      </c>
      <c r="F8" s="230">
        <v>0</v>
      </c>
      <c r="G8" s="230">
        <v>0</v>
      </c>
      <c r="H8" s="230">
        <v>0</v>
      </c>
      <c r="I8" s="230">
        <v>0</v>
      </c>
      <c r="J8" s="230">
        <v>0</v>
      </c>
      <c r="K8" s="230"/>
      <c r="L8" s="230">
        <f>Movement!X55</f>
        <v>0</v>
      </c>
      <c r="M8" s="230">
        <v>0</v>
      </c>
      <c r="N8" s="230" t="s">
        <v>457</v>
      </c>
      <c r="O8" s="230">
        <v>0</v>
      </c>
      <c r="P8" s="230">
        <f>93380-25334</f>
        <v>68046</v>
      </c>
      <c r="Q8" s="230"/>
    </row>
    <row r="9" spans="1:17">
      <c r="A9" s="227"/>
      <c r="B9" s="367"/>
      <c r="C9" s="229" t="s">
        <v>494</v>
      </c>
      <c r="D9" s="230"/>
      <c r="E9" s="230"/>
      <c r="F9" s="230"/>
      <c r="G9" s="230"/>
      <c r="H9" s="230"/>
      <c r="I9" s="230"/>
      <c r="J9" s="230"/>
      <c r="K9" s="230"/>
      <c r="L9" s="230"/>
      <c r="M9" s="230">
        <v>3931322.83</v>
      </c>
      <c r="N9" s="230">
        <v>3469702.63</v>
      </c>
      <c r="O9" s="230">
        <f>O10-O7-O8</f>
        <v>2920736.4700000021</v>
      </c>
      <c r="P9" s="230">
        <f>P10-P7-P8</f>
        <v>2820331.1</v>
      </c>
      <c r="Q9" s="230"/>
    </row>
    <row r="10" spans="1:17">
      <c r="A10" s="227"/>
      <c r="B10" s="367" t="s">
        <v>405</v>
      </c>
      <c r="C10" s="227" t="s">
        <v>236</v>
      </c>
      <c r="D10" s="232"/>
      <c r="E10" s="232">
        <f t="shared" ref="E10:J10" si="1">SUM(E7:E8)</f>
        <v>227041.63</v>
      </c>
      <c r="F10" s="232">
        <f t="shared" si="1"/>
        <v>100156.39999999998</v>
      </c>
      <c r="G10" s="232">
        <f t="shared" si="1"/>
        <v>154811.79999999999</v>
      </c>
      <c r="H10" s="232">
        <f t="shared" si="1"/>
        <v>243859</v>
      </c>
      <c r="I10" s="232">
        <f t="shared" si="1"/>
        <v>220686</v>
      </c>
      <c r="J10" s="232">
        <f t="shared" si="1"/>
        <v>263422.63</v>
      </c>
      <c r="K10" s="232">
        <f>SUM(K7:K8)</f>
        <v>247151.62</v>
      </c>
      <c r="L10" s="232">
        <f>SUM(L7:L8)</f>
        <v>311381.5</v>
      </c>
      <c r="M10" s="232">
        <v>4261645.6500000004</v>
      </c>
      <c r="N10" s="232">
        <f>SUM(N7:N9)</f>
        <v>3957942.98</v>
      </c>
      <c r="O10" s="232">
        <v>3264668.4000000022</v>
      </c>
      <c r="P10" s="232">
        <v>3260578.1</v>
      </c>
      <c r="Q10" s="232">
        <v>3286113.0399999991</v>
      </c>
    </row>
    <row r="11" spans="1:17">
      <c r="A11" s="227"/>
      <c r="B11" s="367" t="s">
        <v>408</v>
      </c>
      <c r="C11" s="227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</row>
    <row r="12" spans="1:17">
      <c r="A12" s="223" t="s">
        <v>276</v>
      </c>
      <c r="B12" s="225" t="s">
        <v>290</v>
      </c>
      <c r="C12" s="225" t="s">
        <v>281</v>
      </c>
      <c r="D12" s="226">
        <v>3871657.9360000165</v>
      </c>
      <c r="E12" s="226">
        <v>4022781.3760000062</v>
      </c>
      <c r="F12" s="226">
        <v>4084521.963000007</v>
      </c>
      <c r="G12" s="226">
        <v>4246184.6229999932</v>
      </c>
      <c r="H12" s="226">
        <v>4266660.2299999977</v>
      </c>
      <c r="I12" s="226">
        <f>4150065.91+213858.03</f>
        <v>4363923.9400000004</v>
      </c>
      <c r="J12" s="226">
        <f>4403657.29+282475.19</f>
        <v>4686132.4800000004</v>
      </c>
      <c r="K12" s="226">
        <f>4306497.66</f>
        <v>4306497.66</v>
      </c>
      <c r="L12" s="226">
        <f>4777791.1</f>
        <v>4777791.0999999996</v>
      </c>
      <c r="M12" s="226">
        <v>4072403.62</v>
      </c>
      <c r="N12" s="226">
        <v>3696584.9</v>
      </c>
      <c r="O12" s="226">
        <f>2546789+902219.11</f>
        <v>3449008.11</v>
      </c>
      <c r="P12" s="226">
        <v>3110781.66</v>
      </c>
      <c r="Q12" s="226"/>
    </row>
    <row r="13" spans="1:17">
      <c r="A13" s="225"/>
      <c r="B13" s="361" t="s">
        <v>407</v>
      </c>
      <c r="C13" s="225" t="s">
        <v>282</v>
      </c>
      <c r="D13" s="226">
        <v>326003.88000000053</v>
      </c>
      <c r="E13" s="226">
        <v>533882.47999999905</v>
      </c>
      <c r="F13" s="226">
        <v>743978.41000000178</v>
      </c>
      <c r="G13" s="226">
        <v>1051142.6400000039</v>
      </c>
      <c r="H13" s="226">
        <v>1298084.6699999971</v>
      </c>
      <c r="I13" s="226">
        <f>1699425.57</f>
        <v>1699425.57</v>
      </c>
      <c r="J13" s="226">
        <v>2171295.66</v>
      </c>
      <c r="K13" s="226">
        <v>2804729.65</v>
      </c>
      <c r="L13" s="226">
        <f>3445091.41</f>
        <v>3445091.41</v>
      </c>
      <c r="M13" s="226">
        <v>3989369.21</v>
      </c>
      <c r="N13" s="226">
        <v>4593241</v>
      </c>
      <c r="O13" s="226">
        <f>5363528.54</f>
        <v>5363528.54</v>
      </c>
      <c r="P13" s="226">
        <v>6103436</v>
      </c>
      <c r="Q13" s="226"/>
    </row>
    <row r="14" spans="1:17">
      <c r="A14" s="225"/>
      <c r="B14" s="361"/>
      <c r="C14" s="225" t="s">
        <v>494</v>
      </c>
      <c r="D14" s="226"/>
      <c r="E14" s="226"/>
      <c r="F14" s="226"/>
      <c r="G14" s="226"/>
      <c r="H14" s="226"/>
      <c r="I14" s="226"/>
      <c r="J14" s="226"/>
      <c r="K14" s="226"/>
      <c r="L14" s="226"/>
      <c r="M14" s="226">
        <v>-12244303.48</v>
      </c>
      <c r="N14" s="226"/>
      <c r="O14" s="226">
        <v>-6065013</v>
      </c>
      <c r="P14" s="226">
        <f>P15-P12-P13</f>
        <v>-11546530.24</v>
      </c>
      <c r="Q14" s="226"/>
    </row>
    <row r="15" spans="1:17">
      <c r="A15" s="225"/>
      <c r="B15" s="361"/>
      <c r="C15" s="223" t="s">
        <v>283</v>
      </c>
      <c r="D15" s="231">
        <f t="shared" ref="D15:I15" si="2">SUM(D12:D13)</f>
        <v>4197661.8160000173</v>
      </c>
      <c r="E15" s="231">
        <f t="shared" si="2"/>
        <v>4556663.8560000053</v>
      </c>
      <c r="F15" s="231">
        <f t="shared" si="2"/>
        <v>4828500.373000009</v>
      </c>
      <c r="G15" s="231">
        <f t="shared" si="2"/>
        <v>5297327.2629999965</v>
      </c>
      <c r="H15" s="231">
        <f>SUM(H12:H13)</f>
        <v>5564744.8999999948</v>
      </c>
      <c r="I15" s="231">
        <f t="shared" si="2"/>
        <v>6063349.5100000007</v>
      </c>
      <c r="J15" s="231">
        <f>SUM(J12:J14)</f>
        <v>6857428.1400000006</v>
      </c>
      <c r="K15" s="231">
        <f>SUM(K12:K14)</f>
        <v>7111227.3100000005</v>
      </c>
      <c r="L15" s="231">
        <f>SUM(L12:L14)</f>
        <v>8222882.5099999998</v>
      </c>
      <c r="M15" s="231">
        <v>-4182530.6500000004</v>
      </c>
      <c r="N15" s="231">
        <v>-2619657.15</v>
      </c>
      <c r="O15" s="231">
        <v>-2747523.76</v>
      </c>
      <c r="P15" s="231">
        <v>-2332312.58</v>
      </c>
      <c r="Q15" s="231">
        <v>-2381430.6199999936</v>
      </c>
    </row>
    <row r="16" spans="1:17">
      <c r="A16" s="225"/>
      <c r="B16" s="361" t="s">
        <v>409</v>
      </c>
      <c r="C16" s="223" t="s">
        <v>284</v>
      </c>
      <c r="D16" s="231"/>
      <c r="E16" s="231">
        <f t="shared" ref="E16:I16" si="3">E15-D15</f>
        <v>359002.03999998793</v>
      </c>
      <c r="F16" s="231">
        <f t="shared" si="3"/>
        <v>271836.51700000372</v>
      </c>
      <c r="G16" s="231">
        <f t="shared" si="3"/>
        <v>468826.88999998756</v>
      </c>
      <c r="H16" s="231">
        <f>H15-G15</f>
        <v>267417.63699999824</v>
      </c>
      <c r="I16" s="231">
        <f t="shared" si="3"/>
        <v>498604.61000000592</v>
      </c>
      <c r="J16" s="231">
        <f t="shared" ref="J16:O16" si="4">J15-I15</f>
        <v>794078.62999999989</v>
      </c>
      <c r="K16" s="231">
        <f t="shared" si="4"/>
        <v>253799.16999999993</v>
      </c>
      <c r="L16" s="231">
        <f t="shared" si="4"/>
        <v>1111655.1999999993</v>
      </c>
      <c r="M16" s="231">
        <f t="shared" si="4"/>
        <v>-12405413.16</v>
      </c>
      <c r="N16" s="231">
        <f t="shared" si="4"/>
        <v>1562873.5000000005</v>
      </c>
      <c r="O16" s="231">
        <f t="shared" si="4"/>
        <v>-127866.60999999987</v>
      </c>
      <c r="P16" s="231">
        <f>P15-O15</f>
        <v>415211.1799999997</v>
      </c>
      <c r="Q16" s="231">
        <f>Q15-P15</f>
        <v>-49118.039999993518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H94"/>
  <sheetViews>
    <sheetView tabSelected="1" workbookViewId="0">
      <pane xSplit="2" topLeftCell="X1" activePane="topRight" state="frozen"/>
      <selection pane="topRight" activeCell="AE52" sqref="AE52"/>
    </sheetView>
  </sheetViews>
  <sheetFormatPr defaultRowHeight="15"/>
  <cols>
    <col min="1" max="1" width="30.140625" customWidth="1"/>
    <col min="2" max="2" width="38.42578125" customWidth="1"/>
    <col min="3" max="10" width="12.140625" hidden="1" customWidth="1"/>
    <col min="11" max="11" width="11.7109375" hidden="1" customWidth="1"/>
    <col min="12" max="13" width="9.140625" hidden="1" customWidth="1"/>
    <col min="14" max="14" width="15" hidden="1" customWidth="1"/>
    <col min="15" max="17" width="9.140625" hidden="1" customWidth="1"/>
    <col min="18" max="19" width="9.140625" customWidth="1"/>
    <col min="20" max="20" width="15.140625" bestFit="1" customWidth="1"/>
    <col min="21" max="21" width="9.140625" style="1" customWidth="1"/>
    <col min="22" max="22" width="36.42578125" bestFit="1" customWidth="1"/>
    <col min="23" max="23" width="15.28515625" bestFit="1" customWidth="1"/>
    <col min="24" max="24" width="14.140625" customWidth="1"/>
    <col min="25" max="25" width="16" bestFit="1" customWidth="1"/>
    <col min="26" max="29" width="16" customWidth="1"/>
    <col min="30" max="30" width="26.85546875" customWidth="1"/>
  </cols>
  <sheetData>
    <row r="1" spans="1:30">
      <c r="A1" s="29" t="s">
        <v>499</v>
      </c>
      <c r="B1" s="29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43"/>
      <c r="V1" s="29" t="s">
        <v>323</v>
      </c>
      <c r="W1" s="22"/>
      <c r="X1" s="22"/>
      <c r="Y1" s="22"/>
      <c r="Z1" s="22"/>
      <c r="AA1" s="22"/>
      <c r="AB1" s="22"/>
      <c r="AC1" s="22"/>
      <c r="AD1" t="s">
        <v>325</v>
      </c>
    </row>
    <row r="2" spans="1:30">
      <c r="A2" s="16" t="s">
        <v>410</v>
      </c>
      <c r="B2" s="16"/>
      <c r="C2" s="17" t="s">
        <v>67</v>
      </c>
      <c r="D2" s="17" t="s">
        <v>68</v>
      </c>
      <c r="E2" s="17" t="s">
        <v>69</v>
      </c>
      <c r="F2" s="17" t="s">
        <v>66</v>
      </c>
      <c r="G2" s="17" t="s">
        <v>76</v>
      </c>
      <c r="H2" s="17" t="s">
        <v>77</v>
      </c>
      <c r="I2" s="17" t="s">
        <v>78</v>
      </c>
      <c r="J2" s="17" t="s">
        <v>79</v>
      </c>
      <c r="K2" s="17" t="s">
        <v>161</v>
      </c>
      <c r="L2" s="17" t="s">
        <v>195</v>
      </c>
      <c r="M2" s="17" t="s">
        <v>196</v>
      </c>
      <c r="N2" s="17" t="s">
        <v>197</v>
      </c>
      <c r="O2" s="17" t="s">
        <v>67</v>
      </c>
      <c r="P2" s="17" t="s">
        <v>2</v>
      </c>
      <c r="Q2" s="17" t="s">
        <v>1</v>
      </c>
      <c r="R2" s="17" t="s">
        <v>0</v>
      </c>
      <c r="S2" s="17" t="s">
        <v>74</v>
      </c>
      <c r="T2" s="17" t="s">
        <v>75</v>
      </c>
      <c r="U2" s="326"/>
      <c r="V2" s="16" t="str">
        <f>A2</f>
        <v>Unit ( จำนวนคัน )</v>
      </c>
      <c r="W2" s="17" t="s">
        <v>365</v>
      </c>
      <c r="X2" s="17" t="s">
        <v>366</v>
      </c>
      <c r="Y2" s="17" t="s">
        <v>397</v>
      </c>
      <c r="Z2" s="17" t="s">
        <v>453</v>
      </c>
      <c r="AA2" s="458" t="s">
        <v>485</v>
      </c>
      <c r="AB2" s="458" t="s">
        <v>492</v>
      </c>
      <c r="AC2" s="458" t="s">
        <v>496</v>
      </c>
    </row>
    <row r="3" spans="1:30">
      <c r="A3" t="s">
        <v>80</v>
      </c>
      <c r="C3" s="23">
        <v>5361</v>
      </c>
      <c r="D3" s="23">
        <f>C8</f>
        <v>5277</v>
      </c>
      <c r="E3" s="23">
        <f t="shared" ref="E3:J3" si="0">D8</f>
        <v>5318</v>
      </c>
      <c r="F3" s="23">
        <f t="shared" si="0"/>
        <v>5620</v>
      </c>
      <c r="G3" s="23">
        <f t="shared" si="0"/>
        <v>6117</v>
      </c>
      <c r="H3" s="23">
        <f t="shared" si="0"/>
        <v>6213</v>
      </c>
      <c r="I3" s="23">
        <f t="shared" si="0"/>
        <v>6550</v>
      </c>
      <c r="J3" s="23">
        <f t="shared" si="0"/>
        <v>6831</v>
      </c>
      <c r="K3" s="23">
        <f>J8</f>
        <v>6996</v>
      </c>
      <c r="L3" s="32">
        <f>K8</f>
        <v>7290</v>
      </c>
      <c r="M3" s="32">
        <f>L8</f>
        <v>7534</v>
      </c>
      <c r="N3" s="32">
        <f>M8</f>
        <v>7219</v>
      </c>
      <c r="O3" s="32">
        <v>6813</v>
      </c>
      <c r="P3" s="286">
        <f>O8</f>
        <v>6380</v>
      </c>
      <c r="Q3" s="32">
        <f>P8</f>
        <v>5902</v>
      </c>
      <c r="R3" s="32">
        <f>Q8</f>
        <v>5394</v>
      </c>
      <c r="S3" s="32">
        <f>R8</f>
        <v>4803</v>
      </c>
      <c r="T3" s="32">
        <f>S8</f>
        <v>4282</v>
      </c>
      <c r="U3" s="286"/>
      <c r="V3" t="s">
        <v>80</v>
      </c>
      <c r="W3" s="298">
        <f>T8</f>
        <v>3705</v>
      </c>
      <c r="X3" s="298">
        <f t="shared" ref="X3:AC3" si="1">W8</f>
        <v>3238</v>
      </c>
      <c r="Y3" s="298">
        <f t="shared" si="1"/>
        <v>2816</v>
      </c>
      <c r="Z3" s="298">
        <f t="shared" si="1"/>
        <v>2311</v>
      </c>
      <c r="AA3" s="298">
        <f t="shared" si="1"/>
        <v>1851</v>
      </c>
      <c r="AB3" s="298">
        <f t="shared" si="1"/>
        <v>1568</v>
      </c>
      <c r="AC3" s="298">
        <f t="shared" si="1"/>
        <v>1341</v>
      </c>
    </row>
    <row r="4" spans="1:30">
      <c r="A4" t="s">
        <v>82</v>
      </c>
      <c r="B4" t="s">
        <v>295</v>
      </c>
      <c r="C4" s="23">
        <v>304</v>
      </c>
      <c r="D4" s="23">
        <v>420</v>
      </c>
      <c r="E4" s="23">
        <v>688</v>
      </c>
      <c r="F4" s="23">
        <v>967</v>
      </c>
      <c r="G4" s="23">
        <v>552</v>
      </c>
      <c r="H4" s="23">
        <v>790</v>
      </c>
      <c r="I4" s="23">
        <v>676</v>
      </c>
      <c r="J4" s="23">
        <v>576</v>
      </c>
      <c r="K4" s="23">
        <v>710</v>
      </c>
      <c r="L4" s="23">
        <v>618</v>
      </c>
      <c r="M4" s="23">
        <v>120</v>
      </c>
      <c r="N4" s="34">
        <v>13</v>
      </c>
      <c r="O4" s="44">
        <v>3</v>
      </c>
      <c r="Q4" s="44"/>
      <c r="R4" s="44"/>
      <c r="S4" s="44">
        <v>0</v>
      </c>
      <c r="T4" s="23">
        <v>0</v>
      </c>
      <c r="U4" s="25"/>
      <c r="V4" t="s">
        <v>82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30">
      <c r="A5" t="s">
        <v>85</v>
      </c>
      <c r="B5" t="s">
        <v>296</v>
      </c>
      <c r="C5" s="23">
        <v>-353</v>
      </c>
      <c r="D5" s="23">
        <v>-323</v>
      </c>
      <c r="E5" s="23">
        <v>-356</v>
      </c>
      <c r="F5" s="23">
        <v>-452</v>
      </c>
      <c r="G5" s="23">
        <v>-435</v>
      </c>
      <c r="H5" s="23">
        <v>-444</v>
      </c>
      <c r="I5" s="23">
        <v>-375</v>
      </c>
      <c r="J5" s="23">
        <v>-394</v>
      </c>
      <c r="K5" s="23">
        <v>-398</v>
      </c>
      <c r="L5" s="23">
        <v>-350</v>
      </c>
      <c r="M5" s="23">
        <v>-396</v>
      </c>
      <c r="N5" s="34">
        <v>-376</v>
      </c>
      <c r="O5" s="44">
        <v>-381</v>
      </c>
      <c r="P5" s="44">
        <f>-443</f>
        <v>-443</v>
      </c>
      <c r="Q5" s="44">
        <v>-466</v>
      </c>
      <c r="R5" s="44">
        <f>-552+1</f>
        <v>-551</v>
      </c>
      <c r="S5" s="44">
        <f>-485+1</f>
        <v>-484</v>
      </c>
      <c r="T5" s="23">
        <v>-543</v>
      </c>
      <c r="U5" s="25"/>
      <c r="V5" t="s">
        <v>85</v>
      </c>
      <c r="W5" s="44">
        <v>-426</v>
      </c>
      <c r="X5" s="44">
        <v>-386</v>
      </c>
      <c r="Y5" s="44">
        <f>-471+3</f>
        <v>-468</v>
      </c>
      <c r="Z5" s="44">
        <v>-411</v>
      </c>
      <c r="AA5" s="44">
        <v>-254</v>
      </c>
      <c r="AB5" s="44">
        <v>-195</v>
      </c>
      <c r="AC5" s="44">
        <v>-186</v>
      </c>
    </row>
    <row r="6" spans="1:30">
      <c r="A6" t="s">
        <v>83</v>
      </c>
      <c r="B6" t="s">
        <v>297</v>
      </c>
      <c r="C6" s="23">
        <v>-9</v>
      </c>
      <c r="D6" s="23">
        <v>-9</v>
      </c>
      <c r="E6" s="23">
        <v>-10</v>
      </c>
      <c r="F6" s="23">
        <v>-12</v>
      </c>
      <c r="G6" s="23">
        <v>-16</v>
      </c>
      <c r="H6" s="23">
        <v>-9</v>
      </c>
      <c r="I6" s="23">
        <v>-8</v>
      </c>
      <c r="J6" s="23">
        <v>-6</v>
      </c>
      <c r="K6" s="23">
        <v>-13</v>
      </c>
      <c r="L6" s="23">
        <v>-14</v>
      </c>
      <c r="M6" s="23">
        <v>-10</v>
      </c>
      <c r="N6" s="34">
        <v>-23</v>
      </c>
      <c r="O6" s="44">
        <v>-28</v>
      </c>
      <c r="P6" s="44">
        <v>-22</v>
      </c>
      <c r="Q6" s="44">
        <v>-20</v>
      </c>
      <c r="R6" s="44">
        <v>-18</v>
      </c>
      <c r="S6" s="44">
        <v>-15</v>
      </c>
      <c r="T6" s="23">
        <v>-12</v>
      </c>
      <c r="U6" s="25"/>
      <c r="V6" t="s">
        <v>83</v>
      </c>
      <c r="W6" s="44">
        <v>-15</v>
      </c>
      <c r="X6" s="44">
        <v>-13</v>
      </c>
      <c r="Y6" s="44">
        <v>-12</v>
      </c>
      <c r="Z6" s="44">
        <v>-13</v>
      </c>
      <c r="AA6" s="44">
        <v>-7</v>
      </c>
      <c r="AB6" s="44">
        <v>-8</v>
      </c>
      <c r="AC6" s="44">
        <v>-3</v>
      </c>
    </row>
    <row r="7" spans="1:30">
      <c r="A7" t="s">
        <v>84</v>
      </c>
      <c r="B7" t="s">
        <v>298</v>
      </c>
      <c r="C7" s="23">
        <v>-26</v>
      </c>
      <c r="D7" s="23">
        <v>-47</v>
      </c>
      <c r="E7" s="23">
        <v>-20</v>
      </c>
      <c r="F7" s="23">
        <v>-6</v>
      </c>
      <c r="G7" s="23">
        <v>-5</v>
      </c>
      <c r="H7" s="23">
        <v>0</v>
      </c>
      <c r="I7" s="23">
        <v>-12</v>
      </c>
      <c r="J7" s="23">
        <v>-11</v>
      </c>
      <c r="K7" s="23">
        <v>-5</v>
      </c>
      <c r="L7" s="23">
        <v>-10</v>
      </c>
      <c r="M7" s="23">
        <v>-29</v>
      </c>
      <c r="N7" s="34">
        <v>-20</v>
      </c>
      <c r="O7" s="44">
        <v>-27</v>
      </c>
      <c r="P7" s="44">
        <v>-13</v>
      </c>
      <c r="Q7" s="44">
        <v>-22</v>
      </c>
      <c r="R7" s="44">
        <v>-22</v>
      </c>
      <c r="S7" s="44">
        <v>-22</v>
      </c>
      <c r="T7" s="23">
        <v>-22</v>
      </c>
      <c r="U7" s="25"/>
      <c r="V7" t="s">
        <v>84</v>
      </c>
      <c r="W7" s="44">
        <v>-26</v>
      </c>
      <c r="X7" s="44">
        <v>-23</v>
      </c>
      <c r="Y7" s="44">
        <v>-25</v>
      </c>
      <c r="Z7" s="44">
        <v>-36</v>
      </c>
      <c r="AA7" s="44">
        <v>-22</v>
      </c>
      <c r="AB7" s="44">
        <v>-24</v>
      </c>
      <c r="AC7" s="44">
        <v>-18</v>
      </c>
    </row>
    <row r="8" spans="1:30" ht="15.75" thickBot="1">
      <c r="A8" t="s">
        <v>81</v>
      </c>
      <c r="C8" s="24">
        <v>5277</v>
      </c>
      <c r="D8" s="24">
        <f t="shared" ref="D8:J8" si="2">SUM(D3:D7)</f>
        <v>5318</v>
      </c>
      <c r="E8" s="24">
        <f t="shared" si="2"/>
        <v>5620</v>
      </c>
      <c r="F8" s="24">
        <f t="shared" si="2"/>
        <v>6117</v>
      </c>
      <c r="G8" s="24">
        <f t="shared" si="2"/>
        <v>6213</v>
      </c>
      <c r="H8" s="24">
        <f t="shared" si="2"/>
        <v>6550</v>
      </c>
      <c r="I8" s="24">
        <f t="shared" si="2"/>
        <v>6831</v>
      </c>
      <c r="J8" s="24">
        <f t="shared" si="2"/>
        <v>6996</v>
      </c>
      <c r="K8" s="24">
        <f t="shared" ref="K8:T8" si="3">SUM(K3:K7)</f>
        <v>7290</v>
      </c>
      <c r="L8" s="24">
        <f t="shared" si="3"/>
        <v>7534</v>
      </c>
      <c r="M8" s="24">
        <f t="shared" si="3"/>
        <v>7219</v>
      </c>
      <c r="N8" s="24">
        <f t="shared" si="3"/>
        <v>6813</v>
      </c>
      <c r="O8" s="24">
        <v>6380</v>
      </c>
      <c r="P8" s="24">
        <f>SUM(P3:P7)</f>
        <v>5902</v>
      </c>
      <c r="Q8" s="24">
        <f>SUM(Q3:Q7)</f>
        <v>5394</v>
      </c>
      <c r="R8" s="24">
        <f t="shared" si="3"/>
        <v>4803</v>
      </c>
      <c r="S8" s="24">
        <f t="shared" si="3"/>
        <v>4282</v>
      </c>
      <c r="T8" s="24">
        <f t="shared" si="3"/>
        <v>3705</v>
      </c>
      <c r="U8" s="327"/>
      <c r="V8" t="s">
        <v>81</v>
      </c>
      <c r="W8" s="24">
        <f t="shared" ref="W8:AC8" si="4">SUM(W3:W7)</f>
        <v>3238</v>
      </c>
      <c r="X8" s="24">
        <f t="shared" si="4"/>
        <v>2816</v>
      </c>
      <c r="Y8" s="24">
        <f t="shared" si="4"/>
        <v>2311</v>
      </c>
      <c r="Z8" s="24">
        <f t="shared" si="4"/>
        <v>1851</v>
      </c>
      <c r="AA8" s="24">
        <f t="shared" si="4"/>
        <v>1568</v>
      </c>
      <c r="AB8" s="24">
        <f t="shared" si="4"/>
        <v>1341</v>
      </c>
      <c r="AC8" s="24">
        <f t="shared" si="4"/>
        <v>1134</v>
      </c>
      <c r="AD8" s="315" t="s">
        <v>458</v>
      </c>
    </row>
    <row r="9" spans="1:30">
      <c r="A9" s="1"/>
      <c r="B9" s="1"/>
      <c r="C9" s="1"/>
      <c r="D9" s="1"/>
      <c r="E9" s="1"/>
      <c r="F9" s="1"/>
      <c r="G9" s="1"/>
      <c r="H9" s="1">
        <f>H6/G8</f>
        <v>-1.4485755673587638E-3</v>
      </c>
      <c r="I9" s="1"/>
      <c r="J9" s="1"/>
      <c r="L9" s="46"/>
      <c r="M9" s="46"/>
      <c r="N9" s="46"/>
      <c r="O9" s="46"/>
    </row>
    <row r="10" spans="1:30">
      <c r="A10" s="16" t="s">
        <v>411</v>
      </c>
      <c r="B10" s="16"/>
      <c r="C10" s="17" t="s">
        <v>67</v>
      </c>
      <c r="D10" s="17" t="s">
        <v>68</v>
      </c>
      <c r="E10" s="17" t="s">
        <v>69</v>
      </c>
      <c r="F10" s="17" t="s">
        <v>66</v>
      </c>
      <c r="G10" s="17" t="s">
        <v>76</v>
      </c>
      <c r="H10" s="17" t="s">
        <v>77</v>
      </c>
      <c r="I10" s="17" t="s">
        <v>78</v>
      </c>
      <c r="J10" s="17" t="s">
        <v>79</v>
      </c>
      <c r="K10" s="17" t="s">
        <v>161</v>
      </c>
      <c r="L10" s="17" t="s">
        <v>195</v>
      </c>
      <c r="M10" s="17" t="s">
        <v>196</v>
      </c>
      <c r="N10" s="17" t="s">
        <v>197</v>
      </c>
      <c r="O10" s="17" t="s">
        <v>67</v>
      </c>
      <c r="P10" s="17" t="str">
        <f>P2</f>
        <v>Aug</v>
      </c>
      <c r="Q10" s="17" t="s">
        <v>1</v>
      </c>
      <c r="R10" s="17" t="s">
        <v>0</v>
      </c>
      <c r="S10" s="17" t="s">
        <v>74</v>
      </c>
      <c r="T10" s="17" t="s">
        <v>75</v>
      </c>
      <c r="U10" s="326"/>
      <c r="V10" s="369" t="s">
        <v>412</v>
      </c>
      <c r="W10" s="17" t="s">
        <v>365</v>
      </c>
      <c r="X10" s="17" t="str">
        <f t="shared" ref="X10:AC10" si="5">X2</f>
        <v>Feb'16</v>
      </c>
      <c r="Y10" s="17" t="str">
        <f t="shared" si="5"/>
        <v>Mar'16</v>
      </c>
      <c r="Z10" s="17" t="str">
        <f t="shared" si="5"/>
        <v>Apr'16</v>
      </c>
      <c r="AA10" s="17" t="str">
        <f t="shared" si="5"/>
        <v>May'16</v>
      </c>
      <c r="AB10" s="17" t="str">
        <f t="shared" si="5"/>
        <v>June'16</v>
      </c>
      <c r="AC10" s="17" t="str">
        <f t="shared" si="5"/>
        <v>July'16</v>
      </c>
    </row>
    <row r="11" spans="1:30">
      <c r="A11" t="s">
        <v>80</v>
      </c>
      <c r="C11" s="23">
        <f>57750160.5649999/1000000</f>
        <v>57.750160564999902</v>
      </c>
      <c r="D11" s="23">
        <f t="shared" ref="D11:K11" si="6">C16</f>
        <v>55.472436025000199</v>
      </c>
      <c r="E11" s="23">
        <f t="shared" si="6"/>
        <v>-2.3314683517128287E-15</v>
      </c>
      <c r="F11" s="23">
        <f t="shared" si="6"/>
        <v>7.4940054162198066E-16</v>
      </c>
      <c r="G11" s="23">
        <f t="shared" si="6"/>
        <v>9.2287288921966137E-16</v>
      </c>
      <c r="H11" s="23">
        <f t="shared" si="6"/>
        <v>-5.134781488891349E-16</v>
      </c>
      <c r="I11" s="23">
        <f t="shared" si="6"/>
        <v>8.7430063189231078E-16</v>
      </c>
      <c r="J11" s="23">
        <f t="shared" si="6"/>
        <v>7.2164496600635175E-16</v>
      </c>
      <c r="K11" s="23">
        <f t="shared" si="6"/>
        <v>0</v>
      </c>
      <c r="L11" s="32">
        <f>K16</f>
        <v>0</v>
      </c>
      <c r="M11" s="32">
        <f>L16</f>
        <v>-1.124100812432971E-15</v>
      </c>
      <c r="N11" s="32">
        <f>M16</f>
        <v>0</v>
      </c>
      <c r="O11" s="32">
        <v>83.000000000000014</v>
      </c>
      <c r="P11" s="32">
        <f>O16</f>
        <v>74</v>
      </c>
      <c r="Q11" s="32">
        <f>P16</f>
        <v>68</v>
      </c>
      <c r="R11" s="32">
        <f>Q16</f>
        <v>56.999999999999993</v>
      </c>
      <c r="S11" s="32">
        <f>R16</f>
        <v>49</v>
      </c>
      <c r="T11" s="32">
        <f>S16</f>
        <v>42</v>
      </c>
      <c r="U11" s="286"/>
      <c r="V11" t="s">
        <v>80</v>
      </c>
      <c r="W11" s="338">
        <v>35304758.890000001</v>
      </c>
      <c r="X11" s="298">
        <f t="shared" ref="X11:AC11" si="7">W16</f>
        <v>29704615.779999997</v>
      </c>
      <c r="Y11" s="298">
        <f t="shared" si="7"/>
        <v>25010396.809999999</v>
      </c>
      <c r="Z11" s="298">
        <f t="shared" si="7"/>
        <v>20441733.069999997</v>
      </c>
      <c r="AA11" s="298">
        <f t="shared" si="7"/>
        <v>16573115.199999999</v>
      </c>
      <c r="AB11" s="298">
        <f t="shared" si="7"/>
        <v>13715898.65</v>
      </c>
      <c r="AC11" s="298">
        <f t="shared" si="7"/>
        <v>11259467</v>
      </c>
    </row>
    <row r="12" spans="1:30">
      <c r="A12" t="s">
        <v>82</v>
      </c>
      <c r="B12" t="s">
        <v>299</v>
      </c>
      <c r="C12" s="23">
        <f>4528817/1000000</f>
        <v>4.5288170000000001</v>
      </c>
      <c r="D12" s="23">
        <f>6454795/1000000</f>
        <v>6.4547949999999998</v>
      </c>
      <c r="E12" s="23">
        <f>10565900/1000000</f>
        <v>10.565899999999999</v>
      </c>
      <c r="F12" s="23">
        <f>17531168/1000000</f>
        <v>17.531168000000001</v>
      </c>
      <c r="G12" s="23">
        <f>10225886/1000000</f>
        <v>10.225885999999999</v>
      </c>
      <c r="H12" s="23">
        <f>15216836/1000000</f>
        <v>15.216836000000001</v>
      </c>
      <c r="I12" s="23">
        <f>12828849/1000000</f>
        <v>12.828849</v>
      </c>
      <c r="J12" s="23">
        <f>10800205.08/1000000</f>
        <v>10.80020508</v>
      </c>
      <c r="K12" s="23">
        <f>13145175/1000000</f>
        <v>13.145175</v>
      </c>
      <c r="L12" s="23">
        <f>11608947/10^6</f>
        <v>11.608947000000001</v>
      </c>
      <c r="M12" s="23">
        <f>2382793/10^6</f>
        <v>2.3827929999999999</v>
      </c>
      <c r="N12" s="34">
        <f>321121.59/10^6</f>
        <v>0.32112159000000001</v>
      </c>
      <c r="O12" s="44">
        <v>9.0679529999999994E-2</v>
      </c>
      <c r="P12" s="44"/>
      <c r="Q12" s="44"/>
      <c r="S12" s="44">
        <v>0</v>
      </c>
      <c r="T12" s="23">
        <v>0</v>
      </c>
      <c r="U12" s="25"/>
      <c r="V12" t="s">
        <v>82</v>
      </c>
      <c r="W12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</row>
    <row r="13" spans="1:30">
      <c r="A13" t="s">
        <v>193</v>
      </c>
      <c r="B13" s="1"/>
      <c r="C13" s="23">
        <f>C33-C11-C12-C14-C15</f>
        <v>-61.868014354999907</v>
      </c>
      <c r="D13" s="23">
        <f t="shared" ref="D13:J13" si="8">D33-D11-D12-D14-D15</f>
        <v>-61.330942725000199</v>
      </c>
      <c r="E13" s="23">
        <f t="shared" si="8"/>
        <v>-10.209752389999997</v>
      </c>
      <c r="F13" s="23">
        <f t="shared" si="8"/>
        <v>-17.33414359</v>
      </c>
      <c r="G13" s="23">
        <f t="shared" si="8"/>
        <v>-9.9704533500000014</v>
      </c>
      <c r="H13" s="23">
        <f t="shared" si="8"/>
        <v>-15.12071147</v>
      </c>
      <c r="I13" s="23">
        <f t="shared" si="8"/>
        <v>-12.554485509999999</v>
      </c>
      <c r="J13" s="23">
        <f t="shared" si="8"/>
        <v>-10.59673415</v>
      </c>
      <c r="K13" s="23">
        <f>K33-K11-K12-K14-K15</f>
        <v>-12.91301932</v>
      </c>
      <c r="L13" s="23">
        <f>L33-L11-L12-L14-L15</f>
        <v>-11.297004350000002</v>
      </c>
      <c r="M13" s="23">
        <f>M33-M11-M12-M14-M15</f>
        <v>-2.8345609999999986</v>
      </c>
      <c r="N13" s="34">
        <f>N33-N11-N12-N14-N15</f>
        <v>0.26264255999999997</v>
      </c>
      <c r="O13" s="44">
        <v>-8.2370393000000135</v>
      </c>
      <c r="P13" s="44">
        <f>P17-P11-P12-P14-P15</f>
        <v>-4.8998435999999996</v>
      </c>
      <c r="Q13" s="44">
        <f>Q17-Q11-Q12-Q14-Q15</f>
        <v>-10.538952</v>
      </c>
      <c r="R13" s="44">
        <f>R17-R11-R12-R14-R15</f>
        <v>-6.7289598199999929</v>
      </c>
      <c r="S13" s="44">
        <f>S17-S11-S12-S14-S15</f>
        <v>-6.5516716800000001</v>
      </c>
      <c r="T13" s="44">
        <f>T17-T11-T12-T14-T15</f>
        <v>-6.5536799199999995</v>
      </c>
      <c r="U13" s="25"/>
      <c r="V13" t="s">
        <v>193</v>
      </c>
      <c r="W13" s="44">
        <f t="shared" ref="W13:AC13" si="9">W17-W11-W12-W14-W15</f>
        <v>-5087647.3899999997</v>
      </c>
      <c r="X13" s="44">
        <f t="shared" si="9"/>
        <v>-4227786.129999999</v>
      </c>
      <c r="Y13" s="44">
        <f t="shared" si="9"/>
        <v>-4084882.3199999989</v>
      </c>
      <c r="Z13" s="44">
        <f t="shared" si="9"/>
        <v>-3238182.8199999975</v>
      </c>
      <c r="AA13" s="44">
        <f t="shared" si="9"/>
        <v>-2419464.7999999989</v>
      </c>
      <c r="AB13" s="44">
        <f t="shared" si="9"/>
        <v>-1946376.6500000004</v>
      </c>
      <c r="AC13" s="44">
        <f t="shared" si="9"/>
        <v>-1758091</v>
      </c>
    </row>
    <row r="14" spans="1:30">
      <c r="A14" t="s">
        <v>83</v>
      </c>
      <c r="B14" t="s">
        <v>300</v>
      </c>
      <c r="C14" s="23">
        <f>-122324.86/1000000</f>
        <v>-0.12232486000000001</v>
      </c>
      <c r="D14" s="23">
        <f>-131744.52/1000000</f>
        <v>-0.13174451999999998</v>
      </c>
      <c r="E14" s="23">
        <f>-157964.84/1000000</f>
        <v>-0.15796484</v>
      </c>
      <c r="F14" s="23">
        <f>-160210.39/1000000</f>
        <v>-0.16021039000000001</v>
      </c>
      <c r="G14" s="23">
        <f>-190469.68/1000000</f>
        <v>-0.19046968</v>
      </c>
      <c r="H14" s="23">
        <f>-96124.53/1000000</f>
        <v>-9.612453E-2</v>
      </c>
      <c r="I14" s="23">
        <f>-117094.65/1000000</f>
        <v>-0.11709464999999999</v>
      </c>
      <c r="J14" s="23">
        <f>-94104.52/1000000</f>
        <v>-9.4104520000000011E-2</v>
      </c>
      <c r="K14" s="23">
        <f>-189503.02/1000000</f>
        <v>-0.18950301999999999</v>
      </c>
      <c r="L14" s="23">
        <f>-218739.99/10^6</f>
        <v>-0.21873999</v>
      </c>
      <c r="M14" s="34">
        <f>(144734/10^6)</f>
        <v>0.144734</v>
      </c>
      <c r="N14" s="23">
        <f>-395128/10^6</f>
        <v>-0.39512799999999998</v>
      </c>
      <c r="O14" s="44">
        <v>-0.58987847999999998</v>
      </c>
      <c r="P14" s="44">
        <f>ROUNDUP(-402053/10^6,0)</f>
        <v>-1</v>
      </c>
      <c r="Q14" s="44">
        <f>-((306237)/10^6)</f>
        <v>-0.30623699999999998</v>
      </c>
      <c r="R14" s="44">
        <f>ROUNDUP(-(409790/10^6),0)</f>
        <v>-1</v>
      </c>
      <c r="S14" s="44">
        <f>-227642.32/10^6</f>
        <v>-0.22764232000000001</v>
      </c>
      <c r="T14" s="23">
        <f>-(242705.98-59808.53)/10^6</f>
        <v>-0.18289745000000002</v>
      </c>
      <c r="U14" s="25"/>
      <c r="V14" t="s">
        <v>83</v>
      </c>
      <c r="W14" s="311">
        <f>-(345798.68-80454.58-0)</f>
        <v>-265344.09999999998</v>
      </c>
      <c r="X14" s="338">
        <f>-(190020.47-34969.13-0)</f>
        <v>-155051.34</v>
      </c>
      <c r="Y14" s="338">
        <f>-(183203.62-29745.02-0)</f>
        <v>-153458.6</v>
      </c>
      <c r="Z14" s="338">
        <v>-170304</v>
      </c>
      <c r="AA14" s="338">
        <v>-93819.82</v>
      </c>
      <c r="AB14" s="338">
        <v>-137854</v>
      </c>
      <c r="AC14" s="338">
        <v>-22150</v>
      </c>
    </row>
    <row r="15" spans="1:30">
      <c r="A15" t="s">
        <v>84</v>
      </c>
      <c r="B15" t="s">
        <v>301</v>
      </c>
      <c r="C15" s="23">
        <f>-288638.35/1000000</f>
        <v>-0.28863834999999999</v>
      </c>
      <c r="D15" s="23">
        <f>-464543.78/1000000</f>
        <v>-0.46454378000000002</v>
      </c>
      <c r="E15" s="23">
        <f>-198182.77/1000000</f>
        <v>-0.19818276999999998</v>
      </c>
      <c r="F15" s="23">
        <f>-36814.02/1000000</f>
        <v>-3.6814019999999996E-2</v>
      </c>
      <c r="G15" s="23">
        <f>-64962.97/1000000</f>
        <v>-6.4962969999999995E-2</v>
      </c>
      <c r="H15" s="23">
        <v>0</v>
      </c>
      <c r="I15" s="23">
        <f>-157268.84/1000000</f>
        <v>-0.15726883999999999</v>
      </c>
      <c r="J15" s="23">
        <f>-109366.41/1000000</f>
        <v>-0.10936641</v>
      </c>
      <c r="K15" s="23">
        <f>-42652.66/1000000</f>
        <v>-4.2652660000000002E-2</v>
      </c>
      <c r="L15" s="23">
        <f>-93202.66/10^6</f>
        <v>-9.3202660000000007E-2</v>
      </c>
      <c r="M15" s="34">
        <f>307034/10^6</f>
        <v>0.30703399999999997</v>
      </c>
      <c r="N15" s="23">
        <f>-188636.15/10^6</f>
        <v>-0.18863615</v>
      </c>
      <c r="O15" s="44">
        <v>-0.26376175000000002</v>
      </c>
      <c r="P15" s="44">
        <f>-100156.4/10^6</f>
        <v>-0.10015639999999999</v>
      </c>
      <c r="Q15" s="44">
        <f>-154811/10^6</f>
        <v>-0.154811</v>
      </c>
      <c r="R15" s="44">
        <f>-(271040.18/10^6)</f>
        <v>-0.27104018000000002</v>
      </c>
      <c r="S15" s="44">
        <f>-(220686/10^6)</f>
        <v>-0.22068599999999999</v>
      </c>
      <c r="T15" s="23">
        <f>-(339907.15-76484.52)/10^6</f>
        <v>-0.26342262999999999</v>
      </c>
      <c r="U15" s="25"/>
      <c r="V15" t="s">
        <v>84</v>
      </c>
      <c r="W15" s="311">
        <f>-(303002.63-55851.01-0)</f>
        <v>-247151.62</v>
      </c>
      <c r="X15" s="311">
        <f>-(398070.7-86689.2)</f>
        <v>-311381.5</v>
      </c>
      <c r="Y15" s="311">
        <f>-(418864.58-88541.76)</f>
        <v>-330322.82</v>
      </c>
      <c r="Z15" s="311">
        <v>-460131.05</v>
      </c>
      <c r="AA15" s="311">
        <v>-343931.93</v>
      </c>
      <c r="AB15" s="311">
        <v>-372201</v>
      </c>
      <c r="AC15" s="311">
        <v>-263196</v>
      </c>
    </row>
    <row r="16" spans="1:30" ht="15.75" thickBot="1">
      <c r="A16" t="s">
        <v>81</v>
      </c>
      <c r="C16" s="24">
        <f>55472436.0250002/1000000</f>
        <v>55.472436025000199</v>
      </c>
      <c r="D16" s="24">
        <f t="shared" ref="D16:J16" si="10">SUM(D11:D15)</f>
        <v>-2.3314683517128287E-15</v>
      </c>
      <c r="E16" s="24">
        <f t="shared" si="10"/>
        <v>7.4940054162198066E-16</v>
      </c>
      <c r="F16" s="24">
        <f t="shared" si="10"/>
        <v>9.2287288921966137E-16</v>
      </c>
      <c r="G16" s="24">
        <f t="shared" si="10"/>
        <v>-5.134781488891349E-16</v>
      </c>
      <c r="H16" s="24">
        <f t="shared" si="10"/>
        <v>8.7430063189231078E-16</v>
      </c>
      <c r="I16" s="24">
        <f t="shared" si="10"/>
        <v>7.2164496600635175E-16</v>
      </c>
      <c r="J16" s="24">
        <f t="shared" si="10"/>
        <v>0</v>
      </c>
      <c r="K16" s="24">
        <f>SUM(K11:K15)</f>
        <v>0</v>
      </c>
      <c r="L16" s="24">
        <f>SUM(L11:L15)</f>
        <v>-1.124100812432971E-15</v>
      </c>
      <c r="M16" s="24">
        <f>SUM(M11:M15)</f>
        <v>0</v>
      </c>
      <c r="N16" s="24">
        <f>SUM(N11:N15)</f>
        <v>0</v>
      </c>
      <c r="O16" s="24">
        <v>74</v>
      </c>
      <c r="P16" s="24">
        <f>SUM(P11:P15)</f>
        <v>68</v>
      </c>
      <c r="Q16" s="24">
        <f>SUM(Q11:Q15)</f>
        <v>56.999999999999993</v>
      </c>
      <c r="R16" s="24">
        <f>SUM(R11:R15)</f>
        <v>49</v>
      </c>
      <c r="S16" s="24">
        <f>SUM(S11:S15)</f>
        <v>42</v>
      </c>
      <c r="T16" s="24">
        <f>SUM(T11:T15)</f>
        <v>35</v>
      </c>
      <c r="U16" s="327"/>
      <c r="V16" t="s">
        <v>81</v>
      </c>
      <c r="W16" s="24">
        <f t="shared" ref="W16:AC16" si="11">SUM(W11:W15)</f>
        <v>29704615.779999997</v>
      </c>
      <c r="X16" s="24">
        <f t="shared" si="11"/>
        <v>25010396.809999999</v>
      </c>
      <c r="Y16" s="24">
        <f t="shared" si="11"/>
        <v>20441733.069999997</v>
      </c>
      <c r="Z16" s="24">
        <f t="shared" si="11"/>
        <v>16573115.199999999</v>
      </c>
      <c r="AA16" s="24">
        <f t="shared" si="11"/>
        <v>13715898.65</v>
      </c>
      <c r="AB16" s="24">
        <f t="shared" si="11"/>
        <v>11259467</v>
      </c>
      <c r="AC16" s="24">
        <f t="shared" si="11"/>
        <v>9216030</v>
      </c>
      <c r="AD16" s="316" t="s">
        <v>459</v>
      </c>
    </row>
    <row r="17" spans="1:34"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07">
        <v>68</v>
      </c>
      <c r="Q17" s="307">
        <v>57</v>
      </c>
      <c r="R17" s="307">
        <v>49</v>
      </c>
      <c r="S17" s="307">
        <v>42</v>
      </c>
      <c r="T17" s="307">
        <v>35</v>
      </c>
      <c r="U17" s="328"/>
      <c r="W17" s="31">
        <v>29704615.780000001</v>
      </c>
      <c r="X17" s="328">
        <v>25010396.809999999</v>
      </c>
      <c r="Y17" s="328">
        <v>20441733.07</v>
      </c>
      <c r="Z17" s="328">
        <v>16573115.199999999</v>
      </c>
      <c r="AA17" s="328">
        <v>13715898.65</v>
      </c>
      <c r="AB17" s="328">
        <v>11259467</v>
      </c>
      <c r="AC17" s="328">
        <v>9216030</v>
      </c>
      <c r="AD17" s="31"/>
      <c r="AE17" s="31"/>
    </row>
    <row r="18" spans="1:34"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27"/>
      <c r="AD18" s="31"/>
      <c r="AE18" s="31"/>
    </row>
    <row r="19" spans="1:34" s="31" customFormat="1">
      <c r="A19" s="279" t="s">
        <v>500</v>
      </c>
      <c r="B19" s="30"/>
      <c r="C19" s="30"/>
      <c r="D19" s="30"/>
      <c r="E19" s="30"/>
      <c r="F19" s="30"/>
      <c r="G19" s="30"/>
      <c r="H19" s="30"/>
      <c r="I19" s="30"/>
      <c r="J19" s="30"/>
      <c r="M19" s="280"/>
      <c r="N19" s="280"/>
      <c r="O19" s="280"/>
      <c r="P19" s="280"/>
      <c r="Q19" s="280"/>
      <c r="R19" s="280"/>
      <c r="S19" s="280"/>
      <c r="T19" s="302"/>
      <c r="U19" s="287"/>
      <c r="V19" s="279" t="s">
        <v>322</v>
      </c>
      <c r="W19" s="302"/>
      <c r="X19" s="302"/>
      <c r="Y19" s="302"/>
      <c r="Z19" s="302"/>
      <c r="AA19" s="302"/>
      <c r="AB19" s="302"/>
      <c r="AC19" s="302"/>
      <c r="AD19" s="283"/>
      <c r="AF19" s="287"/>
      <c r="AG19" s="287"/>
      <c r="AH19" s="287"/>
    </row>
    <row r="20" spans="1:34" s="31" customFormat="1">
      <c r="A20" s="281" t="s">
        <v>410</v>
      </c>
      <c r="B20" s="30"/>
      <c r="C20" s="30"/>
      <c r="D20" s="30"/>
      <c r="E20" s="30"/>
      <c r="F20" s="30"/>
      <c r="G20" s="30"/>
      <c r="H20" s="30"/>
      <c r="I20" s="30"/>
      <c r="J20" s="30"/>
      <c r="M20" s="282" t="s">
        <v>197</v>
      </c>
      <c r="N20" s="282" t="s">
        <v>67</v>
      </c>
      <c r="O20" s="282" t="str">
        <f t="shared" ref="O20:T20" si="12">O10</f>
        <v>July</v>
      </c>
      <c r="P20" s="282" t="str">
        <f t="shared" si="12"/>
        <v>Aug</v>
      </c>
      <c r="Q20" s="282" t="str">
        <f t="shared" si="12"/>
        <v>Sep</v>
      </c>
      <c r="R20" s="282" t="str">
        <f t="shared" si="12"/>
        <v>Oct</v>
      </c>
      <c r="S20" s="282" t="str">
        <f t="shared" si="12"/>
        <v>Nov</v>
      </c>
      <c r="T20" s="300" t="str">
        <f t="shared" si="12"/>
        <v>Dec</v>
      </c>
      <c r="U20" s="43"/>
      <c r="V20" s="299" t="str">
        <f>A20</f>
        <v>Unit ( จำนวนคัน )</v>
      </c>
      <c r="W20" s="300" t="s">
        <v>365</v>
      </c>
      <c r="X20" s="356" t="str">
        <f>X2</f>
        <v>Feb'16</v>
      </c>
      <c r="Y20" s="356" t="str">
        <f>Y2</f>
        <v>Mar'16</v>
      </c>
      <c r="Z20" s="410" t="str">
        <f>Z2</f>
        <v>Apr'16</v>
      </c>
      <c r="AA20" s="410" t="str">
        <f>AA10</f>
        <v>May'16</v>
      </c>
      <c r="AB20" s="410" t="str">
        <f>AB10</f>
        <v>June'16</v>
      </c>
      <c r="AC20" s="410" t="str">
        <f>AC10</f>
        <v>July'16</v>
      </c>
      <c r="AD20" s="283"/>
      <c r="AF20" s="287"/>
      <c r="AG20" s="287"/>
      <c r="AH20" s="287"/>
    </row>
    <row r="21" spans="1:34" s="31" customFormat="1">
      <c r="A21" t="s">
        <v>80</v>
      </c>
      <c r="B21" s="30"/>
      <c r="C21" s="30"/>
      <c r="D21" s="30"/>
      <c r="E21" s="30"/>
      <c r="F21" s="30"/>
      <c r="G21" s="30"/>
      <c r="H21" s="30"/>
      <c r="I21" s="30"/>
      <c r="J21" s="30"/>
      <c r="N21" s="283"/>
      <c r="O21" s="284"/>
      <c r="P21" s="284">
        <v>87</v>
      </c>
      <c r="Q21" s="284">
        <f>P26</f>
        <v>184</v>
      </c>
      <c r="R21" s="284">
        <f>Q26</f>
        <v>294</v>
      </c>
      <c r="S21" s="284">
        <f>R26</f>
        <v>392</v>
      </c>
      <c r="T21" s="303">
        <f>S26</f>
        <v>517</v>
      </c>
      <c r="U21" s="329"/>
      <c r="V21" t="s">
        <v>80</v>
      </c>
      <c r="W21" s="329">
        <f>T26</f>
        <v>725</v>
      </c>
      <c r="X21" s="329">
        <f t="shared" ref="X21:AC21" si="13">W26</f>
        <v>786</v>
      </c>
      <c r="Y21" s="329">
        <f t="shared" si="13"/>
        <v>910</v>
      </c>
      <c r="Z21" s="329">
        <f t="shared" si="13"/>
        <v>1037</v>
      </c>
      <c r="AA21" s="329">
        <f t="shared" si="13"/>
        <v>1188</v>
      </c>
      <c r="AB21" s="329">
        <f t="shared" si="13"/>
        <v>1420</v>
      </c>
      <c r="AC21" s="329">
        <f t="shared" si="13"/>
        <v>1676</v>
      </c>
      <c r="AD21" s="283"/>
      <c r="AF21" s="287"/>
      <c r="AG21" s="287"/>
      <c r="AH21" s="287"/>
    </row>
    <row r="22" spans="1:34" s="31" customFormat="1">
      <c r="A22" t="s">
        <v>82</v>
      </c>
      <c r="B22" s="30"/>
      <c r="C22" s="30"/>
      <c r="D22" s="30"/>
      <c r="E22" s="30"/>
      <c r="F22" s="30"/>
      <c r="G22" s="30"/>
      <c r="H22" s="30"/>
      <c r="I22" s="30"/>
      <c r="J22" s="30"/>
      <c r="N22" s="283"/>
      <c r="O22" s="44"/>
      <c r="P22" s="44">
        <v>98</v>
      </c>
      <c r="Q22" s="283">
        <v>111</v>
      </c>
      <c r="R22" s="283">
        <v>99</v>
      </c>
      <c r="S22" s="283">
        <v>131</v>
      </c>
      <c r="T22" s="301">
        <v>214</v>
      </c>
      <c r="U22" s="330"/>
      <c r="V22" t="s">
        <v>82</v>
      </c>
      <c r="W22" s="330">
        <v>66</v>
      </c>
      <c r="X22" s="330">
        <v>135</v>
      </c>
      <c r="Y22" s="330">
        <v>133</v>
      </c>
      <c r="Z22" s="330">
        <v>168</v>
      </c>
      <c r="AA22" s="330">
        <v>245</v>
      </c>
      <c r="AB22" s="330">
        <v>269</v>
      </c>
      <c r="AC22" s="330">
        <v>171</v>
      </c>
      <c r="AD22" s="283"/>
      <c r="AF22" s="287"/>
      <c r="AG22" s="287"/>
      <c r="AH22" s="287"/>
    </row>
    <row r="23" spans="1:34" s="31" customFormat="1">
      <c r="A23" t="s">
        <v>193</v>
      </c>
      <c r="B23" s="30"/>
      <c r="C23" s="30"/>
      <c r="D23" s="30"/>
      <c r="E23" s="30"/>
      <c r="F23" s="30"/>
      <c r="G23" s="30"/>
      <c r="H23" s="30"/>
      <c r="I23" s="30"/>
      <c r="J23" s="30"/>
      <c r="N23" s="283"/>
      <c r="O23" s="283"/>
      <c r="P23" s="283">
        <v>-1</v>
      </c>
      <c r="Q23" s="31">
        <v>0</v>
      </c>
      <c r="S23" s="283">
        <v>-2</v>
      </c>
      <c r="T23" s="301">
        <v>-1</v>
      </c>
      <c r="U23" s="330"/>
      <c r="V23" t="s">
        <v>193</v>
      </c>
      <c r="W23" s="357">
        <v>-2</v>
      </c>
      <c r="X23" s="357">
        <v>-1</v>
      </c>
      <c r="Y23" s="357">
        <v>0</v>
      </c>
      <c r="Z23" s="357">
        <v>0</v>
      </c>
      <c r="AA23" s="357">
        <v>0</v>
      </c>
      <c r="AB23" s="357">
        <v>-3</v>
      </c>
      <c r="AC23" s="357">
        <v>-8</v>
      </c>
      <c r="AD23" s="283"/>
      <c r="AF23" s="287"/>
      <c r="AG23" s="287"/>
      <c r="AH23" s="287"/>
    </row>
    <row r="24" spans="1:34" s="31" customFormat="1">
      <c r="A24" t="s">
        <v>83</v>
      </c>
      <c r="B24" s="30"/>
      <c r="C24" s="30"/>
      <c r="D24" s="30"/>
      <c r="E24" s="30"/>
      <c r="F24" s="30"/>
      <c r="G24" s="30"/>
      <c r="H24" s="30"/>
      <c r="I24" s="30"/>
      <c r="J24" s="30"/>
      <c r="N24" s="283"/>
      <c r="P24" s="31">
        <v>0</v>
      </c>
      <c r="Q24" s="283">
        <v>-1</v>
      </c>
      <c r="R24" s="283"/>
      <c r="S24" s="283">
        <v>-4</v>
      </c>
      <c r="T24" s="301">
        <v>-5</v>
      </c>
      <c r="U24" s="330"/>
      <c r="V24" t="s">
        <v>83</v>
      </c>
      <c r="W24" s="357">
        <v>-3</v>
      </c>
      <c r="X24" s="357">
        <v>-10</v>
      </c>
      <c r="Y24" s="357">
        <v>-6</v>
      </c>
      <c r="Z24" s="357">
        <v>-16</v>
      </c>
      <c r="AA24" s="357">
        <v>-13</v>
      </c>
      <c r="AB24" s="357">
        <v>-10</v>
      </c>
      <c r="AC24" s="357">
        <v>-15</v>
      </c>
      <c r="AD24" s="283"/>
      <c r="AF24" s="287"/>
      <c r="AG24" s="287"/>
      <c r="AH24" s="287"/>
    </row>
    <row r="25" spans="1:34" s="31" customFormat="1">
      <c r="A25" t="s">
        <v>84</v>
      </c>
      <c r="B25" s="30"/>
      <c r="C25" s="30"/>
      <c r="D25" s="30"/>
      <c r="E25" s="30"/>
      <c r="F25" s="30"/>
      <c r="G25" s="30"/>
      <c r="H25" s="30"/>
      <c r="I25" s="30"/>
      <c r="J25" s="30"/>
      <c r="N25" s="283"/>
      <c r="Q25" s="283"/>
      <c r="R25" s="283">
        <v>-1</v>
      </c>
      <c r="S25" s="283">
        <v>0</v>
      </c>
      <c r="T25" s="301">
        <v>0</v>
      </c>
      <c r="U25" s="330"/>
      <c r="V25" t="s">
        <v>84</v>
      </c>
      <c r="W25" s="330">
        <v>0</v>
      </c>
      <c r="X25" s="330">
        <v>0</v>
      </c>
      <c r="Y25" s="330">
        <v>0</v>
      </c>
      <c r="Z25" s="330">
        <v>-1</v>
      </c>
      <c r="AA25" s="330">
        <v>0</v>
      </c>
      <c r="AB25" s="330">
        <v>0</v>
      </c>
      <c r="AC25" s="330">
        <v>1</v>
      </c>
      <c r="AD25" s="283"/>
      <c r="AF25" s="287"/>
      <c r="AG25" s="287"/>
      <c r="AH25" s="287"/>
    </row>
    <row r="26" spans="1:34" s="31" customFormat="1" ht="15.75" thickBot="1">
      <c r="A26" t="s">
        <v>81</v>
      </c>
      <c r="B26" s="30"/>
      <c r="C26" s="30"/>
      <c r="D26" s="30"/>
      <c r="E26" s="30"/>
      <c r="F26" s="30"/>
      <c r="G26" s="30"/>
      <c r="H26" s="30"/>
      <c r="I26" s="30"/>
      <c r="J26" s="30"/>
      <c r="N26" s="24">
        <f t="shared" ref="N26:T26" si="14">SUM(N21:N25)</f>
        <v>0</v>
      </c>
      <c r="O26" s="24">
        <f t="shared" si="14"/>
        <v>0</v>
      </c>
      <c r="P26" s="24">
        <f t="shared" si="14"/>
        <v>184</v>
      </c>
      <c r="Q26" s="24">
        <f t="shared" si="14"/>
        <v>294</v>
      </c>
      <c r="R26" s="24">
        <f t="shared" si="14"/>
        <v>392</v>
      </c>
      <c r="S26" s="24">
        <f t="shared" si="14"/>
        <v>517</v>
      </c>
      <c r="T26" s="24">
        <f t="shared" si="14"/>
        <v>725</v>
      </c>
      <c r="U26" s="327"/>
      <c r="V26" t="s">
        <v>81</v>
      </c>
      <c r="W26" s="24">
        <f t="shared" ref="W26:AC26" si="15">SUM(W21:W25)</f>
        <v>786</v>
      </c>
      <c r="X26" s="24">
        <f t="shared" si="15"/>
        <v>910</v>
      </c>
      <c r="Y26" s="24">
        <f t="shared" si="15"/>
        <v>1037</v>
      </c>
      <c r="Z26" s="24">
        <f t="shared" si="15"/>
        <v>1188</v>
      </c>
      <c r="AA26" s="24">
        <f t="shared" si="15"/>
        <v>1420</v>
      </c>
      <c r="AB26" s="24">
        <f t="shared" si="15"/>
        <v>1676</v>
      </c>
      <c r="AC26" s="24">
        <f t="shared" si="15"/>
        <v>1825</v>
      </c>
      <c r="AD26" s="315" t="s">
        <v>458</v>
      </c>
      <c r="AE26" s="283"/>
      <c r="AF26" s="287"/>
      <c r="AG26" s="287"/>
      <c r="AH26" s="287"/>
    </row>
    <row r="27" spans="1:34" s="31" customFormat="1">
      <c r="A27"/>
      <c r="B27" s="30"/>
      <c r="C27" s="30"/>
      <c r="D27" s="30"/>
      <c r="E27" s="30"/>
      <c r="F27" s="30"/>
      <c r="G27" s="30"/>
      <c r="H27" s="30"/>
      <c r="I27" s="30"/>
      <c r="J27" s="30"/>
      <c r="N27" s="283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F27" s="287"/>
      <c r="AG27" s="287"/>
      <c r="AH27" s="287"/>
    </row>
    <row r="28" spans="1:34" s="31" customFormat="1">
      <c r="B28" s="30"/>
      <c r="C28" s="30"/>
      <c r="D28" s="30"/>
      <c r="E28" s="30"/>
      <c r="F28" s="30"/>
      <c r="G28" s="30"/>
      <c r="H28" s="30"/>
      <c r="I28" s="30"/>
      <c r="J28" s="30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F28" s="287"/>
      <c r="AG28" s="287"/>
      <c r="AH28" s="287"/>
    </row>
    <row r="29" spans="1:34" s="281" customFormat="1">
      <c r="A29" s="281" t="s">
        <v>411</v>
      </c>
      <c r="C29" s="281" t="s">
        <v>68</v>
      </c>
      <c r="D29" s="281" t="s">
        <v>69</v>
      </c>
      <c r="E29" s="281" t="s">
        <v>66</v>
      </c>
      <c r="F29" s="281" t="s">
        <v>76</v>
      </c>
      <c r="G29" s="281" t="s">
        <v>77</v>
      </c>
      <c r="H29" s="281" t="s">
        <v>78</v>
      </c>
      <c r="I29" s="281" t="s">
        <v>79</v>
      </c>
      <c r="J29" s="281" t="s">
        <v>161</v>
      </c>
      <c r="K29" s="281" t="s">
        <v>195</v>
      </c>
      <c r="L29" s="281" t="s">
        <v>196</v>
      </c>
      <c r="M29" s="281" t="s">
        <v>197</v>
      </c>
      <c r="N29" s="281" t="s">
        <v>67</v>
      </c>
      <c r="O29" s="281" t="str">
        <f t="shared" ref="O29:T29" si="16">O20</f>
        <v>July</v>
      </c>
      <c r="P29" s="281" t="str">
        <f t="shared" si="16"/>
        <v>Aug</v>
      </c>
      <c r="Q29" s="281" t="str">
        <f t="shared" si="16"/>
        <v>Sep</v>
      </c>
      <c r="R29" s="281" t="str">
        <f t="shared" si="16"/>
        <v>Oct</v>
      </c>
      <c r="S29" s="281" t="str">
        <f t="shared" si="16"/>
        <v>Nov</v>
      </c>
      <c r="T29" s="299" t="str">
        <f t="shared" si="16"/>
        <v>Dec</v>
      </c>
      <c r="U29" s="331"/>
      <c r="V29" s="335" t="str">
        <f>V10</f>
        <v>Baht (บาท )</v>
      </c>
      <c r="W29" s="299" t="s">
        <v>365</v>
      </c>
      <c r="X29" s="335" t="str">
        <f>X2</f>
        <v>Feb'16</v>
      </c>
      <c r="Y29" s="335" t="str">
        <f>Y2</f>
        <v>Mar'16</v>
      </c>
      <c r="Z29" s="335" t="str">
        <f>Z20</f>
        <v>Apr'16</v>
      </c>
      <c r="AA29" s="335" t="str">
        <f>AA20</f>
        <v>May'16</v>
      </c>
      <c r="AB29" s="335" t="str">
        <f>AB20</f>
        <v>June'16</v>
      </c>
      <c r="AC29" s="335" t="str">
        <f>AC20</f>
        <v>July'16</v>
      </c>
      <c r="AF29" s="331"/>
      <c r="AG29" s="331"/>
      <c r="AH29" s="331"/>
    </row>
    <row r="30" spans="1:34" s="31" customFormat="1">
      <c r="A30" t="s">
        <v>80</v>
      </c>
      <c r="B30" s="30"/>
      <c r="C30" s="30"/>
      <c r="D30" s="30"/>
      <c r="E30" s="30"/>
      <c r="F30" s="30"/>
      <c r="G30" s="30"/>
      <c r="H30" s="30"/>
      <c r="I30" s="30"/>
      <c r="J30" s="30"/>
      <c r="N30" s="32"/>
      <c r="O30" s="284">
        <v>3</v>
      </c>
      <c r="P30" s="284">
        <v>3</v>
      </c>
      <c r="Q30" s="284">
        <f>P35</f>
        <v>6</v>
      </c>
      <c r="R30" s="284">
        <f>Q35</f>
        <v>9</v>
      </c>
      <c r="S30" s="289">
        <v>12.7</v>
      </c>
      <c r="T30" s="303">
        <f>S35</f>
        <v>16.999999999999996</v>
      </c>
      <c r="U30" s="329"/>
      <c r="V30" t="s">
        <v>80</v>
      </c>
      <c r="W30" s="336">
        <v>23136697.699999999</v>
      </c>
      <c r="X30" s="329">
        <f t="shared" ref="X30:AC30" si="17">W35</f>
        <v>24897408.129999999</v>
      </c>
      <c r="Y30" s="329">
        <f t="shared" si="17"/>
        <v>24481103.59</v>
      </c>
      <c r="Z30" s="329">
        <f t="shared" si="17"/>
        <v>32055606.199999999</v>
      </c>
      <c r="AA30" s="329">
        <f t="shared" si="17"/>
        <v>36644947.520000011</v>
      </c>
      <c r="AB30" s="329">
        <f t="shared" si="17"/>
        <v>43603227.539999999</v>
      </c>
      <c r="AC30" s="329">
        <f t="shared" si="17"/>
        <v>51354519</v>
      </c>
      <c r="AF30" s="287"/>
      <c r="AG30" s="287"/>
      <c r="AH30" s="287"/>
    </row>
    <row r="31" spans="1:34" s="31" customFormat="1">
      <c r="A31" t="s">
        <v>82</v>
      </c>
      <c r="B31" s="30"/>
      <c r="C31" s="30"/>
      <c r="D31" s="30"/>
      <c r="E31" s="30"/>
      <c r="F31" s="30"/>
      <c r="G31" s="30"/>
      <c r="H31" s="30"/>
      <c r="I31" s="30"/>
      <c r="J31" s="30"/>
      <c r="N31" s="44"/>
      <c r="O31" s="285">
        <v>0</v>
      </c>
      <c r="P31" s="284">
        <f>3833048.96/10^6</f>
        <v>3.8330489600000002</v>
      </c>
      <c r="Q31" s="44">
        <f>3358405.33/10^6</f>
        <v>3.3584053300000001</v>
      </c>
      <c r="R31" s="44">
        <f>4151836/10^6</f>
        <v>4.1518360000000003</v>
      </c>
      <c r="S31" s="288">
        <v>4.1518360000000003</v>
      </c>
      <c r="T31" s="297">
        <f>7100530/10^6</f>
        <v>7.10053</v>
      </c>
      <c r="U31" s="332"/>
      <c r="V31" t="s">
        <v>82</v>
      </c>
      <c r="W31" s="336">
        <f>2267441</f>
        <v>2267441</v>
      </c>
      <c r="X31" s="336">
        <f>4415650.43</f>
        <v>4415650.43</v>
      </c>
      <c r="Y31" s="336">
        <v>4346716.46</v>
      </c>
      <c r="Z31" s="336">
        <f>5755010</f>
        <v>5755010</v>
      </c>
      <c r="AA31" s="336">
        <v>8104126.9100000001</v>
      </c>
      <c r="AB31" s="336">
        <v>9100981</v>
      </c>
      <c r="AC31" s="336">
        <v>5666581</v>
      </c>
      <c r="AF31" s="287"/>
      <c r="AG31" s="287"/>
      <c r="AH31" s="287"/>
    </row>
    <row r="32" spans="1:34" s="31" customFormat="1">
      <c r="A32" t="s">
        <v>193</v>
      </c>
      <c r="B32" s="30"/>
      <c r="C32" s="30"/>
      <c r="D32" s="30"/>
      <c r="E32" s="30"/>
      <c r="F32" s="30"/>
      <c r="G32" s="30"/>
      <c r="H32" s="30"/>
      <c r="I32" s="30"/>
      <c r="J32" s="30"/>
      <c r="N32" s="44"/>
      <c r="O32" s="44">
        <v>0</v>
      </c>
      <c r="P32" s="44">
        <f>P36-P30-P31-P33-P34</f>
        <v>-0.79922954000000013</v>
      </c>
      <c r="Q32" s="44">
        <f>Q36-Q30-Q31-Q33-Q34</f>
        <v>-0.32968533000000005</v>
      </c>
      <c r="R32" s="44">
        <f>R36-R30-R31-R33-R34</f>
        <v>-4.4333000000000303E-2</v>
      </c>
      <c r="S32" s="44">
        <f>S36-S30-S31-S33-S34</f>
        <v>0.25566700000000042</v>
      </c>
      <c r="T32" s="44">
        <f>T36-T30-T31-T33-T34</f>
        <v>-0.92514811999999647</v>
      </c>
      <c r="U32" s="25"/>
      <c r="V32" t="s">
        <v>193</v>
      </c>
      <c r="W32" s="44">
        <f t="shared" ref="W32:AC32" si="18">W36-W30-W31-W33-W34</f>
        <v>-393090.84000000032</v>
      </c>
      <c r="X32" s="44">
        <f t="shared" si="18"/>
        <v>-4489612.169999999</v>
      </c>
      <c r="Y32" s="44">
        <f t="shared" si="18"/>
        <v>3428945.0299999993</v>
      </c>
      <c r="Z32" s="44">
        <f t="shared" si="18"/>
        <v>-731730.67999999598</v>
      </c>
      <c r="AA32" s="44">
        <f t="shared" si="18"/>
        <v>-685393.48000001186</v>
      </c>
      <c r="AB32" s="44">
        <f t="shared" si="18"/>
        <v>-1007263.5399999991</v>
      </c>
      <c r="AC32" s="44">
        <f t="shared" si="18"/>
        <v>-1167611</v>
      </c>
      <c r="AF32" s="287"/>
      <c r="AG32" s="287"/>
      <c r="AH32" s="287"/>
    </row>
    <row r="33" spans="1:34" s="31" customFormat="1">
      <c r="A33" t="s">
        <v>83</v>
      </c>
      <c r="B33" s="30"/>
      <c r="C33" s="30"/>
      <c r="D33" s="30"/>
      <c r="E33" s="30"/>
      <c r="F33" s="30"/>
      <c r="G33" s="30"/>
      <c r="H33" s="30"/>
      <c r="I33" s="30"/>
      <c r="J33" s="30"/>
      <c r="N33" s="44"/>
      <c r="O33" s="283">
        <v>0</v>
      </c>
      <c r="P33" s="285">
        <f>-33819.42/10^6</f>
        <v>-3.3819419999999996E-2</v>
      </c>
      <c r="Q33" s="283">
        <v>0</v>
      </c>
      <c r="R33" s="285">
        <f>-107503/10^6</f>
        <v>-0.107503</v>
      </c>
      <c r="S33" s="290">
        <v>-0.107503</v>
      </c>
      <c r="T33" s="304">
        <f>-(295793.32-120411.44)/10^6</f>
        <v>-0.17538188000000002</v>
      </c>
      <c r="U33" s="333"/>
      <c r="V33" t="s">
        <v>83</v>
      </c>
      <c r="W33" s="336">
        <f>-(195373.86-81734.13)</f>
        <v>-113639.72999999998</v>
      </c>
      <c r="X33" s="336">
        <f>-(563868.99-221526.19-0)</f>
        <v>-342342.8</v>
      </c>
      <c r="Y33" s="336">
        <f>-(339498.8-138339.92)</f>
        <v>-201158.87999999998</v>
      </c>
      <c r="Z33" s="336">
        <v>-462047</v>
      </c>
      <c r="AA33" s="336">
        <v>-460453.41</v>
      </c>
      <c r="AB33" s="44">
        <v>-342426</v>
      </c>
      <c r="AC33" s="44">
        <v>-497367</v>
      </c>
      <c r="AF33" s="287"/>
      <c r="AG33" s="287"/>
      <c r="AH33" s="287"/>
    </row>
    <row r="34" spans="1:34" s="31" customFormat="1">
      <c r="A34" t="s">
        <v>84</v>
      </c>
      <c r="B34" s="30"/>
      <c r="C34" s="30"/>
      <c r="D34" s="30"/>
      <c r="E34" s="30"/>
      <c r="F34" s="30"/>
      <c r="G34" s="30"/>
      <c r="H34" s="30"/>
      <c r="I34" s="30"/>
      <c r="J34" s="30"/>
      <c r="N34" s="44"/>
      <c r="O34" s="283">
        <v>0</v>
      </c>
      <c r="P34" s="283">
        <v>0</v>
      </c>
      <c r="Q34" s="285">
        <f>-28720/10^6</f>
        <v>-2.8719999999999999E-2</v>
      </c>
      <c r="R34" s="285">
        <v>0</v>
      </c>
      <c r="S34" s="290">
        <v>0</v>
      </c>
      <c r="T34" s="304">
        <v>0</v>
      </c>
      <c r="U34" s="333"/>
      <c r="V34" t="s">
        <v>84</v>
      </c>
      <c r="W34" s="330">
        <v>0</v>
      </c>
      <c r="X34" s="330">
        <v>0</v>
      </c>
      <c r="Y34" s="330">
        <v>0</v>
      </c>
      <c r="Z34" s="336">
        <f>28109</f>
        <v>28109</v>
      </c>
      <c r="AA34" s="336">
        <v>0</v>
      </c>
      <c r="AB34" s="336">
        <v>0</v>
      </c>
      <c r="AC34" s="336">
        <v>-17211</v>
      </c>
      <c r="AF34" s="287"/>
      <c r="AG34" s="287"/>
      <c r="AH34" s="287"/>
    </row>
    <row r="35" spans="1:34" s="31" customFormat="1" ht="15.75" thickBot="1">
      <c r="A35" t="s">
        <v>81</v>
      </c>
      <c r="B35" s="30"/>
      <c r="C35" s="30"/>
      <c r="D35" s="30"/>
      <c r="E35" s="30"/>
      <c r="F35" s="30"/>
      <c r="G35" s="30"/>
      <c r="H35" s="30"/>
      <c r="I35" s="30"/>
      <c r="J35" s="30"/>
      <c r="N35" s="24"/>
      <c r="O35" s="24">
        <v>3</v>
      </c>
      <c r="P35" s="24">
        <f>SUM(P30:P34)</f>
        <v>6</v>
      </c>
      <c r="Q35" s="24">
        <f>SUM(Q30:Q34)</f>
        <v>9</v>
      </c>
      <c r="R35" s="24">
        <f>SUM(R30:R34)</f>
        <v>13</v>
      </c>
      <c r="S35" s="24">
        <f>SUM(S30:S34)</f>
        <v>16.999999999999996</v>
      </c>
      <c r="T35" s="24">
        <f>SUM(T30:T34)</f>
        <v>23</v>
      </c>
      <c r="U35" s="327"/>
      <c r="V35" t="s">
        <v>81</v>
      </c>
      <c r="W35" s="24">
        <f t="shared" ref="W35:AC35" si="19">SUM(W30:W34)</f>
        <v>24897408.129999999</v>
      </c>
      <c r="X35" s="24">
        <f t="shared" si="19"/>
        <v>24481103.59</v>
      </c>
      <c r="Y35" s="24">
        <f t="shared" si="19"/>
        <v>32055606.199999999</v>
      </c>
      <c r="Z35" s="24">
        <f t="shared" si="19"/>
        <v>36644947.520000011</v>
      </c>
      <c r="AA35" s="24">
        <f t="shared" si="19"/>
        <v>43603227.539999999</v>
      </c>
      <c r="AB35" s="24">
        <f t="shared" si="19"/>
        <v>51354519</v>
      </c>
      <c r="AC35" s="24">
        <f t="shared" si="19"/>
        <v>55338911</v>
      </c>
      <c r="AD35" s="316" t="s">
        <v>459</v>
      </c>
      <c r="AF35" s="287"/>
      <c r="AG35" s="287"/>
      <c r="AH35" s="287"/>
    </row>
    <row r="36" spans="1:34">
      <c r="O36" s="31">
        <v>3</v>
      </c>
      <c r="P36" s="31">
        <v>6</v>
      </c>
      <c r="Q36" s="31">
        <v>9</v>
      </c>
      <c r="R36" s="31">
        <v>13</v>
      </c>
      <c r="S36" s="31">
        <v>17</v>
      </c>
      <c r="T36" s="31">
        <v>23</v>
      </c>
      <c r="U36" s="287"/>
      <c r="W36" s="31">
        <v>24897408.129999999</v>
      </c>
      <c r="X36" s="31">
        <v>24481103.59</v>
      </c>
      <c r="Y36" s="31">
        <v>32055606.199999999</v>
      </c>
      <c r="Z36" s="31">
        <v>36644947.520000003</v>
      </c>
      <c r="AA36" s="31">
        <v>43603227.539999999</v>
      </c>
      <c r="AB36" s="31">
        <v>51354519</v>
      </c>
      <c r="AC36" s="31">
        <v>55338911</v>
      </c>
      <c r="AD36" s="31"/>
      <c r="AE36" s="31"/>
    </row>
    <row r="39" spans="1:34">
      <c r="A39" s="35" t="s">
        <v>419</v>
      </c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3"/>
      <c r="V39" s="35" t="s">
        <v>203</v>
      </c>
    </row>
    <row r="40" spans="1:34">
      <c r="A40" s="37" t="s">
        <v>410</v>
      </c>
      <c r="B40" s="37"/>
      <c r="C40" s="38" t="s">
        <v>67</v>
      </c>
      <c r="D40" s="38" t="s">
        <v>68</v>
      </c>
      <c r="E40" s="38" t="s">
        <v>69</v>
      </c>
      <c r="F40" s="38" t="s">
        <v>66</v>
      </c>
      <c r="G40" s="38" t="s">
        <v>76</v>
      </c>
      <c r="H40" s="38" t="s">
        <v>77</v>
      </c>
      <c r="I40" s="38" t="s">
        <v>78</v>
      </c>
      <c r="J40" s="38" t="s">
        <v>79</v>
      </c>
      <c r="K40" s="38" t="s">
        <v>161</v>
      </c>
      <c r="L40" s="38" t="s">
        <v>195</v>
      </c>
      <c r="M40" s="38" t="s">
        <v>196</v>
      </c>
      <c r="N40" s="38" t="s">
        <v>197</v>
      </c>
      <c r="O40" s="38" t="s">
        <v>67</v>
      </c>
      <c r="P40" s="38" t="str">
        <f>P2</f>
        <v>Aug</v>
      </c>
      <c r="Q40" s="38" t="s">
        <v>1</v>
      </c>
      <c r="R40" s="38" t="s">
        <v>0</v>
      </c>
      <c r="S40" s="38" t="s">
        <v>74</v>
      </c>
      <c r="T40" s="38" t="s">
        <v>75</v>
      </c>
      <c r="U40" s="326"/>
      <c r="V40" s="37" t="str">
        <f>A40</f>
        <v>Unit ( จำนวนคัน )</v>
      </c>
      <c r="W40" s="38" t="s">
        <v>365</v>
      </c>
      <c r="X40" s="38" t="str">
        <f>X2</f>
        <v>Feb'16</v>
      </c>
      <c r="Y40" s="38" t="str">
        <f>Y2</f>
        <v>Mar'16</v>
      </c>
      <c r="Z40" s="38" t="str">
        <f>Z29</f>
        <v>Apr'16</v>
      </c>
      <c r="AA40" s="38" t="str">
        <f>AA29</f>
        <v>May'16</v>
      </c>
      <c r="AB40" s="38" t="str">
        <f>AB29</f>
        <v>June'16</v>
      </c>
      <c r="AC40" s="38" t="str">
        <f>AC29</f>
        <v>July'16</v>
      </c>
    </row>
    <row r="41" spans="1:34">
      <c r="A41" t="s">
        <v>80</v>
      </c>
      <c r="C41" s="23"/>
      <c r="D41" s="23"/>
      <c r="E41" s="23"/>
      <c r="F41" s="23"/>
      <c r="G41" s="23"/>
      <c r="H41" s="23"/>
      <c r="I41" s="23"/>
      <c r="J41" s="23"/>
      <c r="K41" s="23"/>
      <c r="L41" s="32"/>
      <c r="M41" s="32">
        <f>L46</f>
        <v>0</v>
      </c>
      <c r="N41" s="32">
        <f>M46</f>
        <v>793</v>
      </c>
      <c r="O41" s="32">
        <v>1641</v>
      </c>
      <c r="P41" s="32">
        <f>O46</f>
        <v>2694</v>
      </c>
      <c r="Q41" s="32">
        <f>P46</f>
        <v>3794</v>
      </c>
      <c r="R41" s="32">
        <f>Q46</f>
        <v>4922</v>
      </c>
      <c r="S41" s="292">
        <v>6061</v>
      </c>
      <c r="T41" s="32">
        <f>S46</f>
        <v>7189</v>
      </c>
      <c r="U41" s="286"/>
      <c r="V41" t="s">
        <v>80</v>
      </c>
      <c r="W41" s="298">
        <f>T46</f>
        <v>8401</v>
      </c>
      <c r="X41" s="298">
        <f t="shared" ref="X41:AC41" si="20">W46</f>
        <v>9256</v>
      </c>
      <c r="Y41" s="298">
        <f t="shared" si="20"/>
        <v>10252</v>
      </c>
      <c r="Z41" s="298">
        <f t="shared" si="20"/>
        <v>11553</v>
      </c>
      <c r="AA41" s="298">
        <f t="shared" si="20"/>
        <v>12567</v>
      </c>
      <c r="AB41" s="298">
        <f t="shared" si="20"/>
        <v>13538</v>
      </c>
      <c r="AC41" s="298">
        <f t="shared" si="20"/>
        <v>14277</v>
      </c>
    </row>
    <row r="42" spans="1:34">
      <c r="A42" t="s">
        <v>82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>
        <v>793</v>
      </c>
      <c r="N42" s="23">
        <v>851</v>
      </c>
      <c r="O42" s="44">
        <v>1060</v>
      </c>
      <c r="P42" s="44">
        <v>1109</v>
      </c>
      <c r="Q42" s="44">
        <v>1136</v>
      </c>
      <c r="R42" s="23">
        <v>1159</v>
      </c>
      <c r="S42" s="291">
        <v>1160</v>
      </c>
      <c r="T42" s="23">
        <v>1260</v>
      </c>
      <c r="U42" s="25"/>
      <c r="V42" t="s">
        <v>82</v>
      </c>
      <c r="W42">
        <v>918</v>
      </c>
      <c r="X42" s="25">
        <v>1074</v>
      </c>
      <c r="Y42" s="25">
        <v>1472</v>
      </c>
      <c r="Z42" s="25">
        <f>1265-12</f>
        <v>1253</v>
      </c>
      <c r="AA42" s="25">
        <v>1341</v>
      </c>
      <c r="AB42" s="25">
        <v>1264</v>
      </c>
      <c r="AC42" s="25">
        <v>1313</v>
      </c>
    </row>
    <row r="43" spans="1:34">
      <c r="A43" t="s">
        <v>85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>
        <v>-3</v>
      </c>
      <c r="O43" s="44">
        <v>-7</v>
      </c>
      <c r="P43" s="44">
        <v>-7</v>
      </c>
      <c r="Q43" s="44">
        <v>-7</v>
      </c>
      <c r="R43" s="23">
        <v>-14</v>
      </c>
      <c r="S43" s="291">
        <v>-25</v>
      </c>
      <c r="T43" s="23">
        <v>-40</v>
      </c>
      <c r="U43" s="25"/>
      <c r="V43" t="s">
        <v>85</v>
      </c>
      <c r="W43" s="44">
        <v>-49</v>
      </c>
      <c r="X43" s="25">
        <f>X47-X41-X42-X44-X45</f>
        <v>-65</v>
      </c>
      <c r="Y43" s="25">
        <f>Y47-Y41-Y42-Y44-Y45</f>
        <v>-151</v>
      </c>
      <c r="Z43" s="25">
        <v>-212</v>
      </c>
      <c r="AA43" s="25">
        <v>-349</v>
      </c>
      <c r="AB43" s="25">
        <v>-490</v>
      </c>
      <c r="AC43" s="25">
        <v>-585</v>
      </c>
    </row>
    <row r="44" spans="1:34">
      <c r="A44" t="s">
        <v>83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>
        <v>0</v>
      </c>
      <c r="O44" s="44">
        <v>0</v>
      </c>
      <c r="P44" s="44">
        <v>-2</v>
      </c>
      <c r="Q44" s="44">
        <v>-1</v>
      </c>
      <c r="R44" s="23">
        <v>-6</v>
      </c>
      <c r="S44" s="291">
        <v>-7</v>
      </c>
      <c r="T44" s="23">
        <v>-8</v>
      </c>
      <c r="U44" s="25"/>
      <c r="V44" t="s">
        <v>83</v>
      </c>
      <c r="W44" s="44">
        <v>-14</v>
      </c>
      <c r="X44" s="44">
        <v>-13</v>
      </c>
      <c r="Y44" s="44">
        <v>-20</v>
      </c>
      <c r="Z44" s="44">
        <v>-27</v>
      </c>
      <c r="AA44" s="44">
        <v>-21</v>
      </c>
      <c r="AB44" s="44">
        <v>-31</v>
      </c>
      <c r="AC44" s="44">
        <v>-23</v>
      </c>
    </row>
    <row r="45" spans="1:34">
      <c r="A45" t="s">
        <v>84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>
        <v>0</v>
      </c>
      <c r="O45" s="44">
        <v>0</v>
      </c>
      <c r="P45" s="44">
        <v>0</v>
      </c>
      <c r="Q45" s="44">
        <v>0</v>
      </c>
      <c r="R45" s="23">
        <v>0</v>
      </c>
      <c r="S45" s="291">
        <v>0</v>
      </c>
      <c r="T45" s="23">
        <v>0</v>
      </c>
      <c r="U45" s="25"/>
      <c r="V45" t="s">
        <v>84</v>
      </c>
      <c r="W45">
        <v>0</v>
      </c>
      <c r="X45">
        <v>0</v>
      </c>
      <c r="Y45">
        <v>0</v>
      </c>
      <c r="Z45">
        <v>0</v>
      </c>
      <c r="AA45" s="44">
        <v>0</v>
      </c>
      <c r="AB45" s="44">
        <v>-4</v>
      </c>
      <c r="AC45" s="44">
        <v>-2</v>
      </c>
    </row>
    <row r="46" spans="1:34" ht="15.75" thickBot="1">
      <c r="A46" t="s">
        <v>81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>
        <f t="shared" ref="M46:T46" si="21">SUM(M41:M45)</f>
        <v>793</v>
      </c>
      <c r="N46" s="24">
        <f t="shared" si="21"/>
        <v>1641</v>
      </c>
      <c r="O46" s="24">
        <f t="shared" si="21"/>
        <v>2694</v>
      </c>
      <c r="P46" s="24">
        <f t="shared" si="21"/>
        <v>3794</v>
      </c>
      <c r="Q46" s="24">
        <f t="shared" si="21"/>
        <v>4922</v>
      </c>
      <c r="R46" s="24">
        <f t="shared" si="21"/>
        <v>6061</v>
      </c>
      <c r="S46" s="24">
        <f t="shared" si="21"/>
        <v>7189</v>
      </c>
      <c r="T46" s="24">
        <f t="shared" si="21"/>
        <v>8401</v>
      </c>
      <c r="U46" s="327"/>
      <c r="V46" t="s">
        <v>81</v>
      </c>
      <c r="W46" s="24">
        <f t="shared" ref="W46:AA46" si="22">SUM(W41:W45)</f>
        <v>9256</v>
      </c>
      <c r="X46" s="24">
        <f t="shared" si="22"/>
        <v>10252</v>
      </c>
      <c r="Y46" s="24">
        <f t="shared" si="22"/>
        <v>11553</v>
      </c>
      <c r="Z46" s="24">
        <f t="shared" si="22"/>
        <v>12567</v>
      </c>
      <c r="AA46" s="24">
        <f t="shared" si="22"/>
        <v>13538</v>
      </c>
      <c r="AB46" s="24">
        <f>SUM(AB41:AB45)</f>
        <v>14277</v>
      </c>
      <c r="AC46" s="24">
        <f>SUM(AC41:AC45)</f>
        <v>14980</v>
      </c>
      <c r="AD46" s="411" t="s">
        <v>460</v>
      </c>
    </row>
    <row r="47" spans="1:34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27"/>
      <c r="X47" s="328">
        <v>10252</v>
      </c>
      <c r="Y47" s="328">
        <v>11553</v>
      </c>
      <c r="Z47" s="328"/>
      <c r="AA47" s="328"/>
      <c r="AB47" s="328"/>
      <c r="AC47" s="328"/>
    </row>
    <row r="48" spans="1:34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27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31">
      <c r="A50" s="37" t="s">
        <v>411</v>
      </c>
      <c r="B50" s="37"/>
      <c r="C50" s="38" t="s">
        <v>67</v>
      </c>
      <c r="D50" s="38" t="s">
        <v>68</v>
      </c>
      <c r="E50" s="38" t="s">
        <v>69</v>
      </c>
      <c r="F50" s="38" t="s">
        <v>66</v>
      </c>
      <c r="G50" s="38" t="s">
        <v>76</v>
      </c>
      <c r="H50" s="38" t="s">
        <v>77</v>
      </c>
      <c r="I50" s="38" t="s">
        <v>78</v>
      </c>
      <c r="J50" s="38" t="s">
        <v>79</v>
      </c>
      <c r="K50" s="38" t="s">
        <v>161</v>
      </c>
      <c r="L50" s="38" t="s">
        <v>195</v>
      </c>
      <c r="M50" s="38" t="s">
        <v>196</v>
      </c>
      <c r="N50" s="38" t="s">
        <v>197</v>
      </c>
      <c r="O50" s="38" t="s">
        <v>67</v>
      </c>
      <c r="P50" s="38" t="str">
        <f>P40</f>
        <v>Aug</v>
      </c>
      <c r="Q50" s="38" t="str">
        <f>Q40</f>
        <v>Sep</v>
      </c>
      <c r="R50" s="38" t="s">
        <v>0</v>
      </c>
      <c r="S50" s="38" t="s">
        <v>74</v>
      </c>
      <c r="T50" s="38" t="s">
        <v>75</v>
      </c>
      <c r="U50" s="326"/>
      <c r="V50" s="370" t="s">
        <v>413</v>
      </c>
      <c r="W50" s="38" t="s">
        <v>365</v>
      </c>
      <c r="X50" s="38" t="str">
        <f t="shared" ref="X50:AC50" si="23">X40</f>
        <v>Feb'16</v>
      </c>
      <c r="Y50" s="38" t="str">
        <f t="shared" si="23"/>
        <v>Mar'16</v>
      </c>
      <c r="Z50" s="38" t="str">
        <f t="shared" si="23"/>
        <v>Apr'16</v>
      </c>
      <c r="AA50" s="38" t="str">
        <f t="shared" si="23"/>
        <v>May'16</v>
      </c>
      <c r="AB50" s="38" t="str">
        <f t="shared" si="23"/>
        <v>June'16</v>
      </c>
      <c r="AC50" s="38" t="str">
        <f t="shared" si="23"/>
        <v>July'16</v>
      </c>
    </row>
    <row r="51" spans="1:31">
      <c r="A51" t="s">
        <v>80</v>
      </c>
      <c r="C51" s="23"/>
      <c r="D51" s="23"/>
      <c r="E51" s="23"/>
      <c r="F51" s="23"/>
      <c r="G51" s="23"/>
      <c r="H51" s="23"/>
      <c r="I51" s="23"/>
      <c r="J51" s="23"/>
      <c r="K51" s="23"/>
      <c r="L51" s="32"/>
      <c r="M51" s="32">
        <f>L56</f>
        <v>0</v>
      </c>
      <c r="N51" s="32">
        <f>M56</f>
        <v>15.99648942</v>
      </c>
      <c r="O51" s="32">
        <v>33</v>
      </c>
      <c r="P51" s="32">
        <f>O56</f>
        <v>53</v>
      </c>
      <c r="Q51" s="32">
        <f>P56</f>
        <v>70.999999999999986</v>
      </c>
      <c r="R51" s="32">
        <f>Q56</f>
        <v>92.999999999999986</v>
      </c>
      <c r="S51" s="294">
        <v>111</v>
      </c>
      <c r="T51" s="32">
        <f>S56</f>
        <v>127.00000000000001</v>
      </c>
      <c r="U51" s="286"/>
      <c r="V51" t="s">
        <v>80</v>
      </c>
      <c r="W51" s="338">
        <v>144378634</v>
      </c>
      <c r="X51" s="298">
        <f t="shared" ref="X51:AC51" si="24">W56</f>
        <v>153913812.90000001</v>
      </c>
      <c r="Y51" s="298">
        <f t="shared" si="24"/>
        <v>166715040</v>
      </c>
      <c r="Z51" s="298">
        <f t="shared" si="24"/>
        <v>182520479.84</v>
      </c>
      <c r="AA51" s="298">
        <f t="shared" si="24"/>
        <v>194037405</v>
      </c>
      <c r="AB51" s="298">
        <f t="shared" si="24"/>
        <v>206647879.63999999</v>
      </c>
      <c r="AC51" s="298">
        <f t="shared" si="24"/>
        <v>215599555</v>
      </c>
    </row>
    <row r="52" spans="1:31">
      <c r="A52" t="s">
        <v>82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>
        <f>15996489.42/10^6</f>
        <v>15.99648942</v>
      </c>
      <c r="N52" s="23">
        <f>17048414.31/10^6</f>
        <v>17.048414309999998</v>
      </c>
      <c r="O52" s="44">
        <v>21.84802032</v>
      </c>
      <c r="P52" s="44">
        <f>22822286/10^6</f>
        <v>22.822285999999998</v>
      </c>
      <c r="Q52" s="44">
        <f>22156967/10^6</f>
        <v>22.156967000000002</v>
      </c>
      <c r="R52" s="23">
        <f>22199594.99/1000000</f>
        <v>22.199594989999998</v>
      </c>
      <c r="S52" s="293">
        <v>22.172457999999999</v>
      </c>
      <c r="T52" s="23">
        <f>24720015/10^6</f>
        <v>24.720015</v>
      </c>
      <c r="U52" s="25"/>
      <c r="V52" t="s">
        <v>82</v>
      </c>
      <c r="W52" s="311">
        <v>18038856.43</v>
      </c>
      <c r="X52" s="311">
        <f>22015518.55</f>
        <v>22015518.550000001</v>
      </c>
      <c r="Y52" s="311">
        <f>29585797</f>
        <v>29585797</v>
      </c>
      <c r="Z52" s="311">
        <f>24845640</f>
        <v>24845640</v>
      </c>
      <c r="AA52" s="311">
        <v>27322359.800000001</v>
      </c>
      <c r="AB52" s="311">
        <v>25832406</v>
      </c>
      <c r="AC52" s="311">
        <v>27114182</v>
      </c>
    </row>
    <row r="53" spans="1:31">
      <c r="A53" t="s">
        <v>193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>
        <f>N57-N51-N52-N54-N55</f>
        <v>-4.4903729999997921E-2</v>
      </c>
      <c r="O53" s="44">
        <v>-1.8480203199999998</v>
      </c>
      <c r="P53" s="44">
        <f>P57-P51-P52-P54-P55</f>
        <v>-4.7700439999999986</v>
      </c>
      <c r="Q53" s="44">
        <f>Q57-Q51-Q52-Q54-Q55</f>
        <v>-0.14160899999998741</v>
      </c>
      <c r="R53" s="44">
        <f>R57-R51-R52-R54-R55</f>
        <v>-4.084944319999984</v>
      </c>
      <c r="S53" s="293">
        <v>-6.035404999999999</v>
      </c>
      <c r="T53" s="44">
        <f>T57-T51-T52-T54-T55</f>
        <v>-7.5560274500000144</v>
      </c>
      <c r="U53" s="25"/>
      <c r="V53" t="s">
        <v>193</v>
      </c>
      <c r="W53" s="338">
        <f t="shared" ref="W53:AC53" si="25">W57-W51-W52-W54-W55</f>
        <v>-8237916.8399999933</v>
      </c>
      <c r="X53" s="338">
        <f t="shared" si="25"/>
        <v>-8962081.0900000073</v>
      </c>
      <c r="Y53" s="338">
        <f t="shared" si="25"/>
        <v>-13418610.109999996</v>
      </c>
      <c r="Z53" s="338">
        <f t="shared" si="25"/>
        <v>-12815357.840000004</v>
      </c>
      <c r="AA53" s="338">
        <f t="shared" si="25"/>
        <v>-14371343.160000015</v>
      </c>
      <c r="AB53" s="338">
        <f t="shared" si="25"/>
        <v>-16262292.639999986</v>
      </c>
      <c r="AC53" s="338">
        <f t="shared" si="25"/>
        <v>-17694505</v>
      </c>
    </row>
    <row r="54" spans="1:31">
      <c r="A54" t="s">
        <v>83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4"/>
      <c r="N54" s="23">
        <v>0</v>
      </c>
      <c r="O54" s="44">
        <v>0</v>
      </c>
      <c r="P54" s="44">
        <f>-52242/10^6</f>
        <v>-5.2241999999999997E-2</v>
      </c>
      <c r="Q54" s="245">
        <f>-15358/10^6</f>
        <v>-1.5358E-2</v>
      </c>
      <c r="R54" s="245">
        <f>-114650.67/1000000</f>
        <v>-0.11465067</v>
      </c>
      <c r="S54" s="293">
        <v>-0.13705300000000001</v>
      </c>
      <c r="T54" s="23">
        <f>-(231820-67832.45)/10^6</f>
        <v>-0.16398754999999998</v>
      </c>
      <c r="U54" s="25"/>
      <c r="V54" t="s">
        <v>83</v>
      </c>
      <c r="W54" s="311">
        <f>-(367289-101528.31)</f>
        <v>-265760.69</v>
      </c>
      <c r="X54" s="338">
        <f>-(362903-110692.64)</f>
        <v>-252210.36</v>
      </c>
      <c r="Y54" s="338">
        <f>-(488791-127043.95)</f>
        <v>-361747.05</v>
      </c>
      <c r="Z54" s="338">
        <v>-513357</v>
      </c>
      <c r="AA54" s="338">
        <v>-340542</v>
      </c>
      <c r="AB54" s="338">
        <v>-550393</v>
      </c>
      <c r="AC54" s="338">
        <v>-403649</v>
      </c>
    </row>
    <row r="55" spans="1:31">
      <c r="A55" t="s">
        <v>84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4"/>
      <c r="N55" s="23">
        <v>0</v>
      </c>
      <c r="O55" s="44">
        <v>0</v>
      </c>
      <c r="P55" s="44">
        <v>0</v>
      </c>
      <c r="Q55" s="44">
        <v>0</v>
      </c>
      <c r="R55" s="23">
        <v>0</v>
      </c>
      <c r="S55" s="293">
        <v>0</v>
      </c>
      <c r="T55" s="23">
        <v>0</v>
      </c>
      <c r="U55" s="25"/>
      <c r="V55" t="s">
        <v>84</v>
      </c>
      <c r="W55">
        <v>0</v>
      </c>
      <c r="X55">
        <v>0</v>
      </c>
      <c r="Y55">
        <v>0</v>
      </c>
      <c r="AA55">
        <v>0</v>
      </c>
      <c r="AB55" s="338">
        <v>-68045</v>
      </c>
      <c r="AC55" s="338">
        <v>-27264</v>
      </c>
    </row>
    <row r="56" spans="1:31" ht="15.75" thickBot="1">
      <c r="A56" t="s">
        <v>81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>
        <f>SUM(M51:M55)</f>
        <v>15.99648942</v>
      </c>
      <c r="N56" s="24">
        <f>SUM(N51:N55)</f>
        <v>33</v>
      </c>
      <c r="O56" s="24">
        <v>53</v>
      </c>
      <c r="P56" s="24">
        <f>SUM(P51:P55)</f>
        <v>70.999999999999986</v>
      </c>
      <c r="Q56" s="24">
        <f>SUM(Q51:Q55)</f>
        <v>92.999999999999986</v>
      </c>
      <c r="R56" s="24">
        <f>SUM(R51:R55)</f>
        <v>111</v>
      </c>
      <c r="S56" s="24">
        <f>SUM(S51:S55)</f>
        <v>127.00000000000001</v>
      </c>
      <c r="T56" s="24">
        <f>SUM(T51:T55)</f>
        <v>144</v>
      </c>
      <c r="U56" s="327"/>
      <c r="V56" t="s">
        <v>81</v>
      </c>
      <c r="W56" s="24">
        <f t="shared" ref="W56:AC56" si="26">SUM(W51:W55)</f>
        <v>153913812.90000001</v>
      </c>
      <c r="X56" s="24">
        <f t="shared" si="26"/>
        <v>166715040</v>
      </c>
      <c r="Y56" s="24">
        <f t="shared" si="26"/>
        <v>182520479.84</v>
      </c>
      <c r="Z56" s="24">
        <f t="shared" si="26"/>
        <v>194037405</v>
      </c>
      <c r="AA56" s="24">
        <f t="shared" si="26"/>
        <v>206647879.63999999</v>
      </c>
      <c r="AB56" s="24">
        <f t="shared" si="26"/>
        <v>215599555</v>
      </c>
      <c r="AC56" s="24">
        <f t="shared" si="26"/>
        <v>224588319</v>
      </c>
      <c r="AD56" s="412" t="s">
        <v>490</v>
      </c>
      <c r="AE56" s="287">
        <v>144</v>
      </c>
    </row>
    <row r="57" spans="1:31" s="31" customFormat="1">
      <c r="C57" s="30">
        <f>55472436.0250002/1000000</f>
        <v>55.472436025000199</v>
      </c>
      <c r="D57" s="30">
        <f>55196550.7049998/1000000</f>
        <v>55.196550704999794</v>
      </c>
      <c r="E57" s="30">
        <f>59350170.3850001/1000000</f>
        <v>59.350170385000105</v>
      </c>
      <c r="F57" s="30">
        <f>70186750.0349999/1000000</f>
        <v>70.186750034999903</v>
      </c>
      <c r="G57" s="30">
        <f>73151829.4650003/1000000</f>
        <v>73.151829465000304</v>
      </c>
      <c r="H57" s="30">
        <f>81207050.8220002/1000000</f>
        <v>81.207050822000213</v>
      </c>
      <c r="I57" s="30">
        <f>86356481.8520004/1000000</f>
        <v>86.3564818520004</v>
      </c>
      <c r="J57" s="30">
        <f>89256862.7209999/1000000</f>
        <v>89.256862720999891</v>
      </c>
      <c r="K57" s="30">
        <f>94383608.3280002/1000000</f>
        <v>94.383608328000207</v>
      </c>
      <c r="L57" s="31">
        <f>98138738.51/10^6</f>
        <v>98.13873851000001</v>
      </c>
      <c r="M57" s="31">
        <v>16</v>
      </c>
      <c r="N57" s="31">
        <v>33</v>
      </c>
      <c r="P57" s="31">
        <v>71</v>
      </c>
      <c r="Q57" s="31">
        <v>93</v>
      </c>
      <c r="R57" s="244">
        <v>111</v>
      </c>
      <c r="T57" s="31">
        <v>144</v>
      </c>
      <c r="U57" s="287"/>
      <c r="W57" s="31">
        <v>153913812.90000001</v>
      </c>
      <c r="X57" s="31">
        <v>166715040</v>
      </c>
      <c r="Y57" s="31">
        <v>182520479.84</v>
      </c>
      <c r="Z57" s="31">
        <v>194037405</v>
      </c>
      <c r="AA57" s="31">
        <v>206647879.63999999</v>
      </c>
      <c r="AB57" s="31">
        <v>215599555</v>
      </c>
      <c r="AC57" s="31">
        <v>224588319</v>
      </c>
      <c r="AD57"/>
      <c r="AE57"/>
    </row>
    <row r="58" spans="1:31">
      <c r="N58" s="43"/>
      <c r="O58" s="43"/>
      <c r="P58" s="43"/>
      <c r="Q58" s="43"/>
    </row>
    <row r="59" spans="1:31">
      <c r="A59" s="376" t="s">
        <v>420</v>
      </c>
      <c r="B59" s="376"/>
      <c r="C59" s="377"/>
      <c r="D59" s="377"/>
      <c r="E59" s="377"/>
      <c r="F59" s="377"/>
      <c r="G59" s="377"/>
      <c r="H59" s="377"/>
      <c r="I59" s="377"/>
      <c r="J59" s="377"/>
      <c r="K59" s="377"/>
      <c r="L59" s="377"/>
      <c r="M59" s="377"/>
      <c r="N59" s="377"/>
      <c r="O59" s="377"/>
      <c r="P59" s="377"/>
      <c r="Q59" s="377"/>
      <c r="R59" s="377"/>
      <c r="S59" s="377"/>
      <c r="T59" s="377"/>
      <c r="U59" s="43"/>
      <c r="V59" s="376" t="s">
        <v>203</v>
      </c>
    </row>
    <row r="60" spans="1:31">
      <c r="A60" s="378" t="s">
        <v>410</v>
      </c>
      <c r="B60" s="378"/>
      <c r="C60" s="379" t="s">
        <v>67</v>
      </c>
      <c r="D60" s="379" t="s">
        <v>68</v>
      </c>
      <c r="E60" s="379" t="s">
        <v>69</v>
      </c>
      <c r="F60" s="379" t="s">
        <v>66</v>
      </c>
      <c r="G60" s="379" t="s">
        <v>76</v>
      </c>
      <c r="H60" s="379" t="s">
        <v>77</v>
      </c>
      <c r="I60" s="379" t="s">
        <v>78</v>
      </c>
      <c r="J60" s="379" t="s">
        <v>79</v>
      </c>
      <c r="K60" s="379" t="s">
        <v>161</v>
      </c>
      <c r="L60" s="379" t="s">
        <v>195</v>
      </c>
      <c r="M60" s="379" t="s">
        <v>196</v>
      </c>
      <c r="N60" s="379" t="s">
        <v>197</v>
      </c>
      <c r="O60" s="379" t="s">
        <v>67</v>
      </c>
      <c r="P60" s="379">
        <f>P22</f>
        <v>98</v>
      </c>
      <c r="Q60" s="379" t="s">
        <v>1</v>
      </c>
      <c r="R60" s="379" t="s">
        <v>0</v>
      </c>
      <c r="S60" s="379" t="s">
        <v>74</v>
      </c>
      <c r="T60" s="379" t="s">
        <v>75</v>
      </c>
      <c r="U60" s="326"/>
      <c r="V60" s="378" t="str">
        <f>A60</f>
        <v>Unit ( จำนวนคัน )</v>
      </c>
      <c r="W60" s="379" t="s">
        <v>365</v>
      </c>
      <c r="X60" s="379" t="str">
        <f t="shared" ref="X60:AC60" si="27">X50</f>
        <v>Feb'16</v>
      </c>
      <c r="Y60" s="379" t="str">
        <f t="shared" si="27"/>
        <v>Mar'16</v>
      </c>
      <c r="Z60" s="379" t="str">
        <f t="shared" si="27"/>
        <v>Apr'16</v>
      </c>
      <c r="AA60" s="379" t="str">
        <f t="shared" si="27"/>
        <v>May'16</v>
      </c>
      <c r="AB60" s="379" t="str">
        <f t="shared" si="27"/>
        <v>June'16</v>
      </c>
      <c r="AC60" s="379" t="str">
        <f t="shared" si="27"/>
        <v>July'16</v>
      </c>
    </row>
    <row r="61" spans="1:31">
      <c r="A61" t="s">
        <v>80</v>
      </c>
      <c r="C61" s="44"/>
      <c r="D61" s="44"/>
      <c r="E61" s="44"/>
      <c r="F61" s="44"/>
      <c r="G61" s="44"/>
      <c r="H61" s="44"/>
      <c r="I61" s="44"/>
      <c r="J61" s="44"/>
      <c r="K61" s="44"/>
      <c r="L61" s="298"/>
      <c r="M61" s="298">
        <f>L66</f>
        <v>0</v>
      </c>
      <c r="N61" s="298">
        <f>M66</f>
        <v>793</v>
      </c>
      <c r="O61" s="298">
        <v>1641</v>
      </c>
      <c r="P61" s="298">
        <f>O66</f>
        <v>2694</v>
      </c>
      <c r="Q61" s="298">
        <f>P66</f>
        <v>3794</v>
      </c>
      <c r="R61" s="298"/>
      <c r="S61" s="298"/>
      <c r="T61" s="298"/>
      <c r="U61" s="286"/>
      <c r="V61" t="s">
        <v>80</v>
      </c>
      <c r="W61" s="298"/>
      <c r="X61" s="298"/>
      <c r="Y61" s="298">
        <v>19</v>
      </c>
      <c r="Z61" s="298">
        <f>Y66</f>
        <v>32</v>
      </c>
      <c r="AA61" s="298">
        <f>Z66</f>
        <v>44</v>
      </c>
      <c r="AB61" s="298">
        <f>AA66</f>
        <v>53</v>
      </c>
      <c r="AC61" s="298">
        <f>AB66</f>
        <v>72</v>
      </c>
    </row>
    <row r="62" spans="1:31">
      <c r="A62" t="s">
        <v>82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>
        <v>793</v>
      </c>
      <c r="N62" s="44">
        <v>851</v>
      </c>
      <c r="O62" s="44">
        <v>1060</v>
      </c>
      <c r="P62" s="44">
        <v>1109</v>
      </c>
      <c r="Q62" s="44">
        <v>1136</v>
      </c>
      <c r="R62" s="44"/>
      <c r="S62" s="297"/>
      <c r="T62" s="44"/>
      <c r="U62" s="25"/>
      <c r="V62" t="s">
        <v>82</v>
      </c>
      <c r="X62" s="25"/>
      <c r="Y62" s="25">
        <v>13</v>
      </c>
      <c r="Z62" s="25">
        <v>12</v>
      </c>
      <c r="AA62" s="25">
        <v>10</v>
      </c>
      <c r="AB62" s="25">
        <v>20</v>
      </c>
      <c r="AC62" s="25">
        <v>15</v>
      </c>
    </row>
    <row r="63" spans="1:31">
      <c r="A63" t="s">
        <v>85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>
        <v>-3</v>
      </c>
      <c r="O63" s="44">
        <v>-7</v>
      </c>
      <c r="P63" s="44">
        <v>-7</v>
      </c>
      <c r="Q63" s="44">
        <v>-7</v>
      </c>
      <c r="R63" s="44"/>
      <c r="S63" s="297"/>
      <c r="T63" s="44"/>
      <c r="U63" s="25"/>
      <c r="V63" t="s">
        <v>85</v>
      </c>
      <c r="W63" s="44"/>
      <c r="X63" s="25"/>
      <c r="Y63" s="25"/>
      <c r="Z63" s="25">
        <v>0</v>
      </c>
      <c r="AA63" s="25">
        <v>-1</v>
      </c>
      <c r="AB63" s="25">
        <v>-1</v>
      </c>
      <c r="AC63" s="25">
        <v>-1</v>
      </c>
    </row>
    <row r="64" spans="1:31">
      <c r="A64" t="s">
        <v>83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>
        <v>0</v>
      </c>
      <c r="O64" s="44">
        <v>0</v>
      </c>
      <c r="P64" s="44">
        <v>-2</v>
      </c>
      <c r="Q64" s="44">
        <v>-1</v>
      </c>
      <c r="R64" s="44"/>
      <c r="S64" s="297"/>
      <c r="T64" s="44"/>
      <c r="U64" s="25"/>
      <c r="V64" t="s">
        <v>83</v>
      </c>
      <c r="W64" s="44"/>
      <c r="X64" s="44"/>
      <c r="Y64" s="44">
        <v>0</v>
      </c>
      <c r="Z64" s="44">
        <v>0</v>
      </c>
      <c r="AA64" s="44"/>
      <c r="AB64" s="44">
        <v>0</v>
      </c>
      <c r="AC64" s="44">
        <v>0</v>
      </c>
    </row>
    <row r="65" spans="1:31">
      <c r="A65" t="s">
        <v>84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297">
        <v>0</v>
      </c>
      <c r="T65" s="44">
        <v>0</v>
      </c>
      <c r="U65" s="25"/>
      <c r="V65" t="s">
        <v>84</v>
      </c>
      <c r="Y65">
        <v>0</v>
      </c>
      <c r="Z65" s="44">
        <v>0</v>
      </c>
      <c r="AA65" s="44">
        <v>0</v>
      </c>
      <c r="AB65" s="44">
        <v>0</v>
      </c>
      <c r="AC65" s="44"/>
    </row>
    <row r="66" spans="1:31" ht="15.75" thickBot="1">
      <c r="A66" t="s">
        <v>81</v>
      </c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>
        <f t="shared" ref="M66:T66" si="28">SUM(M61:M65)</f>
        <v>793</v>
      </c>
      <c r="N66" s="24">
        <f t="shared" si="28"/>
        <v>1641</v>
      </c>
      <c r="O66" s="24">
        <f t="shared" si="28"/>
        <v>2694</v>
      </c>
      <c r="P66" s="24">
        <f t="shared" si="28"/>
        <v>3794</v>
      </c>
      <c r="Q66" s="24">
        <f t="shared" si="28"/>
        <v>4922</v>
      </c>
      <c r="R66" s="24">
        <f t="shared" si="28"/>
        <v>0</v>
      </c>
      <c r="S66" s="24">
        <f t="shared" si="28"/>
        <v>0</v>
      </c>
      <c r="T66" s="24">
        <f t="shared" si="28"/>
        <v>0</v>
      </c>
      <c r="U66" s="327"/>
      <c r="V66" t="s">
        <v>81</v>
      </c>
      <c r="W66" s="24">
        <f t="shared" ref="W66:AC66" si="29">SUM(W61:W65)</f>
        <v>0</v>
      </c>
      <c r="X66" s="24">
        <f t="shared" si="29"/>
        <v>0</v>
      </c>
      <c r="Y66" s="24">
        <f t="shared" si="29"/>
        <v>32</v>
      </c>
      <c r="Z66" s="24">
        <f t="shared" si="29"/>
        <v>44</v>
      </c>
      <c r="AA66" s="24">
        <f t="shared" si="29"/>
        <v>53</v>
      </c>
      <c r="AB66" s="24">
        <f t="shared" si="29"/>
        <v>72</v>
      </c>
      <c r="AC66" s="24">
        <f t="shared" si="29"/>
        <v>86</v>
      </c>
      <c r="AD66" s="411" t="s">
        <v>460</v>
      </c>
    </row>
    <row r="67" spans="1:31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27"/>
      <c r="X67" s="328">
        <v>10252</v>
      </c>
      <c r="Y67" s="328">
        <v>32</v>
      </c>
      <c r="Z67" s="328"/>
      <c r="AA67" s="328"/>
      <c r="AB67" s="328"/>
      <c r="AC67" s="328"/>
    </row>
    <row r="68" spans="1:31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27"/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31">
      <c r="A70" s="378" t="s">
        <v>411</v>
      </c>
      <c r="B70" s="378"/>
      <c r="C70" s="379" t="s">
        <v>67</v>
      </c>
      <c r="D70" s="379" t="s">
        <v>68</v>
      </c>
      <c r="E70" s="379" t="s">
        <v>69</v>
      </c>
      <c r="F70" s="379" t="s">
        <v>66</v>
      </c>
      <c r="G70" s="379" t="s">
        <v>76</v>
      </c>
      <c r="H70" s="379" t="s">
        <v>77</v>
      </c>
      <c r="I70" s="379" t="s">
        <v>78</v>
      </c>
      <c r="J70" s="379" t="s">
        <v>79</v>
      </c>
      <c r="K70" s="379" t="s">
        <v>161</v>
      </c>
      <c r="L70" s="379" t="s">
        <v>195</v>
      </c>
      <c r="M70" s="379" t="s">
        <v>196</v>
      </c>
      <c r="N70" s="379" t="s">
        <v>197</v>
      </c>
      <c r="O70" s="379" t="s">
        <v>67</v>
      </c>
      <c r="P70" s="379">
        <f>P60</f>
        <v>98</v>
      </c>
      <c r="Q70" s="379" t="str">
        <f>Q60</f>
        <v>Sep</v>
      </c>
      <c r="R70" s="379" t="s">
        <v>0</v>
      </c>
      <c r="S70" s="379" t="s">
        <v>74</v>
      </c>
      <c r="T70" s="379" t="s">
        <v>75</v>
      </c>
      <c r="U70" s="326"/>
      <c r="V70" s="380" t="s">
        <v>413</v>
      </c>
      <c r="W70" s="379" t="s">
        <v>365</v>
      </c>
      <c r="X70" s="379" t="str">
        <f t="shared" ref="X70:AC70" si="30">X60</f>
        <v>Feb'16</v>
      </c>
      <c r="Y70" s="379" t="str">
        <f t="shared" si="30"/>
        <v>Mar'16</v>
      </c>
      <c r="Z70" s="379" t="str">
        <f t="shared" si="30"/>
        <v>Apr'16</v>
      </c>
      <c r="AA70" s="379" t="str">
        <f t="shared" si="30"/>
        <v>May'16</v>
      </c>
      <c r="AB70" s="379" t="str">
        <f t="shared" si="30"/>
        <v>June'16</v>
      </c>
      <c r="AC70" s="379" t="str">
        <f t="shared" si="30"/>
        <v>July'16</v>
      </c>
    </row>
    <row r="71" spans="1:31">
      <c r="A71" t="s">
        <v>80</v>
      </c>
      <c r="C71" s="44"/>
      <c r="D71" s="44"/>
      <c r="E71" s="44"/>
      <c r="F71" s="44"/>
      <c r="G71" s="44"/>
      <c r="H71" s="44"/>
      <c r="I71" s="44"/>
      <c r="J71" s="44"/>
      <c r="K71" s="44"/>
      <c r="L71" s="298"/>
      <c r="M71" s="298">
        <f>L76</f>
        <v>0</v>
      </c>
      <c r="N71" s="298">
        <f>M76</f>
        <v>15.99648942</v>
      </c>
      <c r="O71" s="298">
        <v>33</v>
      </c>
      <c r="P71" s="298">
        <f>O76</f>
        <v>53</v>
      </c>
      <c r="Q71" s="298">
        <f>P76</f>
        <v>70.999999999999986</v>
      </c>
      <c r="R71" s="298"/>
      <c r="S71" s="298"/>
      <c r="T71" s="298"/>
      <c r="U71" s="286"/>
      <c r="W71" s="338"/>
      <c r="X71" s="298"/>
      <c r="Y71" s="298">
        <v>1811964</v>
      </c>
      <c r="Z71" s="298">
        <f>Y76</f>
        <v>3107559.63</v>
      </c>
      <c r="AA71" s="298">
        <f>Z76</f>
        <v>3922347.63</v>
      </c>
      <c r="AB71" s="298">
        <f>AA76</f>
        <v>4623552.9400000004</v>
      </c>
      <c r="AC71" s="298">
        <f>AB76</f>
        <v>6616510</v>
      </c>
    </row>
    <row r="72" spans="1:31">
      <c r="A72" t="s">
        <v>82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>
        <f>15996489.42/10^6</f>
        <v>15.99648942</v>
      </c>
      <c r="N72" s="44">
        <f>17048414.31/10^6</f>
        <v>17.048414309999998</v>
      </c>
      <c r="O72" s="44">
        <v>21.84802032</v>
      </c>
      <c r="P72" s="44">
        <f>22822286/10^6</f>
        <v>22.822285999999998</v>
      </c>
      <c r="Q72" s="44">
        <f>22156967/10^6</f>
        <v>22.156967000000002</v>
      </c>
      <c r="R72" s="44"/>
      <c r="S72" s="297"/>
      <c r="T72" s="44"/>
      <c r="U72" s="25"/>
      <c r="W72" s="311"/>
      <c r="X72" s="311"/>
      <c r="Y72" s="413">
        <f>1295595.63</f>
        <v>1295595.6299999999</v>
      </c>
      <c r="Z72" s="311">
        <f>814788</f>
        <v>814788</v>
      </c>
      <c r="AA72" s="311">
        <v>906985.76</v>
      </c>
      <c r="AB72" s="311">
        <v>2186949</v>
      </c>
      <c r="AC72" s="311">
        <v>1781009</v>
      </c>
    </row>
    <row r="73" spans="1:31">
      <c r="A73" t="s">
        <v>193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>
        <f>N77-N71-N72-N74-N75</f>
        <v>-4.4903729999997921E-2</v>
      </c>
      <c r="O73" s="44">
        <v>-1.8480203199999998</v>
      </c>
      <c r="P73" s="44">
        <f>P77-P71-P72-P74-P75</f>
        <v>-4.7700439999999986</v>
      </c>
      <c r="Q73" s="44">
        <f>Q77-Q71-Q72-Q74-Q75</f>
        <v>-0.14160899999998741</v>
      </c>
      <c r="R73" s="44"/>
      <c r="S73" s="297"/>
      <c r="T73" s="44"/>
      <c r="U73" s="25"/>
      <c r="W73" s="338"/>
      <c r="X73" s="338"/>
      <c r="Y73" s="338">
        <f>Y77-Y71-Y72-Y74-Y75</f>
        <v>0</v>
      </c>
      <c r="Z73" s="338">
        <v>0</v>
      </c>
      <c r="AA73" s="338">
        <f>AA77-AA71-AA72-AA74-AA75</f>
        <v>-205780.44999999949</v>
      </c>
      <c r="AB73" s="338">
        <f>AB77-AB71-AB72-AB74-AB75</f>
        <v>-193991.94000000041</v>
      </c>
      <c r="AC73" s="338">
        <f>AC77-AC71-AC72-AC74-AC75</f>
        <v>-245411</v>
      </c>
    </row>
    <row r="74" spans="1:31">
      <c r="A74" t="s">
        <v>83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>
        <v>0</v>
      </c>
      <c r="O74" s="44">
        <v>0</v>
      </c>
      <c r="P74" s="44">
        <f>-52242/10^6</f>
        <v>-5.2241999999999997E-2</v>
      </c>
      <c r="Q74" s="245">
        <f>-15358/10^6</f>
        <v>-1.5358E-2</v>
      </c>
      <c r="R74" s="245"/>
      <c r="S74" s="297"/>
      <c r="T74" s="44"/>
      <c r="U74" s="25"/>
      <c r="W74" s="311"/>
      <c r="X74" s="338"/>
      <c r="Y74" s="338">
        <v>0</v>
      </c>
      <c r="Z74" s="338">
        <v>0</v>
      </c>
      <c r="AA74" s="338"/>
      <c r="AB74" s="338">
        <v>0</v>
      </c>
      <c r="AC74" s="338">
        <v>0</v>
      </c>
    </row>
    <row r="75" spans="1:31">
      <c r="A75" t="s">
        <v>84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>
        <v>0</v>
      </c>
      <c r="O75" s="44">
        <v>0</v>
      </c>
      <c r="P75" s="44">
        <v>0</v>
      </c>
      <c r="Q75" s="44">
        <v>0</v>
      </c>
      <c r="R75" s="44"/>
      <c r="S75" s="297"/>
      <c r="T75" s="44"/>
      <c r="U75" s="25"/>
      <c r="Y75">
        <v>0</v>
      </c>
      <c r="Z75">
        <v>0</v>
      </c>
      <c r="AA75">
        <v>0</v>
      </c>
      <c r="AB75">
        <v>0</v>
      </c>
    </row>
    <row r="76" spans="1:31" ht="15.75" thickBot="1">
      <c r="A76" t="s">
        <v>81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>
        <f>SUM(M71:M75)</f>
        <v>15.99648942</v>
      </c>
      <c r="N76" s="24">
        <f>SUM(N71:N75)</f>
        <v>33</v>
      </c>
      <c r="O76" s="24">
        <v>53</v>
      </c>
      <c r="P76" s="24">
        <f>SUM(P71:P75)</f>
        <v>70.999999999999986</v>
      </c>
      <c r="Q76" s="24">
        <f>SUM(Q71:Q75)</f>
        <v>92.999999999999986</v>
      </c>
      <c r="R76" s="24">
        <f>SUM(R71:R75)</f>
        <v>0</v>
      </c>
      <c r="S76" s="24">
        <f>SUM(S71:S75)</f>
        <v>0</v>
      </c>
      <c r="T76" s="24">
        <f>SUM(T71:T75)</f>
        <v>0</v>
      </c>
      <c r="U76" s="327"/>
      <c r="V76" t="s">
        <v>81</v>
      </c>
      <c r="W76" s="24">
        <f t="shared" ref="W76:AC76" si="31">SUM(W71:W75)</f>
        <v>0</v>
      </c>
      <c r="X76" s="24">
        <f t="shared" si="31"/>
        <v>0</v>
      </c>
      <c r="Y76" s="24">
        <f t="shared" si="31"/>
        <v>3107559.63</v>
      </c>
      <c r="Z76" s="24">
        <f t="shared" si="31"/>
        <v>3922347.63</v>
      </c>
      <c r="AA76" s="24">
        <f t="shared" si="31"/>
        <v>4623552.9400000004</v>
      </c>
      <c r="AB76" s="24">
        <f t="shared" si="31"/>
        <v>6616510</v>
      </c>
      <c r="AC76" s="24">
        <f t="shared" si="31"/>
        <v>8152108</v>
      </c>
      <c r="AD76" s="412" t="s">
        <v>459</v>
      </c>
      <c r="AE76" s="287">
        <v>144</v>
      </c>
    </row>
    <row r="77" spans="1:31" s="31" customFormat="1">
      <c r="C77" s="30">
        <f>55472436.0250002/1000000</f>
        <v>55.472436025000199</v>
      </c>
      <c r="D77" s="30">
        <f>55196550.7049998/1000000</f>
        <v>55.196550704999794</v>
      </c>
      <c r="E77" s="30">
        <f>59350170.3850001/1000000</f>
        <v>59.350170385000105</v>
      </c>
      <c r="F77" s="30">
        <f>70186750.0349999/1000000</f>
        <v>70.186750034999903</v>
      </c>
      <c r="G77" s="30">
        <f>73151829.4650003/1000000</f>
        <v>73.151829465000304</v>
      </c>
      <c r="H77" s="30">
        <f>81207050.8220002/1000000</f>
        <v>81.207050822000213</v>
      </c>
      <c r="I77" s="30">
        <f>86356481.8520004/1000000</f>
        <v>86.3564818520004</v>
      </c>
      <c r="J77" s="30">
        <f>89256862.7209999/1000000</f>
        <v>89.256862720999891</v>
      </c>
      <c r="K77" s="30">
        <f>94383608.3280002/1000000</f>
        <v>94.383608328000207</v>
      </c>
      <c r="L77" s="31">
        <f>98138738.51/10^6</f>
        <v>98.13873851000001</v>
      </c>
      <c r="M77" s="31">
        <v>16</v>
      </c>
      <c r="N77" s="31">
        <v>33</v>
      </c>
      <c r="P77" s="31">
        <v>71</v>
      </c>
      <c r="Q77" s="31">
        <v>93</v>
      </c>
      <c r="R77" s="244">
        <v>111</v>
      </c>
      <c r="T77" s="31">
        <v>144</v>
      </c>
      <c r="U77" s="287"/>
      <c r="W77" s="31">
        <v>153913812.90000001</v>
      </c>
      <c r="X77" s="31">
        <v>166715040</v>
      </c>
      <c r="Y77" s="31">
        <v>3107559.63</v>
      </c>
      <c r="Z77" s="31">
        <v>3922348</v>
      </c>
      <c r="AA77" s="31">
        <v>4623552.9400000004</v>
      </c>
      <c r="AB77" s="31">
        <v>6616510</v>
      </c>
      <c r="AC77" s="31">
        <v>8152108</v>
      </c>
      <c r="AD77"/>
      <c r="AE77"/>
    </row>
    <row r="78" spans="1:31">
      <c r="A78" s="40" t="s">
        <v>410</v>
      </c>
      <c r="B78" s="40"/>
      <c r="C78" s="41" t="s">
        <v>67</v>
      </c>
      <c r="D78" s="41" t="s">
        <v>68</v>
      </c>
      <c r="E78" s="41" t="s">
        <v>69</v>
      </c>
      <c r="F78" s="41" t="s">
        <v>66</v>
      </c>
      <c r="G78" s="41" t="s">
        <v>76</v>
      </c>
      <c r="H78" s="41" t="s">
        <v>77</v>
      </c>
      <c r="I78" s="41" t="s">
        <v>78</v>
      </c>
      <c r="J78" s="41" t="s">
        <v>79</v>
      </c>
      <c r="K78" s="41" t="s">
        <v>161</v>
      </c>
      <c r="L78" s="41" t="s">
        <v>195</v>
      </c>
      <c r="M78" s="41" t="s">
        <v>196</v>
      </c>
      <c r="N78" s="39" t="s">
        <v>197</v>
      </c>
      <c r="O78" s="41" t="s">
        <v>67</v>
      </c>
      <c r="P78" s="45" t="str">
        <f>P50</f>
        <v>Aug</v>
      </c>
      <c r="Q78" s="45" t="str">
        <f>Q50</f>
        <v>Sep</v>
      </c>
      <c r="R78" s="45" t="s">
        <v>0</v>
      </c>
      <c r="S78" s="45" t="s">
        <v>74</v>
      </c>
      <c r="T78" s="45" t="s">
        <v>75</v>
      </c>
      <c r="U78" s="334"/>
      <c r="V78" s="40" t="s">
        <v>191</v>
      </c>
      <c r="W78" s="41" t="str">
        <f>W50</f>
        <v>Jan'16</v>
      </c>
      <c r="X78" s="41" t="str">
        <f>X50</f>
        <v>Feb'16</v>
      </c>
      <c r="Y78" s="41" t="str">
        <f>Y70</f>
        <v>Mar'16</v>
      </c>
      <c r="Z78" s="41" t="str">
        <f>Z70</f>
        <v>Apr'16</v>
      </c>
      <c r="AA78" s="41" t="str">
        <f>AA70</f>
        <v>May'16</v>
      </c>
      <c r="AB78" s="41" t="str">
        <f>AB70</f>
        <v>June'16</v>
      </c>
      <c r="AC78" s="41" t="str">
        <f>AC70</f>
        <v>July'16</v>
      </c>
    </row>
    <row r="79" spans="1:31">
      <c r="A79" t="s">
        <v>80</v>
      </c>
      <c r="C79" s="32">
        <f t="shared" ref="C79:H79" si="32">C3+C41</f>
        <v>5361</v>
      </c>
      <c r="D79" s="32">
        <f t="shared" si="32"/>
        <v>5277</v>
      </c>
      <c r="E79" s="32">
        <f t="shared" si="32"/>
        <v>5318</v>
      </c>
      <c r="F79" s="32">
        <f t="shared" si="32"/>
        <v>5620</v>
      </c>
      <c r="G79" s="32">
        <f t="shared" si="32"/>
        <v>6117</v>
      </c>
      <c r="H79" s="32">
        <f t="shared" si="32"/>
        <v>6213</v>
      </c>
      <c r="I79" s="32">
        <f t="shared" ref="I79:N83" si="33">I3+I41</f>
        <v>6550</v>
      </c>
      <c r="J79" s="32">
        <f t="shared" si="33"/>
        <v>6831</v>
      </c>
      <c r="K79" s="32">
        <f t="shared" si="33"/>
        <v>6996</v>
      </c>
      <c r="L79" s="32">
        <f t="shared" si="33"/>
        <v>7290</v>
      </c>
      <c r="M79" s="32">
        <f t="shared" si="33"/>
        <v>7534</v>
      </c>
      <c r="N79" s="32">
        <f t="shared" si="33"/>
        <v>8012</v>
      </c>
      <c r="O79" s="296">
        <v>8454</v>
      </c>
      <c r="P79" s="296">
        <f t="shared" ref="P79:T83" si="34">P3+P21+P41</f>
        <v>9161</v>
      </c>
      <c r="Q79" s="298">
        <f t="shared" si="34"/>
        <v>9880</v>
      </c>
      <c r="R79" s="298">
        <f t="shared" si="34"/>
        <v>10610</v>
      </c>
      <c r="S79" s="298">
        <f t="shared" si="34"/>
        <v>11256</v>
      </c>
      <c r="T79" s="32">
        <f t="shared" si="34"/>
        <v>11988</v>
      </c>
      <c r="U79" s="286"/>
      <c r="V79" t="s">
        <v>80</v>
      </c>
      <c r="W79" s="298">
        <f t="shared" ref="W79:X83" si="35">W3+W21+W41</f>
        <v>12831</v>
      </c>
      <c r="X79" s="298">
        <f t="shared" si="35"/>
        <v>13280</v>
      </c>
      <c r="Y79" s="298">
        <f t="shared" ref="Y79:Z83" si="36">Y3+Y21+Y41+Y61</f>
        <v>13997</v>
      </c>
      <c r="Z79" s="298">
        <f t="shared" si="36"/>
        <v>14933</v>
      </c>
      <c r="AA79" s="298">
        <f t="shared" ref="AA79" si="37">AA3+AA21+AA41+AA61</f>
        <v>15650</v>
      </c>
      <c r="AB79" s="298">
        <f>AA84</f>
        <v>16579</v>
      </c>
      <c r="AC79" s="298">
        <f>AB84</f>
        <v>17366</v>
      </c>
    </row>
    <row r="80" spans="1:31">
      <c r="A80" t="s">
        <v>82</v>
      </c>
      <c r="C80" s="34">
        <f t="shared" ref="C80:H80" si="38">C4+C42</f>
        <v>304</v>
      </c>
      <c r="D80" s="34">
        <f t="shared" si="38"/>
        <v>420</v>
      </c>
      <c r="E80" s="34">
        <f t="shared" si="38"/>
        <v>688</v>
      </c>
      <c r="F80" s="34">
        <f t="shared" si="38"/>
        <v>967</v>
      </c>
      <c r="G80" s="34">
        <f t="shared" si="38"/>
        <v>552</v>
      </c>
      <c r="H80" s="34">
        <f t="shared" si="38"/>
        <v>790</v>
      </c>
      <c r="I80" s="34">
        <f t="shared" si="33"/>
        <v>676</v>
      </c>
      <c r="J80" s="34">
        <f t="shared" si="33"/>
        <v>576</v>
      </c>
      <c r="K80" s="34">
        <f t="shared" si="33"/>
        <v>710</v>
      </c>
      <c r="L80" s="34">
        <f t="shared" si="33"/>
        <v>618</v>
      </c>
      <c r="M80" s="34">
        <f t="shared" si="33"/>
        <v>913</v>
      </c>
      <c r="N80" s="34">
        <f t="shared" si="33"/>
        <v>864</v>
      </c>
      <c r="O80" s="295">
        <f>O4+O22+O42</f>
        <v>1063</v>
      </c>
      <c r="P80" s="298">
        <f t="shared" si="34"/>
        <v>1207</v>
      </c>
      <c r="Q80" s="298">
        <f t="shared" si="34"/>
        <v>1247</v>
      </c>
      <c r="R80" s="298">
        <f t="shared" si="34"/>
        <v>1258</v>
      </c>
      <c r="S80" s="298">
        <f t="shared" si="34"/>
        <v>1291</v>
      </c>
      <c r="T80" s="34">
        <f t="shared" si="34"/>
        <v>1474</v>
      </c>
      <c r="U80" s="25"/>
      <c r="V80" t="s">
        <v>82</v>
      </c>
      <c r="W80" s="44">
        <f t="shared" si="35"/>
        <v>984</v>
      </c>
      <c r="X80" s="44">
        <f t="shared" si="35"/>
        <v>1209</v>
      </c>
      <c r="Y80" s="44">
        <f t="shared" si="36"/>
        <v>1618</v>
      </c>
      <c r="Z80" s="44">
        <f t="shared" si="36"/>
        <v>1433</v>
      </c>
      <c r="AA80" s="44">
        <f t="shared" ref="AA80:AB80" si="39">AA4+AA22+AA42+AA62</f>
        <v>1596</v>
      </c>
      <c r="AB80" s="44">
        <f t="shared" si="39"/>
        <v>1553</v>
      </c>
      <c r="AC80" s="44">
        <f t="shared" ref="AC80" si="40">AC4+AC22+AC42+AC62</f>
        <v>1499</v>
      </c>
    </row>
    <row r="81" spans="1:30">
      <c r="A81" t="s">
        <v>85</v>
      </c>
      <c r="C81" s="34">
        <f t="shared" ref="C81:H81" si="41">C5+C43</f>
        <v>-353</v>
      </c>
      <c r="D81" s="34">
        <f t="shared" si="41"/>
        <v>-323</v>
      </c>
      <c r="E81" s="34">
        <f t="shared" si="41"/>
        <v>-356</v>
      </c>
      <c r="F81" s="34">
        <f t="shared" si="41"/>
        <v>-452</v>
      </c>
      <c r="G81" s="34">
        <f t="shared" si="41"/>
        <v>-435</v>
      </c>
      <c r="H81" s="34">
        <f t="shared" si="41"/>
        <v>-444</v>
      </c>
      <c r="I81" s="34">
        <f t="shared" si="33"/>
        <v>-375</v>
      </c>
      <c r="J81" s="34">
        <f t="shared" si="33"/>
        <v>-394</v>
      </c>
      <c r="K81" s="34">
        <f t="shared" si="33"/>
        <v>-398</v>
      </c>
      <c r="L81" s="34">
        <f t="shared" si="33"/>
        <v>-350</v>
      </c>
      <c r="M81" s="34">
        <f t="shared" si="33"/>
        <v>-396</v>
      </c>
      <c r="N81" s="34">
        <f t="shared" si="33"/>
        <v>-379</v>
      </c>
      <c r="O81" s="295">
        <f>O5+O23+O43</f>
        <v>-388</v>
      </c>
      <c r="P81" s="298">
        <f t="shared" si="34"/>
        <v>-451</v>
      </c>
      <c r="Q81" s="298">
        <f t="shared" si="34"/>
        <v>-473</v>
      </c>
      <c r="R81" s="298">
        <f t="shared" si="34"/>
        <v>-565</v>
      </c>
      <c r="S81" s="298">
        <f t="shared" si="34"/>
        <v>-511</v>
      </c>
      <c r="T81" s="34">
        <f t="shared" si="34"/>
        <v>-584</v>
      </c>
      <c r="U81" s="25"/>
      <c r="V81" t="s">
        <v>85</v>
      </c>
      <c r="W81" s="44">
        <f t="shared" si="35"/>
        <v>-477</v>
      </c>
      <c r="X81" s="44">
        <f t="shared" si="35"/>
        <v>-452</v>
      </c>
      <c r="Y81" s="44">
        <f t="shared" si="36"/>
        <v>-619</v>
      </c>
      <c r="Z81" s="44">
        <f t="shared" si="36"/>
        <v>-623</v>
      </c>
      <c r="AA81" s="44">
        <f t="shared" ref="AA81:AB81" si="42">AA5+AA23+AA43+AA63</f>
        <v>-604</v>
      </c>
      <c r="AB81" s="44">
        <f t="shared" si="42"/>
        <v>-689</v>
      </c>
      <c r="AC81" s="44">
        <f t="shared" ref="AC81" si="43">AC5+AC23+AC43+AC63</f>
        <v>-780</v>
      </c>
    </row>
    <row r="82" spans="1:30">
      <c r="A82" t="s">
        <v>83</v>
      </c>
      <c r="C82" s="34">
        <f t="shared" ref="C82:H82" si="44">C6+C44</f>
        <v>-9</v>
      </c>
      <c r="D82" s="34">
        <f t="shared" si="44"/>
        <v>-9</v>
      </c>
      <c r="E82" s="34">
        <f t="shared" si="44"/>
        <v>-10</v>
      </c>
      <c r="F82" s="34">
        <f t="shared" si="44"/>
        <v>-12</v>
      </c>
      <c r="G82" s="34">
        <f t="shared" si="44"/>
        <v>-16</v>
      </c>
      <c r="H82" s="34">
        <f t="shared" si="44"/>
        <v>-9</v>
      </c>
      <c r="I82" s="34">
        <f t="shared" si="33"/>
        <v>-8</v>
      </c>
      <c r="J82" s="34">
        <f t="shared" si="33"/>
        <v>-6</v>
      </c>
      <c r="K82" s="34">
        <f t="shared" si="33"/>
        <v>-13</v>
      </c>
      <c r="L82" s="34">
        <f t="shared" si="33"/>
        <v>-14</v>
      </c>
      <c r="M82" s="34">
        <f t="shared" si="33"/>
        <v>-10</v>
      </c>
      <c r="N82" s="34">
        <f t="shared" si="33"/>
        <v>-23</v>
      </c>
      <c r="O82" s="295">
        <f>O6+O24+O44</f>
        <v>-28</v>
      </c>
      <c r="P82" s="298">
        <f t="shared" si="34"/>
        <v>-24</v>
      </c>
      <c r="Q82" s="298">
        <f t="shared" si="34"/>
        <v>-22</v>
      </c>
      <c r="R82" s="298">
        <f t="shared" si="34"/>
        <v>-24</v>
      </c>
      <c r="S82" s="298">
        <f t="shared" si="34"/>
        <v>-26</v>
      </c>
      <c r="T82" s="298">
        <f t="shared" si="34"/>
        <v>-25</v>
      </c>
      <c r="U82" s="286"/>
      <c r="V82" t="s">
        <v>83</v>
      </c>
      <c r="W82" s="298">
        <f t="shared" si="35"/>
        <v>-32</v>
      </c>
      <c r="X82" s="298">
        <f t="shared" si="35"/>
        <v>-36</v>
      </c>
      <c r="Y82" s="298">
        <f t="shared" si="36"/>
        <v>-38</v>
      </c>
      <c r="Z82" s="298">
        <f t="shared" si="36"/>
        <v>-56</v>
      </c>
      <c r="AA82" s="298">
        <f t="shared" ref="AA82:AB82" si="45">AA6+AA24+AA44+AA64</f>
        <v>-41</v>
      </c>
      <c r="AB82" s="298">
        <f t="shared" si="45"/>
        <v>-49</v>
      </c>
      <c r="AC82" s="298">
        <f t="shared" ref="AC82" si="46">AC6+AC24+AC44+AC64</f>
        <v>-41</v>
      </c>
    </row>
    <row r="83" spans="1:30">
      <c r="A83" t="s">
        <v>84</v>
      </c>
      <c r="C83" s="34">
        <f t="shared" ref="C83:H83" si="47">C7+C45</f>
        <v>-26</v>
      </c>
      <c r="D83" s="34">
        <f t="shared" si="47"/>
        <v>-47</v>
      </c>
      <c r="E83" s="34">
        <f t="shared" si="47"/>
        <v>-20</v>
      </c>
      <c r="F83" s="34">
        <f t="shared" si="47"/>
        <v>-6</v>
      </c>
      <c r="G83" s="34">
        <f t="shared" si="47"/>
        <v>-5</v>
      </c>
      <c r="H83" s="34">
        <f t="shared" si="47"/>
        <v>0</v>
      </c>
      <c r="I83" s="34">
        <f t="shared" si="33"/>
        <v>-12</v>
      </c>
      <c r="J83" s="34">
        <f t="shared" si="33"/>
        <v>-11</v>
      </c>
      <c r="K83" s="34">
        <f t="shared" si="33"/>
        <v>-5</v>
      </c>
      <c r="L83" s="34">
        <f t="shared" si="33"/>
        <v>-10</v>
      </c>
      <c r="M83" s="34">
        <f t="shared" si="33"/>
        <v>-29</v>
      </c>
      <c r="N83" s="34">
        <f t="shared" si="33"/>
        <v>-20</v>
      </c>
      <c r="O83" s="295">
        <f>O7+O25+O45</f>
        <v>-27</v>
      </c>
      <c r="P83" s="298">
        <f t="shared" si="34"/>
        <v>-13</v>
      </c>
      <c r="Q83" s="298">
        <f t="shared" si="34"/>
        <v>-22</v>
      </c>
      <c r="R83" s="298">
        <f t="shared" si="34"/>
        <v>-23</v>
      </c>
      <c r="S83" s="298">
        <f t="shared" si="34"/>
        <v>-22</v>
      </c>
      <c r="T83" s="34">
        <f t="shared" si="34"/>
        <v>-22</v>
      </c>
      <c r="U83" s="25"/>
      <c r="V83" t="s">
        <v>84</v>
      </c>
      <c r="W83" s="44">
        <f t="shared" si="35"/>
        <v>-26</v>
      </c>
      <c r="X83" s="44">
        <f t="shared" si="35"/>
        <v>-23</v>
      </c>
      <c r="Y83" s="44">
        <f t="shared" si="36"/>
        <v>-25</v>
      </c>
      <c r="Z83" s="44">
        <f t="shared" si="36"/>
        <v>-37</v>
      </c>
      <c r="AA83" s="44">
        <f t="shared" ref="AA83:AB83" si="48">AA7+AA25+AA45+AA65</f>
        <v>-22</v>
      </c>
      <c r="AB83" s="44">
        <f t="shared" si="48"/>
        <v>-28</v>
      </c>
      <c r="AC83" s="44">
        <f t="shared" ref="AC83" si="49">AC7+AC25+AC45+AC65</f>
        <v>-19</v>
      </c>
    </row>
    <row r="84" spans="1:30" ht="15.75" thickBot="1">
      <c r="A84" t="s">
        <v>81</v>
      </c>
      <c r="C84" s="24">
        <f t="shared" ref="C84:M84" si="50">SUM(C79:C83)</f>
        <v>5277</v>
      </c>
      <c r="D84" s="24">
        <f t="shared" si="50"/>
        <v>5318</v>
      </c>
      <c r="E84" s="24">
        <f t="shared" si="50"/>
        <v>5620</v>
      </c>
      <c r="F84" s="24">
        <f t="shared" si="50"/>
        <v>6117</v>
      </c>
      <c r="G84" s="24">
        <f t="shared" si="50"/>
        <v>6213</v>
      </c>
      <c r="H84" s="24">
        <f t="shared" si="50"/>
        <v>6550</v>
      </c>
      <c r="I84" s="24">
        <f t="shared" si="50"/>
        <v>6831</v>
      </c>
      <c r="J84" s="24">
        <f t="shared" si="50"/>
        <v>6996</v>
      </c>
      <c r="K84" s="24">
        <f t="shared" si="50"/>
        <v>7290</v>
      </c>
      <c r="L84" s="24">
        <f t="shared" si="50"/>
        <v>7534</v>
      </c>
      <c r="M84" s="24">
        <f t="shared" si="50"/>
        <v>8012</v>
      </c>
      <c r="N84" s="24">
        <f t="shared" ref="N84:S84" si="51">SUM(N79:N83)</f>
        <v>8454</v>
      </c>
      <c r="O84" s="24">
        <f t="shared" si="51"/>
        <v>9074</v>
      </c>
      <c r="P84" s="24">
        <f t="shared" si="51"/>
        <v>9880</v>
      </c>
      <c r="Q84" s="24">
        <f t="shared" si="51"/>
        <v>10610</v>
      </c>
      <c r="R84" s="24">
        <f>SUM(R79:R83)</f>
        <v>11256</v>
      </c>
      <c r="S84" s="24">
        <f t="shared" si="51"/>
        <v>11988</v>
      </c>
      <c r="T84" s="24">
        <f>SUM(T79:T83)</f>
        <v>12831</v>
      </c>
      <c r="U84" s="327"/>
      <c r="V84" t="s">
        <v>81</v>
      </c>
      <c r="W84" s="24">
        <f t="shared" ref="W84:AB84" si="52">SUM(W79:W83)</f>
        <v>13280</v>
      </c>
      <c r="X84" s="24">
        <f t="shared" si="52"/>
        <v>13978</v>
      </c>
      <c r="Y84" s="24">
        <f t="shared" si="52"/>
        <v>14933</v>
      </c>
      <c r="Z84" s="24">
        <f t="shared" si="52"/>
        <v>15650</v>
      </c>
      <c r="AA84" s="24">
        <f t="shared" si="52"/>
        <v>16579</v>
      </c>
      <c r="AB84" s="24">
        <f t="shared" si="52"/>
        <v>17366</v>
      </c>
      <c r="AC84" s="24">
        <f t="shared" ref="AC84" si="53">SUM(AC79:AC83)</f>
        <v>18025</v>
      </c>
      <c r="AD84" t="s">
        <v>505</v>
      </c>
    </row>
    <row r="85" spans="1:30">
      <c r="A85" s="1"/>
      <c r="B85" s="1"/>
      <c r="C85" s="1"/>
      <c r="D85" s="1"/>
      <c r="E85" s="1"/>
      <c r="F85" s="1"/>
      <c r="G85" s="1"/>
      <c r="H85" s="1"/>
      <c r="I85" s="1"/>
      <c r="J85" s="1"/>
      <c r="V85" s="1"/>
    </row>
    <row r="86" spans="1:30">
      <c r="A86" s="40" t="s">
        <v>411</v>
      </c>
      <c r="B86" s="40"/>
      <c r="C86" s="41" t="s">
        <v>67</v>
      </c>
      <c r="D86" s="41" t="s">
        <v>68</v>
      </c>
      <c r="E86" s="41" t="s">
        <v>69</v>
      </c>
      <c r="F86" s="41" t="s">
        <v>66</v>
      </c>
      <c r="G86" s="41" t="s">
        <v>76</v>
      </c>
      <c r="H86" s="41" t="s">
        <v>77</v>
      </c>
      <c r="I86" s="41" t="s">
        <v>78</v>
      </c>
      <c r="J86" s="41" t="s">
        <v>79</v>
      </c>
      <c r="K86" s="41" t="s">
        <v>161</v>
      </c>
      <c r="L86" s="41" t="s">
        <v>195</v>
      </c>
      <c r="M86" s="41" t="s">
        <v>196</v>
      </c>
      <c r="N86" s="41" t="s">
        <v>197</v>
      </c>
      <c r="O86" s="41" t="s">
        <v>67</v>
      </c>
      <c r="P86" s="41" t="str">
        <f>P78</f>
        <v>Aug</v>
      </c>
      <c r="Q86" s="41" t="str">
        <f>Q78</f>
        <v>Sep</v>
      </c>
      <c r="R86" s="41" t="s">
        <v>0</v>
      </c>
      <c r="S86" s="41" t="s">
        <v>74</v>
      </c>
      <c r="T86" s="41" t="s">
        <v>75</v>
      </c>
      <c r="U86" s="326"/>
      <c r="V86" s="40" t="s">
        <v>192</v>
      </c>
      <c r="W86" s="41" t="str">
        <f t="shared" ref="W86:AB86" si="54">W78</f>
        <v>Jan'16</v>
      </c>
      <c r="X86" s="41" t="str">
        <f t="shared" si="54"/>
        <v>Feb'16</v>
      </c>
      <c r="Y86" s="41" t="str">
        <f t="shared" si="54"/>
        <v>Mar'16</v>
      </c>
      <c r="Z86" s="41" t="str">
        <f t="shared" si="54"/>
        <v>Apr'16</v>
      </c>
      <c r="AA86" s="41" t="str">
        <f t="shared" si="54"/>
        <v>May'16</v>
      </c>
      <c r="AB86" s="41" t="str">
        <f t="shared" si="54"/>
        <v>June'16</v>
      </c>
      <c r="AC86" s="41" t="str">
        <f>AC78</f>
        <v>July'16</v>
      </c>
    </row>
    <row r="87" spans="1:30">
      <c r="A87" t="s">
        <v>80</v>
      </c>
      <c r="C87" s="32">
        <f t="shared" ref="C87:H87" si="55">C11+C51</f>
        <v>57.750160564999902</v>
      </c>
      <c r="D87" s="32">
        <f t="shared" si="55"/>
        <v>55.472436025000199</v>
      </c>
      <c r="E87" s="32">
        <f t="shared" si="55"/>
        <v>-2.3314683517128287E-15</v>
      </c>
      <c r="F87" s="32">
        <f t="shared" si="55"/>
        <v>7.4940054162198066E-16</v>
      </c>
      <c r="G87" s="32">
        <f t="shared" si="55"/>
        <v>9.2287288921966137E-16</v>
      </c>
      <c r="H87" s="32">
        <f t="shared" si="55"/>
        <v>-5.134781488891349E-16</v>
      </c>
      <c r="I87" s="32">
        <f t="shared" ref="I87:M91" si="56">I11+I51</f>
        <v>8.7430063189231078E-16</v>
      </c>
      <c r="J87" s="32">
        <f t="shared" si="56"/>
        <v>7.2164496600635175E-16</v>
      </c>
      <c r="K87" s="32">
        <f t="shared" si="56"/>
        <v>0</v>
      </c>
      <c r="L87" s="32">
        <f t="shared" si="56"/>
        <v>0</v>
      </c>
      <c r="M87" s="32">
        <f t="shared" si="56"/>
        <v>-1.124100812432971E-15</v>
      </c>
      <c r="N87" s="32">
        <f>ROUNDDOWN(N11+N51,0)</f>
        <v>15</v>
      </c>
      <c r="O87" s="298">
        <f t="shared" ref="O87:T87" si="57">O11+O30+O51</f>
        <v>119.00000000000001</v>
      </c>
      <c r="P87" s="298">
        <f t="shared" si="57"/>
        <v>130</v>
      </c>
      <c r="Q87" s="298">
        <f t="shared" si="57"/>
        <v>145</v>
      </c>
      <c r="R87" s="298">
        <f t="shared" si="57"/>
        <v>159</v>
      </c>
      <c r="S87" s="298">
        <f t="shared" si="57"/>
        <v>172.7</v>
      </c>
      <c r="T87" s="298">
        <f t="shared" si="57"/>
        <v>186</v>
      </c>
      <c r="U87" s="286"/>
      <c r="V87" t="s">
        <v>80</v>
      </c>
      <c r="W87" s="298">
        <f t="shared" ref="W87:X91" si="58">W11+W30+W51</f>
        <v>202820090.59</v>
      </c>
      <c r="X87" s="298">
        <f t="shared" si="58"/>
        <v>208515836.81</v>
      </c>
      <c r="Y87" s="298">
        <f t="shared" ref="Y87:Z91" si="59">Y11+Y30+Y51+Y71</f>
        <v>218018504.40000001</v>
      </c>
      <c r="Z87" s="298">
        <f t="shared" si="59"/>
        <v>238125378.74000001</v>
      </c>
      <c r="AA87" s="298">
        <f t="shared" ref="AA87" si="60">AA11+AA30+AA51+AA71</f>
        <v>251177815.35000002</v>
      </c>
      <c r="AB87" s="298">
        <f>AA92</f>
        <v>268590558.76999998</v>
      </c>
      <c r="AC87" s="298">
        <f>AB92</f>
        <v>284830051</v>
      </c>
    </row>
    <row r="88" spans="1:30">
      <c r="A88" t="s">
        <v>82</v>
      </c>
      <c r="C88" s="34">
        <f t="shared" ref="C88:H88" si="61">C12+C52</f>
        <v>4.5288170000000001</v>
      </c>
      <c r="D88" s="34">
        <f t="shared" si="61"/>
        <v>6.4547949999999998</v>
      </c>
      <c r="E88" s="34">
        <f t="shared" si="61"/>
        <v>10.565899999999999</v>
      </c>
      <c r="F88" s="34">
        <f t="shared" si="61"/>
        <v>17.531168000000001</v>
      </c>
      <c r="G88" s="34">
        <f t="shared" si="61"/>
        <v>10.225885999999999</v>
      </c>
      <c r="H88" s="34">
        <f t="shared" si="61"/>
        <v>15.216836000000001</v>
      </c>
      <c r="I88" s="34">
        <f t="shared" si="56"/>
        <v>12.828849</v>
      </c>
      <c r="J88" s="34">
        <f t="shared" si="56"/>
        <v>10.80020508</v>
      </c>
      <c r="K88" s="34">
        <f t="shared" si="56"/>
        <v>13.145175</v>
      </c>
      <c r="L88" s="34">
        <f t="shared" si="56"/>
        <v>11.608947000000001</v>
      </c>
      <c r="M88" s="34">
        <f t="shared" si="56"/>
        <v>18.379282419999999</v>
      </c>
      <c r="N88" s="34">
        <f>N12+N52</f>
        <v>17.369535899999999</v>
      </c>
      <c r="O88" s="298">
        <f t="shared" ref="O88:T91" si="62">O12+O31+O52</f>
        <v>21.938699849999999</v>
      </c>
      <c r="P88" s="298">
        <f t="shared" si="62"/>
        <v>26.655334959999998</v>
      </c>
      <c r="Q88" s="298">
        <f t="shared" si="62"/>
        <v>25.515372330000002</v>
      </c>
      <c r="R88" s="298">
        <f t="shared" si="62"/>
        <v>26.351430989999997</v>
      </c>
      <c r="S88" s="298">
        <f t="shared" si="62"/>
        <v>26.324293999999998</v>
      </c>
      <c r="T88" s="298">
        <f t="shared" si="62"/>
        <v>31.820544999999999</v>
      </c>
      <c r="U88" s="286"/>
      <c r="V88" t="s">
        <v>82</v>
      </c>
      <c r="W88" s="298">
        <f t="shared" si="58"/>
        <v>20306297.43</v>
      </c>
      <c r="X88" s="298">
        <f t="shared" si="58"/>
        <v>26431168.98</v>
      </c>
      <c r="Y88" s="298">
        <f t="shared" si="59"/>
        <v>35228109.090000004</v>
      </c>
      <c r="Z88" s="298">
        <f t="shared" si="59"/>
        <v>31415438</v>
      </c>
      <c r="AA88" s="298">
        <f t="shared" ref="AA88:AB88" si="63">AA12+AA31+AA52+AA72</f>
        <v>36333472.469999999</v>
      </c>
      <c r="AB88" s="298">
        <f t="shared" si="63"/>
        <v>37120336</v>
      </c>
      <c r="AC88" s="298">
        <f t="shared" ref="AC88" si="64">AC12+AC31+AC52+AC72</f>
        <v>34561772</v>
      </c>
    </row>
    <row r="89" spans="1:30">
      <c r="A89" t="s">
        <v>193</v>
      </c>
      <c r="C89" s="34">
        <f t="shared" ref="C89:H89" si="65">C13+C53</f>
        <v>-61.868014354999907</v>
      </c>
      <c r="D89" s="34">
        <f t="shared" si="65"/>
        <v>-61.330942725000199</v>
      </c>
      <c r="E89" s="34">
        <f t="shared" si="65"/>
        <v>-10.209752389999997</v>
      </c>
      <c r="F89" s="34">
        <f t="shared" si="65"/>
        <v>-17.33414359</v>
      </c>
      <c r="G89" s="34">
        <f t="shared" si="65"/>
        <v>-9.9704533500000014</v>
      </c>
      <c r="H89" s="34">
        <f t="shared" si="65"/>
        <v>-15.12071147</v>
      </c>
      <c r="I89" s="34">
        <f t="shared" si="56"/>
        <v>-12.554485509999999</v>
      </c>
      <c r="J89" s="34">
        <f t="shared" si="56"/>
        <v>-10.59673415</v>
      </c>
      <c r="K89" s="34">
        <f t="shared" si="56"/>
        <v>-12.91301932</v>
      </c>
      <c r="L89" s="34">
        <f t="shared" si="56"/>
        <v>-11.297004350000002</v>
      </c>
      <c r="M89" s="34">
        <f t="shared" si="56"/>
        <v>-2.8345609999999986</v>
      </c>
      <c r="N89" s="34">
        <f>N13+N53</f>
        <v>0.21773883000000205</v>
      </c>
      <c r="O89" s="298">
        <f t="shared" si="62"/>
        <v>-10.085059620000013</v>
      </c>
      <c r="P89" s="298">
        <f t="shared" si="62"/>
        <v>-10.469117139999998</v>
      </c>
      <c r="Q89" s="298">
        <f t="shared" si="62"/>
        <v>-11.010246329999987</v>
      </c>
      <c r="R89" s="298">
        <f t="shared" si="62"/>
        <v>-10.858237139999977</v>
      </c>
      <c r="S89" s="298">
        <f t="shared" si="62"/>
        <v>-12.331409679999998</v>
      </c>
      <c r="T89" s="298">
        <f t="shared" si="62"/>
        <v>-15.034855490000011</v>
      </c>
      <c r="U89" s="286"/>
      <c r="V89" t="s">
        <v>193</v>
      </c>
      <c r="W89" s="298">
        <f t="shared" si="58"/>
        <v>-13718655.069999993</v>
      </c>
      <c r="X89" s="298">
        <f t="shared" si="58"/>
        <v>-17679479.390000004</v>
      </c>
      <c r="Y89" s="298">
        <f t="shared" si="59"/>
        <v>-14074547.399999995</v>
      </c>
      <c r="Z89" s="298">
        <f t="shared" si="59"/>
        <v>-16785271.339999996</v>
      </c>
      <c r="AA89" s="298">
        <f t="shared" ref="AA89:AB89" si="66">AA13+AA32+AA53+AA73</f>
        <v>-17681981.890000027</v>
      </c>
      <c r="AB89" s="298">
        <f t="shared" si="66"/>
        <v>-19409924.769999985</v>
      </c>
      <c r="AC89" s="298">
        <f t="shared" ref="AC89" si="67">AC13+AC32+AC53+AC73</f>
        <v>-20865618</v>
      </c>
    </row>
    <row r="90" spans="1:30">
      <c r="A90" t="s">
        <v>83</v>
      </c>
      <c r="C90" s="34">
        <f t="shared" ref="C90:H90" si="68">C14+C54</f>
        <v>-0.12232486000000001</v>
      </c>
      <c r="D90" s="34">
        <f t="shared" si="68"/>
        <v>-0.13174451999999998</v>
      </c>
      <c r="E90" s="34">
        <f t="shared" si="68"/>
        <v>-0.15796484</v>
      </c>
      <c r="F90" s="34">
        <f t="shared" si="68"/>
        <v>-0.16021039000000001</v>
      </c>
      <c r="G90" s="34">
        <f t="shared" si="68"/>
        <v>-0.19046968</v>
      </c>
      <c r="H90" s="34">
        <f t="shared" si="68"/>
        <v>-9.612453E-2</v>
      </c>
      <c r="I90" s="34">
        <f t="shared" si="56"/>
        <v>-0.11709464999999999</v>
      </c>
      <c r="J90" s="34">
        <f t="shared" si="56"/>
        <v>-9.4104520000000011E-2</v>
      </c>
      <c r="K90" s="34">
        <f t="shared" si="56"/>
        <v>-0.18950301999999999</v>
      </c>
      <c r="L90" s="34">
        <f t="shared" si="56"/>
        <v>-0.21873999</v>
      </c>
      <c r="M90" s="34">
        <f t="shared" si="56"/>
        <v>0.144734</v>
      </c>
      <c r="N90" s="34">
        <f>N14+N54</f>
        <v>-0.39512799999999998</v>
      </c>
      <c r="O90" s="298">
        <f t="shared" si="62"/>
        <v>-0.58987847999999998</v>
      </c>
      <c r="P90" s="298">
        <f t="shared" si="62"/>
        <v>-1.0860614199999998</v>
      </c>
      <c r="Q90" s="298">
        <f t="shared" si="62"/>
        <v>-0.32159499999999996</v>
      </c>
      <c r="R90" s="298">
        <f t="shared" si="62"/>
        <v>-1.22215367</v>
      </c>
      <c r="S90" s="298">
        <f t="shared" si="62"/>
        <v>-0.47219832000000006</v>
      </c>
      <c r="T90" s="298">
        <f t="shared" si="62"/>
        <v>-0.52226687999999999</v>
      </c>
      <c r="U90" s="286"/>
      <c r="V90" t="s">
        <v>83</v>
      </c>
      <c r="W90" s="298">
        <f t="shared" si="58"/>
        <v>-644744.52</v>
      </c>
      <c r="X90" s="298">
        <f t="shared" si="58"/>
        <v>-749604.5</v>
      </c>
      <c r="Y90" s="298">
        <f t="shared" si="59"/>
        <v>-716364.53</v>
      </c>
      <c r="Z90" s="298">
        <f t="shared" si="59"/>
        <v>-1145708</v>
      </c>
      <c r="AA90" s="298">
        <f t="shared" ref="AA90:AB90" si="69">AA14+AA33+AA54+AA74</f>
        <v>-894815.23</v>
      </c>
      <c r="AB90" s="298">
        <f t="shared" si="69"/>
        <v>-1030673</v>
      </c>
      <c r="AC90" s="298">
        <f t="shared" ref="AC90" si="70">AC14+AC33+AC54+AC74</f>
        <v>-923166</v>
      </c>
    </row>
    <row r="91" spans="1:30">
      <c r="A91" t="s">
        <v>84</v>
      </c>
      <c r="C91" s="34">
        <f t="shared" ref="C91:H91" si="71">C15+C55</f>
        <v>-0.28863834999999999</v>
      </c>
      <c r="D91" s="34">
        <f t="shared" si="71"/>
        <v>-0.46454378000000002</v>
      </c>
      <c r="E91" s="34">
        <f t="shared" si="71"/>
        <v>-0.19818276999999998</v>
      </c>
      <c r="F91" s="34">
        <f t="shared" si="71"/>
        <v>-3.6814019999999996E-2</v>
      </c>
      <c r="G91" s="34">
        <f t="shared" si="71"/>
        <v>-6.4962969999999995E-2</v>
      </c>
      <c r="H91" s="34">
        <f t="shared" si="71"/>
        <v>0</v>
      </c>
      <c r="I91" s="34">
        <f t="shared" si="56"/>
        <v>-0.15726883999999999</v>
      </c>
      <c r="J91" s="34">
        <f t="shared" si="56"/>
        <v>-0.10936641</v>
      </c>
      <c r="K91" s="34">
        <f t="shared" si="56"/>
        <v>-4.2652660000000002E-2</v>
      </c>
      <c r="L91" s="34">
        <f t="shared" si="56"/>
        <v>-9.3202660000000007E-2</v>
      </c>
      <c r="M91" s="34">
        <f t="shared" si="56"/>
        <v>0.30703399999999997</v>
      </c>
      <c r="N91" s="34">
        <f>N15+N55</f>
        <v>-0.18863615</v>
      </c>
      <c r="O91" s="298">
        <f t="shared" si="62"/>
        <v>-0.26376175000000002</v>
      </c>
      <c r="P91" s="298">
        <f t="shared" si="62"/>
        <v>-0.10015639999999999</v>
      </c>
      <c r="Q91" s="298">
        <f t="shared" si="62"/>
        <v>-0.183531</v>
      </c>
      <c r="R91" s="298">
        <f t="shared" si="62"/>
        <v>-0.27104018000000002</v>
      </c>
      <c r="S91" s="298">
        <f t="shared" si="62"/>
        <v>-0.22068599999999999</v>
      </c>
      <c r="T91" s="298">
        <f t="shared" si="62"/>
        <v>-0.26342262999999999</v>
      </c>
      <c r="U91" s="286"/>
      <c r="V91" t="s">
        <v>84</v>
      </c>
      <c r="W91" s="298">
        <f t="shared" si="58"/>
        <v>-247151.62</v>
      </c>
      <c r="X91" s="298">
        <f t="shared" si="58"/>
        <v>-311381.5</v>
      </c>
      <c r="Y91" s="298">
        <f t="shared" si="59"/>
        <v>-330322.82</v>
      </c>
      <c r="Z91" s="298">
        <f t="shared" si="59"/>
        <v>-432022.05</v>
      </c>
      <c r="AA91" s="298">
        <f t="shared" ref="AA91:AB91" si="72">AA15+AA34+AA55+AA75</f>
        <v>-343931.93</v>
      </c>
      <c r="AB91" s="298">
        <f t="shared" si="72"/>
        <v>-440246</v>
      </c>
      <c r="AC91" s="298">
        <f t="shared" ref="AC91" si="73">AC15+AC34+AC55+AC75</f>
        <v>-307671</v>
      </c>
    </row>
    <row r="92" spans="1:30" ht="15.75" thickBot="1">
      <c r="A92" t="s">
        <v>81</v>
      </c>
      <c r="C92" s="24">
        <f t="shared" ref="C92:N92" si="74">SUM(C87:C91)</f>
        <v>-1.4988010832439613E-15</v>
      </c>
      <c r="D92" s="24">
        <f t="shared" si="74"/>
        <v>-2.3314683517128287E-15</v>
      </c>
      <c r="E92" s="24">
        <f t="shared" si="74"/>
        <v>7.4940054162198066E-16</v>
      </c>
      <c r="F92" s="24">
        <f t="shared" si="74"/>
        <v>9.2287288921966137E-16</v>
      </c>
      <c r="G92" s="24">
        <f t="shared" si="74"/>
        <v>-5.134781488891349E-16</v>
      </c>
      <c r="H92" s="24">
        <f t="shared" si="74"/>
        <v>8.7430063189231078E-16</v>
      </c>
      <c r="I92" s="24">
        <f t="shared" si="74"/>
        <v>7.2164496600635175E-16</v>
      </c>
      <c r="J92" s="24">
        <f t="shared" si="74"/>
        <v>0</v>
      </c>
      <c r="K92" s="24">
        <f t="shared" si="74"/>
        <v>0</v>
      </c>
      <c r="L92" s="24">
        <f t="shared" si="74"/>
        <v>-1.124100812432971E-15</v>
      </c>
      <c r="M92" s="24">
        <f t="shared" si="74"/>
        <v>15.99648942</v>
      </c>
      <c r="N92" s="24">
        <f t="shared" si="74"/>
        <v>32.003510580000004</v>
      </c>
      <c r="O92" s="24">
        <f t="shared" ref="O92:T92" si="75">SUM(O87:O91)</f>
        <v>130</v>
      </c>
      <c r="P92" s="24">
        <f t="shared" si="75"/>
        <v>145</v>
      </c>
      <c r="Q92" s="24">
        <f t="shared" si="75"/>
        <v>159.00000000000003</v>
      </c>
      <c r="R92" s="24">
        <f t="shared" si="75"/>
        <v>173</v>
      </c>
      <c r="S92" s="24">
        <f t="shared" si="75"/>
        <v>186</v>
      </c>
      <c r="T92" s="24">
        <f t="shared" si="75"/>
        <v>202</v>
      </c>
      <c r="U92" s="327"/>
      <c r="V92" t="s">
        <v>81</v>
      </c>
      <c r="W92" s="24">
        <f t="shared" ref="W92:AB92" si="76">SUM(W87:W91)</f>
        <v>208515836.81</v>
      </c>
      <c r="X92" s="24">
        <f t="shared" si="76"/>
        <v>216206540.39999998</v>
      </c>
      <c r="Y92" s="24">
        <f t="shared" si="76"/>
        <v>238125378.74000001</v>
      </c>
      <c r="Z92" s="24">
        <f t="shared" si="76"/>
        <v>251177815.34999999</v>
      </c>
      <c r="AA92" s="24">
        <f t="shared" si="76"/>
        <v>268590558.76999998</v>
      </c>
      <c r="AB92" s="24">
        <f t="shared" si="76"/>
        <v>284830051</v>
      </c>
      <c r="AC92" s="24">
        <f t="shared" ref="AC92" si="77">SUM(AC87:AC91)</f>
        <v>297295368</v>
      </c>
      <c r="AD92" t="s">
        <v>506</v>
      </c>
    </row>
    <row r="94" spans="1:30">
      <c r="W94" s="360">
        <f t="shared" ref="W94:AC94" si="78">W91/34.9</f>
        <v>-7081.7083094555874</v>
      </c>
      <c r="X94" s="360">
        <f t="shared" si="78"/>
        <v>-8922.106017191978</v>
      </c>
      <c r="Y94" s="360">
        <f t="shared" si="78"/>
        <v>-9464.8372492836679</v>
      </c>
      <c r="Z94" s="360">
        <f t="shared" si="78"/>
        <v>-12378.855300859599</v>
      </c>
      <c r="AA94" s="360">
        <f t="shared" si="78"/>
        <v>-9854.7830945558744</v>
      </c>
      <c r="AB94" s="360">
        <f t="shared" si="78"/>
        <v>-12614.498567335244</v>
      </c>
      <c r="AC94" s="360">
        <f t="shared" si="78"/>
        <v>-8815.7879656160458</v>
      </c>
      <c r="AD94" s="360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68"/>
  <sheetViews>
    <sheetView showGridLines="0" topLeftCell="F28" zoomScale="120" zoomScaleNormal="120" workbookViewId="0">
      <selection activeCell="G48" sqref="G48"/>
    </sheetView>
  </sheetViews>
  <sheetFormatPr defaultColWidth="9.140625" defaultRowHeight="14.25"/>
  <cols>
    <col min="1" max="1" width="0" style="47" hidden="1" customWidth="1"/>
    <col min="2" max="2" width="3.140625" style="47" customWidth="1"/>
    <col min="3" max="3" width="2.85546875" style="47" customWidth="1"/>
    <col min="4" max="4" width="5" style="47" customWidth="1"/>
    <col min="5" max="5" width="22" style="47" customWidth="1"/>
    <col min="6" max="6" width="32.140625" style="47" customWidth="1"/>
    <col min="7" max="7" width="29" style="47" bestFit="1" customWidth="1"/>
    <col min="8" max="8" width="8.140625" style="47" bestFit="1" customWidth="1"/>
    <col min="9" max="9" width="12.7109375" style="47" hidden="1" customWidth="1"/>
    <col min="10" max="10" width="13.5703125" style="47" hidden="1" customWidth="1"/>
    <col min="11" max="13" width="13.85546875" style="47" hidden="1" customWidth="1"/>
    <col min="14" max="14" width="13.42578125" style="47" customWidth="1"/>
    <col min="15" max="18" width="19.85546875" style="47" customWidth="1"/>
    <col min="19" max="19" width="12" style="47" customWidth="1"/>
    <col min="20" max="20" width="12.140625" style="47" bestFit="1" customWidth="1"/>
    <col min="21" max="22" width="12.28515625" style="47" bestFit="1" customWidth="1"/>
    <col min="23" max="23" width="12.140625" style="47" bestFit="1" customWidth="1"/>
    <col min="24" max="24" width="12.28515625" style="47" bestFit="1" customWidth="1"/>
    <col min="25" max="25" width="11.42578125" style="47" bestFit="1" customWidth="1"/>
    <col min="26" max="26" width="12.85546875" style="47" bestFit="1" customWidth="1"/>
    <col min="27" max="27" width="9.85546875" style="52" bestFit="1" customWidth="1"/>
    <col min="28" max="16384" width="9.140625" style="47"/>
  </cols>
  <sheetData>
    <row r="1" spans="2:54" ht="15" thickBot="1">
      <c r="P1" s="319" t="s">
        <v>365</v>
      </c>
      <c r="Q1" s="319" t="s">
        <v>366</v>
      </c>
      <c r="R1" s="319" t="s">
        <v>397</v>
      </c>
    </row>
    <row r="2" spans="2:54">
      <c r="F2" s="137" t="s">
        <v>176</v>
      </c>
      <c r="G2" s="138" t="s">
        <v>233</v>
      </c>
      <c r="H2" s="138"/>
      <c r="I2" s="138"/>
      <c r="J2" s="143">
        <v>9.5200000000000007E-2</v>
      </c>
      <c r="K2" s="143">
        <v>0.10340000000000001</v>
      </c>
      <c r="L2" s="251">
        <v>9.3799999999999994E-2</v>
      </c>
      <c r="M2" s="274">
        <v>0.1047</v>
      </c>
      <c r="N2" s="274">
        <v>0.1186</v>
      </c>
      <c r="O2" s="276">
        <v>0.13350000000000001</v>
      </c>
      <c r="P2" s="320">
        <v>0.15</v>
      </c>
      <c r="Q2" s="320">
        <v>0.12</v>
      </c>
      <c r="R2" s="320">
        <v>0.16</v>
      </c>
      <c r="S2" s="320"/>
    </row>
    <row r="3" spans="2:54">
      <c r="F3" s="139" t="s">
        <v>178</v>
      </c>
      <c r="G3" s="53" t="s">
        <v>233</v>
      </c>
      <c r="H3" s="53"/>
      <c r="I3" s="53"/>
      <c r="J3" s="144">
        <v>4.4200000000000003E-2</v>
      </c>
      <c r="K3" s="250">
        <v>8.0000000000000002E-3</v>
      </c>
      <c r="L3" s="252">
        <v>8.4500000000000006E-2</v>
      </c>
      <c r="M3" s="273">
        <v>0.13919999999999999</v>
      </c>
      <c r="N3" s="273">
        <v>8.8499999999999995E-2</v>
      </c>
      <c r="O3" s="277">
        <v>6.1800000000000001E-2</v>
      </c>
      <c r="P3" s="321">
        <v>0.06</v>
      </c>
      <c r="Q3" s="321">
        <v>0.02</v>
      </c>
      <c r="R3" s="321">
        <v>0.04</v>
      </c>
      <c r="S3" s="321"/>
    </row>
    <row r="4" spans="2:54">
      <c r="F4" s="139" t="s">
        <v>180</v>
      </c>
      <c r="G4" s="53" t="s">
        <v>233</v>
      </c>
      <c r="H4" s="53"/>
      <c r="I4" s="53"/>
      <c r="J4" s="144">
        <v>0</v>
      </c>
      <c r="K4" s="144">
        <v>0</v>
      </c>
      <c r="L4" s="252">
        <v>0</v>
      </c>
      <c r="M4" s="273">
        <v>6.9999999999999999E-4</v>
      </c>
      <c r="N4" s="273">
        <v>3.2199999999999999E-2</v>
      </c>
      <c r="O4" s="277">
        <v>2E-3</v>
      </c>
      <c r="P4" s="321">
        <v>7.0000000000000007E-2</v>
      </c>
      <c r="Q4" s="321">
        <v>0.01</v>
      </c>
      <c r="R4" s="321">
        <v>0</v>
      </c>
      <c r="S4" s="321"/>
    </row>
    <row r="5" spans="2:54">
      <c r="F5" s="139" t="s">
        <v>186</v>
      </c>
      <c r="G5" s="53" t="s">
        <v>233</v>
      </c>
      <c r="H5" s="53"/>
      <c r="I5" s="53"/>
      <c r="J5" s="144">
        <v>0</v>
      </c>
      <c r="K5" s="144">
        <v>0</v>
      </c>
      <c r="L5" s="252">
        <v>0</v>
      </c>
      <c r="M5" s="273">
        <v>0</v>
      </c>
      <c r="N5" s="273">
        <v>0</v>
      </c>
      <c r="O5" s="277"/>
      <c r="P5" s="321"/>
      <c r="Q5" s="321"/>
      <c r="R5" s="321"/>
      <c r="S5" s="321"/>
    </row>
    <row r="6" spans="2:54">
      <c r="F6" s="139" t="s">
        <v>364</v>
      </c>
      <c r="G6" s="53" t="s">
        <v>233</v>
      </c>
      <c r="H6" s="53"/>
      <c r="I6" s="53"/>
      <c r="J6" s="144"/>
      <c r="K6" s="144"/>
      <c r="L6" s="252"/>
      <c r="M6" s="273"/>
      <c r="N6" s="273"/>
      <c r="O6" s="277"/>
      <c r="P6" s="354">
        <v>0.28000000000000003</v>
      </c>
      <c r="Q6" s="354">
        <v>0.28000000000000003</v>
      </c>
      <c r="R6" s="354">
        <v>0.32</v>
      </c>
      <c r="S6" s="354"/>
    </row>
    <row r="7" spans="2:54" ht="15" thickBot="1">
      <c r="F7" s="140" t="s">
        <v>188</v>
      </c>
      <c r="G7" s="141" t="s">
        <v>233</v>
      </c>
      <c r="H7" s="141"/>
      <c r="I7" s="141"/>
      <c r="J7" s="145">
        <v>0.24260000000000001</v>
      </c>
      <c r="K7" s="145">
        <v>0.2591</v>
      </c>
      <c r="L7" s="253">
        <v>0.28010000000000002</v>
      </c>
      <c r="M7" s="275">
        <v>0.29970000000000002</v>
      </c>
      <c r="N7" s="275">
        <v>0.31340000000000001</v>
      </c>
      <c r="O7" s="278">
        <v>0.2485</v>
      </c>
      <c r="P7" s="322">
        <v>0.28000000000000003</v>
      </c>
      <c r="Q7" s="322">
        <v>0.34</v>
      </c>
      <c r="R7" s="322">
        <v>0.36</v>
      </c>
      <c r="S7" s="322"/>
    </row>
    <row r="10" spans="2:54" s="54" customFormat="1" ht="16.5" customHeight="1">
      <c r="C10" s="55" t="s">
        <v>206</v>
      </c>
      <c r="D10" s="55"/>
      <c r="E10" s="55"/>
      <c r="F10" s="55"/>
      <c r="G10" s="55"/>
      <c r="H10" s="55"/>
      <c r="I10" s="55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345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2:54" ht="17.25" customHeight="1" thickBot="1">
      <c r="B11" s="57"/>
      <c r="C11" s="49"/>
      <c r="D11" s="49"/>
      <c r="E11" s="49"/>
      <c r="F11" s="49"/>
      <c r="G11" s="49"/>
      <c r="H11" s="129" t="s">
        <v>231</v>
      </c>
      <c r="I11" s="147">
        <v>42156</v>
      </c>
      <c r="J11" s="130">
        <v>42186</v>
      </c>
      <c r="K11" s="130">
        <v>42217</v>
      </c>
      <c r="L11" s="130">
        <v>42248</v>
      </c>
      <c r="M11" s="130">
        <v>42278</v>
      </c>
      <c r="N11" s="130">
        <v>42309</v>
      </c>
      <c r="O11" s="130">
        <v>42339</v>
      </c>
      <c r="P11" s="344">
        <v>42370</v>
      </c>
      <c r="Q11" s="344">
        <v>42401</v>
      </c>
      <c r="R11" s="344">
        <v>42430</v>
      </c>
      <c r="S11" s="125" t="s">
        <v>232</v>
      </c>
      <c r="T11" s="126">
        <v>42186</v>
      </c>
      <c r="U11" s="126">
        <v>42217</v>
      </c>
      <c r="V11" s="126">
        <v>42248</v>
      </c>
      <c r="W11" s="126">
        <v>42278</v>
      </c>
      <c r="X11" s="126">
        <v>42309</v>
      </c>
      <c r="Y11" s="126">
        <v>42339</v>
      </c>
      <c r="Z11" s="346"/>
      <c r="AA11" s="346"/>
    </row>
    <row r="12" spans="2:54" s="51" customFormat="1" ht="15">
      <c r="C12" s="59"/>
      <c r="D12" s="258" t="s">
        <v>311</v>
      </c>
      <c r="E12" s="49"/>
      <c r="F12" s="49"/>
      <c r="G12" s="152" t="s">
        <v>234</v>
      </c>
      <c r="H12" s="163"/>
      <c r="I12" s="163"/>
      <c r="J12" s="164"/>
      <c r="K12" s="164"/>
      <c r="L12" s="164"/>
      <c r="M12" s="164"/>
      <c r="N12" s="203"/>
      <c r="O12" s="203"/>
      <c r="P12" s="203"/>
      <c r="Q12" s="203"/>
      <c r="R12" s="203"/>
      <c r="S12" s="127"/>
      <c r="T12" s="127"/>
      <c r="U12" s="127"/>
      <c r="V12" s="127"/>
      <c r="W12" s="127"/>
      <c r="X12" s="127"/>
      <c r="Y12" s="127"/>
      <c r="Z12" s="65"/>
      <c r="AA12" s="65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</row>
    <row r="13" spans="2:54" s="51" customFormat="1" ht="28.5">
      <c r="C13" s="60" t="s">
        <v>164</v>
      </c>
      <c r="D13" s="49"/>
      <c r="E13" s="49"/>
      <c r="F13" s="60" t="s">
        <v>165</v>
      </c>
      <c r="G13" s="159" t="s">
        <v>302</v>
      </c>
      <c r="H13" s="164"/>
      <c r="I13" s="146">
        <v>16590364.683999989</v>
      </c>
      <c r="J13" s="202">
        <v>20381895.421000011</v>
      </c>
      <c r="K13" s="203">
        <v>24686216.657999974</v>
      </c>
      <c r="L13" s="203">
        <v>29423441.178000011</v>
      </c>
      <c r="M13" s="203">
        <v>34754220.955000013</v>
      </c>
      <c r="N13" s="203">
        <f>25871367.42+14825556.3</f>
        <v>40696923.719999999</v>
      </c>
      <c r="O13" s="203">
        <f>27151002.16+20234399.92</f>
        <v>47385402.079999998</v>
      </c>
      <c r="P13" s="203">
        <f>1093948.54+6026429.72</f>
        <v>7120378.2599999998</v>
      </c>
      <c r="Q13" s="203">
        <f>1922569.58</f>
        <v>1922569.58</v>
      </c>
      <c r="R13" s="203">
        <f>2627882.54+19445131.44+74821.68</f>
        <v>22147835.66</v>
      </c>
      <c r="S13" s="127"/>
      <c r="T13" s="142">
        <v>15808547.87000002</v>
      </c>
      <c r="U13" s="142">
        <v>14455781.969999969</v>
      </c>
      <c r="V13" s="142">
        <v>12863676.660000026</v>
      </c>
      <c r="W13" s="142">
        <v>11843235</v>
      </c>
      <c r="X13" s="142">
        <v>10613746.129999965</v>
      </c>
      <c r="Y13" s="127">
        <v>9765540.930000037</v>
      </c>
      <c r="Z13" s="348"/>
      <c r="AA13" s="347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</row>
    <row r="14" spans="2:54" s="51" customFormat="1">
      <c r="C14" s="60"/>
      <c r="D14" s="49"/>
      <c r="E14" s="49"/>
      <c r="F14" s="60" t="s">
        <v>165</v>
      </c>
      <c r="G14" s="159"/>
      <c r="H14" s="164"/>
      <c r="I14" s="146"/>
      <c r="J14" s="202"/>
      <c r="K14" s="203"/>
      <c r="L14" s="203"/>
      <c r="M14" s="203"/>
      <c r="N14" s="203"/>
      <c r="O14" s="203"/>
      <c r="P14" s="203"/>
      <c r="Q14" s="203">
        <v>12522326.73</v>
      </c>
      <c r="R14" s="203"/>
      <c r="S14" s="127"/>
      <c r="T14" s="142"/>
      <c r="U14" s="142"/>
      <c r="V14" s="142"/>
      <c r="W14" s="142"/>
      <c r="X14" s="142"/>
      <c r="Y14" s="127"/>
      <c r="Z14" s="348"/>
      <c r="AA14" s="347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</row>
    <row r="15" spans="2:54" s="51" customFormat="1" ht="42.75">
      <c r="C15" s="61" t="s">
        <v>166</v>
      </c>
      <c r="D15" s="49" t="s">
        <v>167</v>
      </c>
      <c r="E15" s="49"/>
      <c r="F15" s="49" t="s">
        <v>168</v>
      </c>
      <c r="G15" s="160" t="s">
        <v>309</v>
      </c>
      <c r="H15" s="164"/>
      <c r="I15" s="146">
        <v>3414884.2770000114</v>
      </c>
      <c r="J15" s="202">
        <v>3860480.3500000034</v>
      </c>
      <c r="K15" s="203">
        <v>4384351.7800000031</v>
      </c>
      <c r="L15" s="203">
        <v>4849730.8000000063</v>
      </c>
      <c r="M15" s="203">
        <v>5879456.1800000006</v>
      </c>
      <c r="N15" s="203">
        <f>1527347.7+4375402.95</f>
        <v>5902750.6500000004</v>
      </c>
      <c r="O15" s="203">
        <f>1288276.14+5132947.12</f>
        <v>6421223.2599999998</v>
      </c>
      <c r="P15" s="203">
        <f>1067430.61+5727051.21</f>
        <v>6794481.8200000003</v>
      </c>
      <c r="Q15" s="203">
        <f>865706.99+6040932.92</f>
        <v>6906639.9100000001</v>
      </c>
      <c r="R15" s="203">
        <f>717108.19+6940158.05+38332.14</f>
        <v>7695598.3799999999</v>
      </c>
      <c r="S15" s="127"/>
      <c r="T15" s="142">
        <v>18940708.420000002</v>
      </c>
      <c r="U15" s="142">
        <v>17367175.670000002</v>
      </c>
      <c r="V15" s="142">
        <v>15687923.820000002</v>
      </c>
      <c r="W15" s="142">
        <v>14191555.780000001</v>
      </c>
      <c r="X15" s="142">
        <v>12520005.959999999</v>
      </c>
      <c r="Y15" s="127">
        <v>11097311.930000002</v>
      </c>
      <c r="Z15" s="348"/>
      <c r="AA15" s="34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</row>
    <row r="16" spans="2:54" s="51" customFormat="1" ht="15">
      <c r="C16" s="61"/>
      <c r="D16" s="49"/>
      <c r="E16" s="49"/>
      <c r="F16" s="49"/>
      <c r="G16" s="153" t="s">
        <v>236</v>
      </c>
      <c r="H16" s="164"/>
      <c r="I16" s="247">
        <f t="shared" ref="I16:N16" si="0">I13+I15</f>
        <v>20005248.960999999</v>
      </c>
      <c r="J16" s="248">
        <f t="shared" si="0"/>
        <v>24242375.771000013</v>
      </c>
      <c r="K16" s="248">
        <f t="shared" si="0"/>
        <v>29070568.437999979</v>
      </c>
      <c r="L16" s="248">
        <f t="shared" si="0"/>
        <v>34273171.978000015</v>
      </c>
      <c r="M16" s="248">
        <f t="shared" si="0"/>
        <v>40633677.135000013</v>
      </c>
      <c r="N16" s="248">
        <f t="shared" si="0"/>
        <v>46599674.369999997</v>
      </c>
      <c r="O16" s="248">
        <f>O13+O15</f>
        <v>53806625.339999996</v>
      </c>
      <c r="P16" s="248">
        <f>P13+P15</f>
        <v>13914860.08</v>
      </c>
      <c r="Q16" s="248">
        <f>Q13+Q15</f>
        <v>8829209.4900000002</v>
      </c>
      <c r="R16" s="248">
        <f>R13+R15</f>
        <v>29843434.039999999</v>
      </c>
      <c r="S16" s="127"/>
      <c r="T16" s="246">
        <f>T13+T15</f>
        <v>34749256.290000021</v>
      </c>
      <c r="U16" s="246">
        <f>U13+U15</f>
        <v>31822957.639999971</v>
      </c>
      <c r="V16" s="246">
        <f>V13+V15</f>
        <v>28551600.480000027</v>
      </c>
      <c r="W16" s="246">
        <f>W13+W15</f>
        <v>26034790.780000001</v>
      </c>
      <c r="X16" s="246">
        <f>X13+X15</f>
        <v>23133752.089999966</v>
      </c>
      <c r="Y16" s="127">
        <v>20862852.860000037</v>
      </c>
      <c r="Z16" s="348"/>
      <c r="AA16" s="34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</row>
    <row r="17" spans="1:46" s="51" customFormat="1" ht="15">
      <c r="C17" s="61" t="s">
        <v>169</v>
      </c>
      <c r="D17" s="49" t="s">
        <v>170</v>
      </c>
      <c r="E17" s="49"/>
      <c r="F17" s="200" t="s">
        <v>171</v>
      </c>
      <c r="G17" s="153"/>
      <c r="H17" s="164"/>
      <c r="I17" s="146">
        <v>2296953.42</v>
      </c>
      <c r="J17" s="146">
        <v>2296953.42</v>
      </c>
      <c r="K17" s="146">
        <v>2296953.42</v>
      </c>
      <c r="L17" s="146">
        <v>2296953.42</v>
      </c>
      <c r="M17" s="146">
        <v>2296953.42</v>
      </c>
      <c r="N17" s="203">
        <v>2296953.42</v>
      </c>
      <c r="O17" s="203">
        <v>2296953.42</v>
      </c>
      <c r="P17" s="203">
        <f>1288276.14+5135611.33</f>
        <v>6423887.4699999997</v>
      </c>
      <c r="Q17" s="358">
        <f>P17</f>
        <v>6423887.4699999997</v>
      </c>
      <c r="R17" s="358">
        <f>Q17</f>
        <v>6423887.4699999997</v>
      </c>
      <c r="S17" s="127"/>
      <c r="T17" s="142">
        <v>20551185.419999998</v>
      </c>
      <c r="U17" s="142">
        <v>18940708.420000002</v>
      </c>
      <c r="V17" s="142">
        <v>17367175.670000002</v>
      </c>
      <c r="W17" s="142">
        <v>15687923.820000002</v>
      </c>
      <c r="X17" s="142">
        <v>14191555.780000001</v>
      </c>
      <c r="Y17" s="127">
        <v>12520005.959999999</v>
      </c>
      <c r="Z17" s="348"/>
      <c r="AA17" s="34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</row>
    <row r="18" spans="1:46" s="51" customFormat="1" ht="18" customHeight="1">
      <c r="C18" s="49" t="s">
        <v>172</v>
      </c>
      <c r="D18" s="49"/>
      <c r="E18" s="49"/>
      <c r="F18" s="49" t="s">
        <v>173</v>
      </c>
      <c r="G18" s="153"/>
      <c r="H18" s="165"/>
      <c r="I18" s="186">
        <f t="shared" ref="I18:O18" si="1">I16-I17</f>
        <v>17708295.541000001</v>
      </c>
      <c r="J18" s="186">
        <f t="shared" si="1"/>
        <v>21945422.351000011</v>
      </c>
      <c r="K18" s="186">
        <f t="shared" si="1"/>
        <v>26773615.017999977</v>
      </c>
      <c r="L18" s="186">
        <f t="shared" si="1"/>
        <v>31976218.558000013</v>
      </c>
      <c r="M18" s="186">
        <f t="shared" si="1"/>
        <v>38336723.715000011</v>
      </c>
      <c r="N18" s="186">
        <f>N16-N17</f>
        <v>44302720.949999996</v>
      </c>
      <c r="O18" s="186">
        <f t="shared" si="1"/>
        <v>51509671.919999994</v>
      </c>
      <c r="P18" s="186">
        <f>P16-P17</f>
        <v>7490972.6100000003</v>
      </c>
      <c r="Q18" s="186">
        <f>Q16-Q17</f>
        <v>2405322.0200000005</v>
      </c>
      <c r="R18" s="186">
        <f>R16-R17</f>
        <v>23419546.57</v>
      </c>
      <c r="S18" s="185"/>
      <c r="T18" s="183">
        <f>T16-T17</f>
        <v>14198070.870000023</v>
      </c>
      <c r="U18" s="183">
        <f>U16-U17</f>
        <v>12882249.219999969</v>
      </c>
      <c r="V18" s="183">
        <f>V16-V17</f>
        <v>11184424.810000025</v>
      </c>
      <c r="W18" s="183">
        <f>W16-W17</f>
        <v>10346866.959999999</v>
      </c>
      <c r="X18" s="183">
        <f>X16-X17</f>
        <v>8942196.3099999651</v>
      </c>
      <c r="Y18" s="127">
        <v>8342846.9000000376</v>
      </c>
      <c r="Z18" s="348"/>
      <c r="AA18" s="34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</row>
    <row r="19" spans="1:46" s="51" customFormat="1" ht="18" customHeight="1">
      <c r="C19" s="62" t="s">
        <v>166</v>
      </c>
      <c r="D19" s="63" t="s">
        <v>209</v>
      </c>
      <c r="E19" s="63"/>
      <c r="F19" s="63" t="s">
        <v>210</v>
      </c>
      <c r="G19" s="153" t="s">
        <v>244</v>
      </c>
      <c r="H19" s="165"/>
      <c r="I19" s="165">
        <v>0</v>
      </c>
      <c r="J19" s="164">
        <f t="shared" ref="J19:O19" si="2">T19</f>
        <v>0</v>
      </c>
      <c r="K19" s="146">
        <f t="shared" si="2"/>
        <v>5807.4</v>
      </c>
      <c r="L19" s="146">
        <f t="shared" si="2"/>
        <v>8922.98</v>
      </c>
      <c r="M19" s="146">
        <f t="shared" si="2"/>
        <v>13481.67</v>
      </c>
      <c r="N19" s="146">
        <f t="shared" si="2"/>
        <v>17695.38</v>
      </c>
      <c r="O19" s="146">
        <f t="shared" si="2"/>
        <v>33932.46</v>
      </c>
      <c r="P19" s="146">
        <v>0</v>
      </c>
      <c r="Q19" s="146"/>
      <c r="R19" s="146"/>
      <c r="S19" s="127"/>
      <c r="T19" s="142">
        <v>0</v>
      </c>
      <c r="U19" s="142">
        <v>5807.4</v>
      </c>
      <c r="V19" s="142">
        <v>8922.98</v>
      </c>
      <c r="W19" s="142">
        <v>13481.67</v>
      </c>
      <c r="X19" s="142">
        <v>17695.38</v>
      </c>
      <c r="Y19" s="127">
        <v>33932.46</v>
      </c>
      <c r="Z19" s="348"/>
      <c r="AA19" s="34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</row>
    <row r="20" spans="1:46" s="51" customFormat="1" ht="18" customHeight="1">
      <c r="C20" s="58" t="s">
        <v>211</v>
      </c>
      <c r="D20" s="58"/>
      <c r="E20" s="58"/>
      <c r="F20" s="58" t="s">
        <v>212</v>
      </c>
      <c r="G20" s="153"/>
      <c r="H20" s="165"/>
      <c r="I20" s="182">
        <f t="shared" ref="I20:N20" si="3">I18+I19</f>
        <v>17708295.541000001</v>
      </c>
      <c r="J20" s="182">
        <f t="shared" si="3"/>
        <v>21945422.351000011</v>
      </c>
      <c r="K20" s="182">
        <f t="shared" si="3"/>
        <v>26779422.417999975</v>
      </c>
      <c r="L20" s="182">
        <f t="shared" si="3"/>
        <v>31985141.538000014</v>
      </c>
      <c r="M20" s="182">
        <f t="shared" si="3"/>
        <v>38350205.385000013</v>
      </c>
      <c r="N20" s="182">
        <f t="shared" si="3"/>
        <v>44320416.329999998</v>
      </c>
      <c r="O20" s="182">
        <f>O18+O19</f>
        <v>51543604.379999995</v>
      </c>
      <c r="P20" s="182">
        <f>P18+P19</f>
        <v>7490972.6100000003</v>
      </c>
      <c r="Q20" s="182">
        <f>Q18+Q19</f>
        <v>2405322.0200000005</v>
      </c>
      <c r="R20" s="182">
        <f>R18+R19</f>
        <v>23419546.57</v>
      </c>
      <c r="S20" s="185"/>
      <c r="T20" s="183">
        <f>T18+T19</f>
        <v>14198070.870000023</v>
      </c>
      <c r="U20" s="183">
        <f>U18+U19</f>
        <v>12888056.619999969</v>
      </c>
      <c r="V20" s="183">
        <f>V18+V19</f>
        <v>11193347.790000025</v>
      </c>
      <c r="W20" s="183">
        <f>W18+W19</f>
        <v>10360348.629999999</v>
      </c>
      <c r="X20" s="183">
        <f>X18+X19</f>
        <v>8959891.689999966</v>
      </c>
      <c r="Y20" s="127">
        <v>8376779.3600000376</v>
      </c>
      <c r="Z20" s="348"/>
      <c r="AA20" s="34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</row>
    <row r="21" spans="1:46" s="166" customFormat="1" ht="18" customHeight="1">
      <c r="C21" s="167"/>
      <c r="D21" s="167"/>
      <c r="E21" s="167"/>
      <c r="F21" s="168" t="s">
        <v>57</v>
      </c>
      <c r="G21" s="169"/>
      <c r="H21" s="170"/>
      <c r="I21" s="170"/>
      <c r="J21" s="201">
        <f t="shared" ref="J21:O21" si="4">J20-I20</f>
        <v>4237126.8100000098</v>
      </c>
      <c r="K21" s="201">
        <f t="shared" si="4"/>
        <v>4834000.0669999644</v>
      </c>
      <c r="L21" s="201">
        <f t="shared" si="4"/>
        <v>5205719.1200000383</v>
      </c>
      <c r="M21" s="201">
        <f t="shared" si="4"/>
        <v>6365063.8469999991</v>
      </c>
      <c r="N21" s="201">
        <f>N20-M20</f>
        <v>5970210.9449999854</v>
      </c>
      <c r="O21" s="201">
        <f t="shared" si="4"/>
        <v>7223188.049999997</v>
      </c>
      <c r="P21" s="201">
        <f>P20</f>
        <v>7490972.6100000003</v>
      </c>
      <c r="Q21" s="201">
        <f>Q20-P20</f>
        <v>-5085650.59</v>
      </c>
      <c r="R21" s="201">
        <f>R20-Q20</f>
        <v>21014224.550000001</v>
      </c>
      <c r="S21" s="171"/>
      <c r="T21" s="171"/>
      <c r="U21" s="180">
        <f>U20-T20</f>
        <v>-1310014.250000054</v>
      </c>
      <c r="V21" s="180">
        <f>V20-U20</f>
        <v>-1694708.8299999442</v>
      </c>
      <c r="W21" s="180">
        <f>W20-V20</f>
        <v>-832999.16000002623</v>
      </c>
      <c r="X21" s="180">
        <f>X20-W20</f>
        <v>-1400456.940000033</v>
      </c>
      <c r="Y21" s="180">
        <f>Y20-X20</f>
        <v>-583112.32999992836</v>
      </c>
      <c r="Z21" s="349"/>
      <c r="AA21" s="349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</row>
    <row r="22" spans="1:46" s="64" customFormat="1" ht="18" customHeight="1">
      <c r="C22" s="65"/>
      <c r="D22" s="65"/>
      <c r="E22" s="65"/>
      <c r="F22" s="65"/>
      <c r="G22" s="153"/>
      <c r="H22" s="165"/>
      <c r="I22" s="165"/>
      <c r="J22" s="164"/>
      <c r="K22" s="164"/>
      <c r="L22" s="164"/>
      <c r="M22" s="164"/>
      <c r="N22" s="164"/>
      <c r="O22" s="164"/>
      <c r="P22" s="164"/>
      <c r="Q22" s="164"/>
      <c r="R22" s="164"/>
      <c r="S22" s="127"/>
      <c r="T22" s="127"/>
      <c r="U22" s="127"/>
      <c r="V22" s="127"/>
      <c r="W22" s="127"/>
      <c r="X22" s="142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</row>
    <row r="23" spans="1:46" customFormat="1" ht="16.5">
      <c r="A23" s="66"/>
      <c r="B23" s="66"/>
      <c r="C23" s="67"/>
      <c r="D23" s="68" t="s">
        <v>312</v>
      </c>
      <c r="E23" s="67"/>
      <c r="F23" s="67"/>
      <c r="G23" s="153"/>
      <c r="H23" s="165"/>
      <c r="I23" s="165"/>
      <c r="J23" s="164"/>
      <c r="K23" s="164"/>
      <c r="L23" s="164"/>
      <c r="M23" s="164"/>
      <c r="N23" s="164"/>
      <c r="O23" s="164"/>
      <c r="P23" s="164"/>
      <c r="Q23" s="164"/>
      <c r="R23" s="164"/>
      <c r="S23" s="127"/>
      <c r="T23" s="127"/>
      <c r="U23" s="127"/>
      <c r="V23" s="127"/>
      <c r="W23" s="127"/>
      <c r="X23" s="142"/>
      <c r="AA23" s="1"/>
    </row>
    <row r="24" spans="1:46" customFormat="1" ht="15.75">
      <c r="A24" s="66"/>
      <c r="B24" s="66"/>
      <c r="C24" s="67"/>
      <c r="D24" s="67"/>
      <c r="E24" s="67"/>
      <c r="F24" s="69" t="s">
        <v>165</v>
      </c>
      <c r="G24" s="159" t="s">
        <v>235</v>
      </c>
      <c r="H24" s="165"/>
      <c r="I24" s="148">
        <v>70899.600000000006</v>
      </c>
      <c r="J24" s="146">
        <v>87683.569999999992</v>
      </c>
      <c r="K24" s="146">
        <v>210994.94000000003</v>
      </c>
      <c r="L24" s="146">
        <v>472853.62000000034</v>
      </c>
      <c r="M24" s="146">
        <v>825660.86000000103</v>
      </c>
      <c r="N24" s="146">
        <v>1305861.25</v>
      </c>
      <c r="O24" s="146">
        <v>1956188.97</v>
      </c>
      <c r="P24" s="146">
        <v>721173.73</v>
      </c>
      <c r="Q24" s="146">
        <v>1625446.82</v>
      </c>
      <c r="R24" s="146">
        <f>2623990.43</f>
        <v>2623990.4300000002</v>
      </c>
      <c r="S24" s="127"/>
      <c r="T24" s="142">
        <v>1262238.7</v>
      </c>
      <c r="U24" s="142">
        <v>2045370</v>
      </c>
      <c r="V24" s="142">
        <v>2829484.7500000005</v>
      </c>
      <c r="W24" s="142">
        <v>3630958.99</v>
      </c>
      <c r="X24" s="142">
        <v>4514859.16</v>
      </c>
      <c r="AA24" s="1"/>
    </row>
    <row r="25" spans="1:46" customFormat="1" ht="42.75">
      <c r="A25" s="66"/>
      <c r="B25" s="66"/>
      <c r="C25" s="67"/>
      <c r="D25" s="67" t="s">
        <v>167</v>
      </c>
      <c r="E25" s="67"/>
      <c r="F25" s="67" t="s">
        <v>168</v>
      </c>
      <c r="G25" s="160" t="s">
        <v>310</v>
      </c>
      <c r="H25" s="133"/>
      <c r="I25" s="148">
        <v>18635.71</v>
      </c>
      <c r="J25" s="146">
        <v>66586.890000000014</v>
      </c>
      <c r="K25" s="146">
        <v>145834.02999999991</v>
      </c>
      <c r="L25" s="146">
        <v>237653.08000000007</v>
      </c>
      <c r="M25" s="146">
        <v>125543.16999999997</v>
      </c>
      <c r="N25" s="146">
        <v>413980.83</v>
      </c>
      <c r="O25" s="146">
        <v>571859.24</v>
      </c>
      <c r="P25" s="146">
        <v>670836.68000000005</v>
      </c>
      <c r="Q25" s="146">
        <v>751532.76</v>
      </c>
      <c r="R25" s="146">
        <v>902619.38</v>
      </c>
      <c r="S25" s="127"/>
      <c r="T25" s="142">
        <v>1430940.3099999991</v>
      </c>
      <c r="U25" s="142">
        <v>2161230.63</v>
      </c>
      <c r="V25" s="142">
        <v>2855727</v>
      </c>
      <c r="W25" s="142">
        <v>3696370.26</v>
      </c>
      <c r="X25" s="142">
        <v>4375402.87</v>
      </c>
      <c r="AA25" s="1"/>
    </row>
    <row r="26" spans="1:46" customFormat="1" ht="18" customHeight="1">
      <c r="A26" s="66"/>
      <c r="B26" s="66"/>
      <c r="C26" s="67"/>
      <c r="D26" s="67"/>
      <c r="E26" s="67"/>
      <c r="F26" s="67"/>
      <c r="G26" s="153" t="s">
        <v>236</v>
      </c>
      <c r="H26" s="133"/>
      <c r="I26" s="182">
        <f t="shared" ref="I26:P26" si="5">I24+I25</f>
        <v>89535.31</v>
      </c>
      <c r="J26" s="182">
        <f t="shared" si="5"/>
        <v>154270.46000000002</v>
      </c>
      <c r="K26" s="182">
        <f t="shared" si="5"/>
        <v>356828.97</v>
      </c>
      <c r="L26" s="182">
        <f t="shared" si="5"/>
        <v>710506.70000000042</v>
      </c>
      <c r="M26" s="182">
        <f t="shared" si="5"/>
        <v>951204.03000000096</v>
      </c>
      <c r="N26" s="182">
        <f t="shared" si="5"/>
        <v>1719842.08</v>
      </c>
      <c r="O26" s="182">
        <f t="shared" si="5"/>
        <v>2528048.21</v>
      </c>
      <c r="P26" s="182">
        <f t="shared" si="5"/>
        <v>1392010.4100000001</v>
      </c>
      <c r="Q26" s="182">
        <f>Q24+Q25</f>
        <v>2376979.58</v>
      </c>
      <c r="R26" s="182">
        <f>R24+R25</f>
        <v>3526609.81</v>
      </c>
      <c r="S26" s="127"/>
      <c r="T26" s="183">
        <f>T24+T25</f>
        <v>2693179.0099999988</v>
      </c>
      <c r="U26" s="183">
        <f>U24+U25</f>
        <v>4206600.63</v>
      </c>
      <c r="V26" s="183">
        <f>V24+V25</f>
        <v>5685211.75</v>
      </c>
      <c r="W26" s="183">
        <f>W24+W25</f>
        <v>7327329.25</v>
      </c>
      <c r="X26" s="142">
        <f>X24+X25</f>
        <v>8890262.0300000012</v>
      </c>
      <c r="AA26" s="1"/>
    </row>
    <row r="27" spans="1:46" customFormat="1" ht="15.75">
      <c r="A27" s="66"/>
      <c r="B27" s="66"/>
      <c r="C27" s="67" t="s">
        <v>169</v>
      </c>
      <c r="D27" s="67" t="s">
        <v>170</v>
      </c>
      <c r="E27" s="67"/>
      <c r="F27" s="161" t="s">
        <v>171</v>
      </c>
      <c r="G27" s="153"/>
      <c r="H27" s="133"/>
      <c r="I27" s="148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571859.24</v>
      </c>
      <c r="Q27" s="351">
        <f>P27</f>
        <v>571859.24</v>
      </c>
      <c r="R27" s="351">
        <f>Q27</f>
        <v>571859.24</v>
      </c>
      <c r="S27" s="127"/>
      <c r="T27" s="162">
        <v>798995.54</v>
      </c>
      <c r="U27" s="162">
        <v>1430940.3099999991</v>
      </c>
      <c r="V27" s="162">
        <v>2161230.63</v>
      </c>
      <c r="W27" s="162">
        <v>2855727</v>
      </c>
      <c r="X27" s="142">
        <v>3696370.26</v>
      </c>
      <c r="AA27" s="1"/>
    </row>
    <row r="28" spans="1:46" customFormat="1" ht="18" customHeight="1">
      <c r="A28" s="66"/>
      <c r="B28" s="66"/>
      <c r="C28" s="67"/>
      <c r="D28" s="67" t="s">
        <v>172</v>
      </c>
      <c r="E28" s="67"/>
      <c r="F28" s="67" t="s">
        <v>173</v>
      </c>
      <c r="G28" s="153" t="s">
        <v>237</v>
      </c>
      <c r="H28" s="133"/>
      <c r="I28" s="182">
        <f t="shared" ref="I28:O28" si="6">I26-I27</f>
        <v>89535.31</v>
      </c>
      <c r="J28" s="182">
        <f t="shared" si="6"/>
        <v>154270.46000000002</v>
      </c>
      <c r="K28" s="182">
        <f t="shared" si="6"/>
        <v>356828.97</v>
      </c>
      <c r="L28" s="182">
        <f t="shared" si="6"/>
        <v>710506.70000000042</v>
      </c>
      <c r="M28" s="182">
        <f t="shared" si="6"/>
        <v>951204.03000000096</v>
      </c>
      <c r="N28" s="182">
        <f t="shared" si="6"/>
        <v>1719842.08</v>
      </c>
      <c r="O28" s="182">
        <f t="shared" si="6"/>
        <v>2528048.21</v>
      </c>
      <c r="P28" s="182">
        <f>P26-P27</f>
        <v>820151.17000000016</v>
      </c>
      <c r="Q28" s="182">
        <f>Q26-Q27</f>
        <v>1805120.34</v>
      </c>
      <c r="R28" s="182">
        <f>R26-R27</f>
        <v>2954750.5700000003</v>
      </c>
      <c r="S28" s="127"/>
      <c r="T28" s="184">
        <f>T26-T27</f>
        <v>1894183.4699999988</v>
      </c>
      <c r="U28" s="184">
        <f>U26-U27</f>
        <v>2775660.3200000008</v>
      </c>
      <c r="V28" s="184">
        <f>V26-V27</f>
        <v>3523981.12</v>
      </c>
      <c r="W28" s="184">
        <f>W26-W27</f>
        <v>4471602.25</v>
      </c>
      <c r="X28" s="142">
        <f>X26-X27</f>
        <v>5193891.7700000014</v>
      </c>
      <c r="AA28" s="1"/>
    </row>
    <row r="29" spans="1:46" customFormat="1" ht="18" customHeight="1">
      <c r="A29" s="66"/>
      <c r="B29" s="66"/>
      <c r="C29" s="67" t="s">
        <v>166</v>
      </c>
      <c r="D29" s="67" t="s">
        <v>209</v>
      </c>
      <c r="E29" s="67"/>
      <c r="F29" s="67"/>
      <c r="G29" s="153"/>
      <c r="H29" s="133"/>
      <c r="I29" s="182"/>
      <c r="J29" s="182"/>
      <c r="K29" s="182"/>
      <c r="L29" s="182"/>
      <c r="M29" s="182"/>
      <c r="N29" s="182"/>
      <c r="O29" s="182"/>
      <c r="P29" s="182">
        <v>23527.78</v>
      </c>
      <c r="Q29" s="182">
        <f>'Other Income_FS'!Q27</f>
        <v>31937.940000000002</v>
      </c>
      <c r="R29" s="182">
        <f>'Other Income_FS'!R27</f>
        <v>33956.399999999994</v>
      </c>
      <c r="S29" s="127"/>
      <c r="T29" s="184"/>
      <c r="U29" s="184"/>
      <c r="V29" s="184"/>
      <c r="W29" s="184"/>
      <c r="X29" s="142"/>
      <c r="AA29" s="1"/>
    </row>
    <row r="30" spans="1:46" customFormat="1" ht="18" customHeight="1">
      <c r="A30" s="66"/>
      <c r="B30" s="66"/>
      <c r="C30" s="67"/>
      <c r="D30" s="67" t="s">
        <v>211</v>
      </c>
      <c r="E30" s="67"/>
      <c r="F30" s="67"/>
      <c r="G30" s="153"/>
      <c r="H30" s="133"/>
      <c r="I30" s="182"/>
      <c r="J30" s="182"/>
      <c r="K30" s="182"/>
      <c r="L30" s="182"/>
      <c r="M30" s="182"/>
      <c r="N30" s="182"/>
      <c r="O30" s="182"/>
      <c r="P30" s="182">
        <f>P28+P29</f>
        <v>843678.95000000019</v>
      </c>
      <c r="Q30" s="182">
        <f>Q28+Q29</f>
        <v>1837058.28</v>
      </c>
      <c r="R30" s="182">
        <f>R28+R29</f>
        <v>2988706.97</v>
      </c>
      <c r="S30" s="127"/>
      <c r="T30" s="184"/>
      <c r="U30" s="184"/>
      <c r="V30" s="184"/>
      <c r="W30" s="184"/>
      <c r="X30" s="142"/>
      <c r="AA30" s="1"/>
    </row>
    <row r="31" spans="1:46" s="172" customFormat="1" ht="18" customHeight="1">
      <c r="C31" s="173"/>
      <c r="D31" s="173"/>
      <c r="E31" s="173"/>
      <c r="F31" s="173" t="s">
        <v>199</v>
      </c>
      <c r="G31" s="178" t="s">
        <v>238</v>
      </c>
      <c r="H31" s="176"/>
      <c r="I31" s="176"/>
      <c r="J31" s="179">
        <f t="shared" ref="J31:O31" si="7">J28-I28</f>
        <v>64735.150000000023</v>
      </c>
      <c r="K31" s="179">
        <f t="shared" si="7"/>
        <v>202558.50999999995</v>
      </c>
      <c r="L31" s="179">
        <f t="shared" si="7"/>
        <v>353677.73000000045</v>
      </c>
      <c r="M31" s="179">
        <f t="shared" si="7"/>
        <v>240697.33000000054</v>
      </c>
      <c r="N31" s="179">
        <f t="shared" si="7"/>
        <v>768638.04999999912</v>
      </c>
      <c r="O31" s="179">
        <f t="shared" si="7"/>
        <v>808206.12999999989</v>
      </c>
      <c r="P31" s="179">
        <f>P30</f>
        <v>843678.95000000019</v>
      </c>
      <c r="Q31" s="179">
        <f>Q30-P30</f>
        <v>993379.32999999984</v>
      </c>
      <c r="R31" s="179">
        <f>R30-Q30</f>
        <v>1151648.6900000002</v>
      </c>
      <c r="S31" s="177"/>
      <c r="T31" s="177"/>
      <c r="U31" s="181">
        <f>U28-T28</f>
        <v>881476.85000000196</v>
      </c>
      <c r="V31" s="181">
        <f>V28-U28</f>
        <v>748320.79999999935</v>
      </c>
      <c r="W31" s="181">
        <f>W28-V28</f>
        <v>947621.12999999989</v>
      </c>
      <c r="X31" s="181">
        <f>X28-W28</f>
        <v>722289.52000000142</v>
      </c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</row>
    <row r="32" spans="1:46" s="172" customFormat="1" ht="24" customHeight="1">
      <c r="C32" s="173"/>
      <c r="D32" s="173"/>
      <c r="E32" s="173"/>
      <c r="F32" s="174" t="s">
        <v>200</v>
      </c>
      <c r="G32" s="175"/>
      <c r="H32" s="176"/>
      <c r="I32" s="176"/>
      <c r="J32" s="179">
        <f t="shared" ref="J32:O32" si="8">J21+J31</f>
        <v>4301861.9600000102</v>
      </c>
      <c r="K32" s="179">
        <f t="shared" si="8"/>
        <v>5036558.5769999642</v>
      </c>
      <c r="L32" s="179">
        <f t="shared" si="8"/>
        <v>5559396.8500000387</v>
      </c>
      <c r="M32" s="179">
        <f t="shared" si="8"/>
        <v>6605761.1769999992</v>
      </c>
      <c r="N32" s="179">
        <f t="shared" si="8"/>
        <v>6738848.9949999843</v>
      </c>
      <c r="O32" s="179">
        <f t="shared" si="8"/>
        <v>8031394.1799999969</v>
      </c>
      <c r="P32" s="179">
        <f>P21+P31</f>
        <v>8334651.5600000005</v>
      </c>
      <c r="Q32" s="179">
        <f>Q21+Q31</f>
        <v>-4092271.26</v>
      </c>
      <c r="R32" s="179">
        <f>R21+R31</f>
        <v>22165873.240000002</v>
      </c>
      <c r="S32" s="177"/>
      <c r="T32" s="181"/>
      <c r="U32" s="181">
        <f>U21+U31</f>
        <v>-428537.40000005206</v>
      </c>
      <c r="V32" s="181">
        <f>V21+V31</f>
        <v>-946388.02999994485</v>
      </c>
      <c r="W32" s="181">
        <f>W21+W31</f>
        <v>114621.96999997366</v>
      </c>
      <c r="X32" s="181">
        <f>X21+X31</f>
        <v>-678167.42000003159</v>
      </c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</row>
    <row r="33" spans="2:46" s="52" customFormat="1" ht="27.75" customHeight="1">
      <c r="B33" s="352" t="s">
        <v>367</v>
      </c>
      <c r="C33" s="65"/>
      <c r="D33" s="65"/>
      <c r="E33" s="65"/>
      <c r="F33" s="65"/>
      <c r="G33" s="153"/>
      <c r="H33" s="132"/>
      <c r="I33" s="146"/>
      <c r="J33" s="146"/>
      <c r="K33" s="146"/>
      <c r="L33" s="146"/>
      <c r="M33" s="146"/>
      <c r="N33" s="146"/>
      <c r="O33" s="146"/>
      <c r="P33" s="351">
        <f>P32-'Other Income_FS'!P47</f>
        <v>-6418703.1700000037</v>
      </c>
      <c r="Q33" s="351">
        <f>Q32-'Other Income_FS'!Q47</f>
        <v>-18113230.999999993</v>
      </c>
      <c r="R33" s="351">
        <f>R32-'Other Income_FS'!R47</f>
        <v>26581401.149999999</v>
      </c>
      <c r="S33" s="128"/>
      <c r="T33" s="128"/>
      <c r="U33" s="128"/>
      <c r="V33" s="128"/>
      <c r="W33" s="128"/>
      <c r="X33" s="128"/>
    </row>
    <row r="34" spans="2:46" ht="17.25" customHeight="1">
      <c r="B34" s="48" t="s">
        <v>174</v>
      </c>
      <c r="C34" s="48"/>
      <c r="D34" s="48"/>
      <c r="E34" s="48"/>
      <c r="G34" s="155"/>
      <c r="H34" s="135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28"/>
      <c r="T34" s="128"/>
      <c r="U34" s="128"/>
      <c r="V34" s="128"/>
      <c r="W34" s="128"/>
      <c r="X34" s="128"/>
    </row>
    <row r="35" spans="2:46" s="51" customFormat="1" ht="15.75" thickBot="1">
      <c r="C35" s="48"/>
      <c r="D35" s="48"/>
      <c r="E35" s="48"/>
      <c r="F35" s="48"/>
      <c r="G35" s="156"/>
      <c r="H35" s="131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27"/>
      <c r="T35" s="127"/>
      <c r="U35" s="127"/>
      <c r="V35" s="127"/>
      <c r="W35" s="127"/>
      <c r="X35" s="128"/>
      <c r="Y35" s="49"/>
      <c r="Z35" s="49"/>
      <c r="AA35" s="65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</row>
    <row r="36" spans="2:46" s="51" customFormat="1" ht="18" customHeight="1">
      <c r="C36" s="61"/>
      <c r="D36" s="49" t="s">
        <v>175</v>
      </c>
      <c r="E36" s="49"/>
      <c r="F36" s="149" t="s">
        <v>176</v>
      </c>
      <c r="G36" s="157" t="s">
        <v>240</v>
      </c>
      <c r="H36" s="136"/>
      <c r="I36" s="146"/>
      <c r="J36" s="146">
        <f t="shared" ref="J36:N38" si="9">J2*T36</f>
        <v>111048.813176</v>
      </c>
      <c r="K36" s="146">
        <f t="shared" si="9"/>
        <v>111797.41075800001</v>
      </c>
      <c r="L36" s="146">
        <f t="shared" si="9"/>
        <v>103719.79367400003</v>
      </c>
      <c r="M36" s="146">
        <f t="shared" si="9"/>
        <v>117504.0467370001</v>
      </c>
      <c r="N36" s="146">
        <f t="shared" si="9"/>
        <v>120821.78835599989</v>
      </c>
      <c r="O36" s="146">
        <v>141037.79715000006</v>
      </c>
      <c r="P36" s="146">
        <v>151094.80799999999</v>
      </c>
      <c r="Q36" s="146">
        <f>'Other Income_FS'!Q51</f>
        <v>118703.68919999998</v>
      </c>
      <c r="R36" s="146">
        <f>'Other Income_FS'!R51</f>
        <v>148272.44320000007</v>
      </c>
      <c r="S36" s="127"/>
      <c r="T36" s="142">
        <v>1166479.1299999999</v>
      </c>
      <c r="U36" s="142">
        <v>1081212.8700000001</v>
      </c>
      <c r="V36" s="142">
        <v>1105754.7300000004</v>
      </c>
      <c r="W36" s="142">
        <v>1122292.7100000009</v>
      </c>
      <c r="X36" s="343">
        <v>1018733.459999999</v>
      </c>
      <c r="Y36" s="49"/>
      <c r="Z36" s="49"/>
      <c r="AA36" s="65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</row>
    <row r="37" spans="2:46" s="51" customFormat="1" ht="18" customHeight="1">
      <c r="C37" s="61"/>
      <c r="D37" s="49" t="s">
        <v>177</v>
      </c>
      <c r="E37" s="49"/>
      <c r="F37" s="150" t="s">
        <v>178</v>
      </c>
      <c r="G37" s="158" t="s">
        <v>240</v>
      </c>
      <c r="H37" s="136"/>
      <c r="I37" s="146"/>
      <c r="J37" s="146">
        <f t="shared" si="9"/>
        <v>25546.193113999998</v>
      </c>
      <c r="K37" s="146">
        <f t="shared" si="9"/>
        <v>3326.3776799999996</v>
      </c>
      <c r="L37" s="146">
        <f t="shared" si="9"/>
        <v>37553.937005000007</v>
      </c>
      <c r="M37" s="146">
        <f t="shared" si="9"/>
        <v>89861.931119999936</v>
      </c>
      <c r="N37" s="146">
        <f t="shared" si="9"/>
        <v>67102.188570000028</v>
      </c>
      <c r="O37" s="146">
        <v>24879.405066000007</v>
      </c>
      <c r="P37" s="146">
        <v>44451.754799999995</v>
      </c>
      <c r="Q37" s="146">
        <f>'Other Income_FS'!Q52</f>
        <v>15197.269600000001</v>
      </c>
      <c r="R37" s="146">
        <f>'Other Income_FS'!R52</f>
        <v>32693.235199999996</v>
      </c>
      <c r="S37" s="127"/>
      <c r="T37" s="142">
        <v>577968.16999999993</v>
      </c>
      <c r="U37" s="142">
        <v>415797.20999999996</v>
      </c>
      <c r="V37" s="142">
        <v>444425.29000000004</v>
      </c>
      <c r="W37" s="142">
        <v>645559.84999999963</v>
      </c>
      <c r="X37" s="343">
        <v>758216.8200000003</v>
      </c>
      <c r="Y37" s="49"/>
      <c r="Z37" s="49"/>
      <c r="AA37" s="65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</row>
    <row r="38" spans="2:46" s="51" customFormat="1" ht="18" customHeight="1" thickBot="1">
      <c r="C38" s="61"/>
      <c r="D38" s="49" t="s">
        <v>179</v>
      </c>
      <c r="E38" s="49"/>
      <c r="F38" s="151" t="s">
        <v>180</v>
      </c>
      <c r="G38" s="158" t="s">
        <v>240</v>
      </c>
      <c r="H38" s="136"/>
      <c r="I38" s="146"/>
      <c r="J38" s="146">
        <f t="shared" si="9"/>
        <v>0</v>
      </c>
      <c r="K38" s="146">
        <f t="shared" si="9"/>
        <v>0</v>
      </c>
      <c r="L38" s="146">
        <f t="shared" si="9"/>
        <v>0</v>
      </c>
      <c r="M38" s="146">
        <f t="shared" si="9"/>
        <v>80.6961960000001</v>
      </c>
      <c r="N38" s="146">
        <f t="shared" si="9"/>
        <v>5031.1450279999999</v>
      </c>
      <c r="O38" s="146">
        <v>282.42241999999993</v>
      </c>
      <c r="P38" s="146">
        <v>6169.2232000000004</v>
      </c>
      <c r="Q38" s="146">
        <f>'Other Income_FS'!Q53</f>
        <v>921.11090000000013</v>
      </c>
      <c r="R38" s="146">
        <f>'Other Income_FS'!R53</f>
        <v>0</v>
      </c>
      <c r="S38" s="127"/>
      <c r="T38" s="142">
        <v>92122.459999999963</v>
      </c>
      <c r="U38" s="142">
        <v>98330.890000000014</v>
      </c>
      <c r="V38" s="142">
        <v>180173.90000000002</v>
      </c>
      <c r="W38" s="142">
        <v>115280.28000000014</v>
      </c>
      <c r="X38" s="343">
        <v>156246.74</v>
      </c>
      <c r="Y38" s="49"/>
      <c r="Z38" s="49"/>
      <c r="AA38" s="65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</row>
    <row r="39" spans="2:46" s="51" customFormat="1" ht="18" customHeight="1">
      <c r="C39" s="61"/>
      <c r="D39" s="49"/>
      <c r="E39" s="49"/>
      <c r="F39" s="49"/>
      <c r="G39" s="153"/>
      <c r="H39" s="133"/>
      <c r="I39" s="146"/>
      <c r="J39" s="182">
        <f t="shared" ref="J39:R39" si="10">SUM(J36:J38)</f>
        <v>136595.00628999999</v>
      </c>
      <c r="K39" s="182">
        <f t="shared" si="10"/>
        <v>115123.78843800002</v>
      </c>
      <c r="L39" s="182">
        <f t="shared" si="10"/>
        <v>141273.73067900003</v>
      </c>
      <c r="M39" s="182">
        <f t="shared" si="10"/>
        <v>207446.67405300002</v>
      </c>
      <c r="N39" s="182">
        <f t="shared" si="10"/>
        <v>192955.12195399991</v>
      </c>
      <c r="O39" s="182">
        <f t="shared" si="10"/>
        <v>166199.62463600005</v>
      </c>
      <c r="P39" s="182">
        <f t="shared" si="10"/>
        <v>201715.78599999999</v>
      </c>
      <c r="Q39" s="182">
        <f t="shared" si="10"/>
        <v>134822.06969999999</v>
      </c>
      <c r="R39" s="182">
        <f t="shared" si="10"/>
        <v>180965.67840000006</v>
      </c>
      <c r="S39" s="127"/>
      <c r="T39" s="183">
        <f>SUM(T36:T38)</f>
        <v>1836569.7599999998</v>
      </c>
      <c r="U39" s="183">
        <f>SUM(U36:U38)</f>
        <v>1595340.9700000002</v>
      </c>
      <c r="V39" s="183">
        <f>SUM(V36:V38)</f>
        <v>1730353.9200000004</v>
      </c>
      <c r="W39" s="183">
        <f>SUM(W36:W38)</f>
        <v>1883132.8400000008</v>
      </c>
      <c r="X39" s="339">
        <f>SUM(X36:X38)</f>
        <v>1933197.0199999993</v>
      </c>
      <c r="Y39" s="49"/>
      <c r="Z39" s="49"/>
      <c r="AA39" s="65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</row>
    <row r="40" spans="2:46" s="51" customFormat="1" ht="19.5" customHeight="1">
      <c r="C40" s="61"/>
      <c r="D40" s="49"/>
      <c r="E40" s="49"/>
      <c r="F40" s="49"/>
      <c r="G40" s="153"/>
      <c r="H40" s="133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27"/>
      <c r="T40" s="127"/>
      <c r="U40" s="127"/>
      <c r="V40" s="127"/>
      <c r="W40" s="127"/>
      <c r="X40" s="127"/>
      <c r="Y40" s="49"/>
      <c r="Z40" s="49"/>
      <c r="AA40" s="65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</row>
    <row r="41" spans="2:46" s="51" customFormat="1" ht="20.25" customHeight="1">
      <c r="B41" s="70" t="s">
        <v>181</v>
      </c>
      <c r="C41" s="61"/>
      <c r="D41" s="49"/>
      <c r="E41" s="49"/>
      <c r="F41" s="49" t="s">
        <v>182</v>
      </c>
      <c r="G41" s="153"/>
      <c r="H41" s="133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27"/>
      <c r="T41" s="127"/>
      <c r="U41" s="127"/>
      <c r="V41" s="127"/>
      <c r="W41" s="127"/>
      <c r="X41" s="127"/>
      <c r="Y41" s="49"/>
      <c r="Z41" s="49"/>
      <c r="AA41" s="65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</row>
    <row r="42" spans="2:46" s="51" customFormat="1">
      <c r="D42" s="49"/>
      <c r="E42" s="49"/>
      <c r="F42" s="49"/>
      <c r="G42" s="153"/>
      <c r="H42" s="131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27"/>
      <c r="T42" s="127"/>
      <c r="U42" s="127"/>
      <c r="V42" s="127"/>
      <c r="W42" s="127"/>
      <c r="X42" s="127"/>
      <c r="Y42" s="49"/>
      <c r="Z42" s="49"/>
      <c r="AA42" s="65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</row>
    <row r="43" spans="2:46" s="51" customFormat="1" ht="18" customHeight="1" thickBot="1">
      <c r="C43" s="61"/>
      <c r="D43" s="49" t="s">
        <v>183</v>
      </c>
      <c r="E43" s="49"/>
      <c r="F43" s="49" t="s">
        <v>184</v>
      </c>
      <c r="G43" s="153" t="s">
        <v>241</v>
      </c>
      <c r="H43" s="136"/>
      <c r="I43" s="146"/>
      <c r="J43" s="146">
        <f t="shared" ref="J43:M44" si="11">T43</f>
        <v>0</v>
      </c>
      <c r="K43" s="146">
        <f t="shared" si="11"/>
        <v>0</v>
      </c>
      <c r="L43" s="146">
        <f t="shared" si="11"/>
        <v>0</v>
      </c>
      <c r="M43" s="146">
        <f t="shared" si="11"/>
        <v>0</v>
      </c>
      <c r="N43" s="146">
        <v>0</v>
      </c>
      <c r="O43" s="146">
        <v>0</v>
      </c>
      <c r="P43" s="146"/>
      <c r="Q43" s="146"/>
      <c r="R43" s="146"/>
      <c r="S43" s="127"/>
      <c r="T43" s="142">
        <v>0</v>
      </c>
      <c r="U43" s="142">
        <v>0</v>
      </c>
      <c r="V43" s="142">
        <v>0</v>
      </c>
      <c r="W43" s="142">
        <v>0</v>
      </c>
      <c r="X43" s="127">
        <v>0</v>
      </c>
      <c r="Y43" s="49"/>
      <c r="Z43" s="49"/>
      <c r="AA43" s="65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</row>
    <row r="44" spans="2:46" s="51" customFormat="1">
      <c r="C44" s="61"/>
      <c r="D44" s="49" t="s">
        <v>185</v>
      </c>
      <c r="E44" s="49"/>
      <c r="F44" s="149" t="s">
        <v>186</v>
      </c>
      <c r="G44" s="160" t="s">
        <v>242</v>
      </c>
      <c r="H44" s="136"/>
      <c r="I44" s="146"/>
      <c r="J44" s="146">
        <f t="shared" si="11"/>
        <v>302559.89999999991</v>
      </c>
      <c r="K44" s="146">
        <f t="shared" si="11"/>
        <v>0</v>
      </c>
      <c r="L44" s="146">
        <f t="shared" si="11"/>
        <v>10828.930000000168</v>
      </c>
      <c r="M44" s="146">
        <f t="shared" si="11"/>
        <v>12367.760000000009</v>
      </c>
      <c r="N44" s="146">
        <v>0</v>
      </c>
      <c r="O44" s="146">
        <v>0</v>
      </c>
      <c r="P44" s="146"/>
      <c r="Q44" s="146"/>
      <c r="R44" s="146"/>
      <c r="S44" s="127"/>
      <c r="T44" s="142">
        <v>302559.89999999991</v>
      </c>
      <c r="U44" s="142">
        <v>0</v>
      </c>
      <c r="V44" s="142">
        <v>10828.930000000168</v>
      </c>
      <c r="W44" s="142">
        <v>12367.760000000009</v>
      </c>
      <c r="X44" s="127">
        <v>0</v>
      </c>
      <c r="Y44" s="49"/>
      <c r="Z44" s="49"/>
      <c r="AA44" s="65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</row>
    <row r="45" spans="2:46" s="51" customFormat="1" ht="17.25" customHeight="1">
      <c r="C45" s="61"/>
      <c r="D45" s="49" t="str">
        <f>'Other Income_FS'!D60</f>
        <v>รายได้ค่าทวงถาม</v>
      </c>
      <c r="E45" s="49"/>
      <c r="F45" s="150"/>
      <c r="G45" s="153"/>
      <c r="H45" s="136"/>
      <c r="I45" s="146"/>
      <c r="J45" s="146"/>
      <c r="K45" s="146"/>
      <c r="L45" s="146"/>
      <c r="M45" s="146"/>
      <c r="N45" s="146"/>
      <c r="O45" s="146"/>
      <c r="P45" s="146">
        <v>137333.84000000003</v>
      </c>
      <c r="Q45" s="146">
        <v>120271.7908</v>
      </c>
      <c r="R45" s="146">
        <f>'Other Income_FS'!R60</f>
        <v>153005.23520000008</v>
      </c>
      <c r="S45" s="127"/>
      <c r="T45" s="142">
        <v>0</v>
      </c>
      <c r="U45" s="142">
        <v>0</v>
      </c>
      <c r="V45" s="142">
        <v>0</v>
      </c>
      <c r="W45" s="142">
        <v>0</v>
      </c>
      <c r="X45" s="127"/>
      <c r="Y45" s="49"/>
      <c r="Z45" s="49"/>
      <c r="AA45" s="65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</row>
    <row r="46" spans="2:46" s="51" customFormat="1" ht="18" customHeight="1" thickBot="1">
      <c r="C46" s="61"/>
      <c r="D46" s="49" t="s">
        <v>187</v>
      </c>
      <c r="E46" s="49"/>
      <c r="F46" s="151" t="s">
        <v>188</v>
      </c>
      <c r="G46" s="158" t="s">
        <v>240</v>
      </c>
      <c r="H46" s="136"/>
      <c r="I46" s="146"/>
      <c r="J46" s="146">
        <f>J7*T46</f>
        <v>556069.30180799961</v>
      </c>
      <c r="K46" s="146">
        <f>K7*U46</f>
        <v>525149.04127200041</v>
      </c>
      <c r="L46" s="146">
        <f>L7*V46</f>
        <v>579067.88332399959</v>
      </c>
      <c r="M46" s="146">
        <f>M7*W46</f>
        <v>659237.50260000001</v>
      </c>
      <c r="N46" s="146">
        <f>N7*X46</f>
        <v>650082.71164799971</v>
      </c>
      <c r="O46" s="146">
        <v>538325.90038500004</v>
      </c>
      <c r="P46" s="146">
        <v>428411.01799999998</v>
      </c>
      <c r="Q46" s="146">
        <v>554619.3084000001</v>
      </c>
      <c r="R46" s="146">
        <f>'Other Income_FS'!R61</f>
        <v>603732.72600000002</v>
      </c>
      <c r="S46" s="127"/>
      <c r="T46" s="142">
        <v>2292124.0799999982</v>
      </c>
      <c r="U46" s="142">
        <v>2026819.9200000018</v>
      </c>
      <c r="V46" s="142">
        <v>2067361.2399999984</v>
      </c>
      <c r="W46" s="142">
        <v>2199658</v>
      </c>
      <c r="X46" s="127">
        <v>2074290.7199999988</v>
      </c>
      <c r="Y46" s="49"/>
      <c r="Z46" s="49"/>
      <c r="AA46" s="65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</row>
    <row r="47" spans="2:46" s="51" customFormat="1" ht="18" customHeight="1">
      <c r="C47" s="61"/>
      <c r="D47" s="49" t="s">
        <v>416</v>
      </c>
      <c r="E47" s="49"/>
      <c r="F47" s="58" t="s">
        <v>418</v>
      </c>
      <c r="G47" s="158"/>
      <c r="H47" s="136"/>
      <c r="I47" s="146"/>
      <c r="J47" s="146"/>
      <c r="K47" s="146"/>
      <c r="L47" s="146"/>
      <c r="M47" s="146"/>
      <c r="N47" s="146"/>
      <c r="O47" s="146"/>
      <c r="P47" s="146"/>
      <c r="Q47" s="146"/>
      <c r="R47" s="146">
        <f>'Other Income_FS'!R62</f>
        <v>3240</v>
      </c>
      <c r="S47" s="127"/>
      <c r="T47" s="142"/>
      <c r="U47" s="142"/>
      <c r="V47" s="142"/>
      <c r="W47" s="142"/>
      <c r="X47" s="127"/>
      <c r="Y47" s="49"/>
      <c r="Z47" s="49"/>
      <c r="AA47" s="65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</row>
    <row r="48" spans="2:46" s="51" customFormat="1" ht="19.5" customHeight="1">
      <c r="C48" s="61"/>
      <c r="D48" s="49"/>
      <c r="E48" s="49"/>
      <c r="F48" s="49"/>
      <c r="G48" s="153"/>
      <c r="H48" s="133"/>
      <c r="I48" s="146"/>
      <c r="J48" s="182">
        <f t="shared" ref="J48:Q48" si="12">SUM(J43:J46)</f>
        <v>858629.20180799952</v>
      </c>
      <c r="K48" s="182">
        <f t="shared" si="12"/>
        <v>525149.04127200041</v>
      </c>
      <c r="L48" s="182">
        <f t="shared" si="12"/>
        <v>589896.81332399976</v>
      </c>
      <c r="M48" s="182">
        <f t="shared" si="12"/>
        <v>671605.26260000002</v>
      </c>
      <c r="N48" s="182">
        <f t="shared" si="12"/>
        <v>650082.71164799971</v>
      </c>
      <c r="O48" s="182">
        <f t="shared" si="12"/>
        <v>538325.90038500004</v>
      </c>
      <c r="P48" s="182">
        <f t="shared" si="12"/>
        <v>565744.85800000001</v>
      </c>
      <c r="Q48" s="182">
        <f t="shared" si="12"/>
        <v>674891.09920000006</v>
      </c>
      <c r="R48" s="182">
        <f>SUM(R43:R47)</f>
        <v>759977.96120000014</v>
      </c>
      <c r="S48" s="127"/>
      <c r="T48" s="183">
        <f>SUM(T43:T46)</f>
        <v>2594683.9799999981</v>
      </c>
      <c r="U48" s="183">
        <f>SUM(U43:U46)</f>
        <v>2026819.9200000018</v>
      </c>
      <c r="V48" s="183">
        <f>SUM(V43:V46)</f>
        <v>2078190.1699999985</v>
      </c>
      <c r="W48" s="183">
        <f>SUM(W43:W46)</f>
        <v>2212025.7599999998</v>
      </c>
      <c r="X48" s="183">
        <f>SUM(X43:X46)</f>
        <v>2074290.7199999988</v>
      </c>
      <c r="Y48" s="49"/>
      <c r="Z48" s="49"/>
      <c r="AA48" s="65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</row>
    <row r="49" spans="3:46" s="51" customFormat="1" ht="18.75" customHeight="1">
      <c r="C49" s="71" t="s">
        <v>189</v>
      </c>
      <c r="D49" s="49"/>
      <c r="E49" s="49"/>
      <c r="F49" s="49" t="s">
        <v>190</v>
      </c>
      <c r="G49" s="153"/>
      <c r="H49" s="133"/>
      <c r="I49" s="146"/>
      <c r="J49" s="182"/>
      <c r="K49" s="182"/>
      <c r="L49" s="182"/>
      <c r="M49" s="182"/>
      <c r="N49" s="182"/>
      <c r="O49" s="182"/>
      <c r="P49" s="182"/>
      <c r="Q49" s="182"/>
      <c r="R49" s="182"/>
      <c r="S49" s="127"/>
      <c r="T49" s="183"/>
      <c r="U49" s="183"/>
      <c r="V49" s="183"/>
      <c r="W49" s="183"/>
      <c r="X49" s="183"/>
      <c r="Y49" s="49"/>
      <c r="Z49" s="49"/>
      <c r="AA49" s="65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</row>
    <row r="50" spans="3:46" s="190" customFormat="1" ht="15">
      <c r="F50" s="191" t="s">
        <v>243</v>
      </c>
      <c r="G50" s="192"/>
      <c r="H50" s="193"/>
      <c r="I50" s="193"/>
      <c r="J50" s="195">
        <f t="shared" ref="J50:R50" si="13">J39+J48</f>
        <v>995224.20809799945</v>
      </c>
      <c r="K50" s="195">
        <f t="shared" si="13"/>
        <v>640272.82971000043</v>
      </c>
      <c r="L50" s="195">
        <f t="shared" si="13"/>
        <v>731170.54400299978</v>
      </c>
      <c r="M50" s="195">
        <f t="shared" si="13"/>
        <v>879051.93665300007</v>
      </c>
      <c r="N50" s="195">
        <f t="shared" si="13"/>
        <v>843037.83360199956</v>
      </c>
      <c r="O50" s="195">
        <f t="shared" si="13"/>
        <v>704525.52502100007</v>
      </c>
      <c r="P50" s="195">
        <f t="shared" si="13"/>
        <v>767460.64399999997</v>
      </c>
      <c r="Q50" s="195">
        <f t="shared" si="13"/>
        <v>809713.16890000005</v>
      </c>
      <c r="R50" s="195">
        <f t="shared" si="13"/>
        <v>940943.63960000023</v>
      </c>
      <c r="S50" s="194"/>
      <c r="T50" s="196">
        <f>T39+T48</f>
        <v>4431253.7399999984</v>
      </c>
      <c r="U50" s="196">
        <f>U39+U48</f>
        <v>3622160.890000002</v>
      </c>
      <c r="V50" s="196">
        <f>V39+V48</f>
        <v>3808544.0899999989</v>
      </c>
      <c r="W50" s="196">
        <f>W39+W48</f>
        <v>4095158.6000000006</v>
      </c>
      <c r="X50" s="196">
        <f>X39+X48</f>
        <v>4007487.7399999984</v>
      </c>
      <c r="AA50" s="350"/>
    </row>
    <row r="51" spans="3:46">
      <c r="F51" s="50"/>
      <c r="G51" s="154"/>
      <c r="H51" s="134"/>
      <c r="I51" s="134"/>
      <c r="J51" s="134"/>
      <c r="K51" s="134"/>
      <c r="L51" s="134"/>
      <c r="M51" s="134"/>
      <c r="N51" s="134"/>
      <c r="S51" s="128"/>
      <c r="T51" s="128"/>
      <c r="U51" s="128"/>
      <c r="V51" s="128"/>
      <c r="W51" s="128"/>
      <c r="X51" s="128"/>
    </row>
    <row r="162" ht="15" customHeight="1"/>
    <row r="163" ht="21" customHeight="1"/>
    <row r="164" ht="22.5" customHeight="1"/>
    <row r="167" hidden="1"/>
    <row r="168" hidden="1"/>
  </sheetData>
  <pageMargins left="0.25" right="0.25" top="0.75" bottom="0.75" header="0.3" footer="0.3"/>
  <pageSetup paperSize="5" scale="65" orientation="portrait" r:id="rId1"/>
  <headerFooter>
    <oddFooter xml:space="preserve">&amp;LDetail &amp;F   5 /7&amp;C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2"/>
  <sheetViews>
    <sheetView workbookViewId="0">
      <selection activeCell="K7" sqref="K7"/>
    </sheetView>
  </sheetViews>
  <sheetFormatPr defaultRowHeight="15"/>
  <cols>
    <col min="1" max="1" width="33.140625" style="446" customWidth="1"/>
    <col min="2" max="10" width="14.140625" style="447" hidden="1" customWidth="1"/>
    <col min="11" max="11" width="14.140625" style="447" customWidth="1"/>
    <col min="12" max="12" width="9" style="3" hidden="1" customWidth="1"/>
    <col min="13" max="13" width="10.85546875" hidden="1" customWidth="1"/>
    <col min="15" max="17" width="9.5703125" bestFit="1" customWidth="1"/>
    <col min="257" max="257" width="33.140625" customWidth="1"/>
    <col min="258" max="262" width="0" hidden="1" customWidth="1"/>
    <col min="263" max="267" width="14.140625" customWidth="1"/>
    <col min="268" max="269" width="0" hidden="1" customWidth="1"/>
    <col min="271" max="273" width="9.5703125" bestFit="1" customWidth="1"/>
    <col min="513" max="513" width="33.140625" customWidth="1"/>
    <col min="514" max="518" width="0" hidden="1" customWidth="1"/>
    <col min="519" max="523" width="14.140625" customWidth="1"/>
    <col min="524" max="525" width="0" hidden="1" customWidth="1"/>
    <col min="527" max="529" width="9.5703125" bestFit="1" customWidth="1"/>
    <col min="769" max="769" width="33.140625" customWidth="1"/>
    <col min="770" max="774" width="0" hidden="1" customWidth="1"/>
    <col min="775" max="779" width="14.140625" customWidth="1"/>
    <col min="780" max="781" width="0" hidden="1" customWidth="1"/>
    <col min="783" max="785" width="9.5703125" bestFit="1" customWidth="1"/>
    <col min="1025" max="1025" width="33.140625" customWidth="1"/>
    <col min="1026" max="1030" width="0" hidden="1" customWidth="1"/>
    <col min="1031" max="1035" width="14.140625" customWidth="1"/>
    <col min="1036" max="1037" width="0" hidden="1" customWidth="1"/>
    <col min="1039" max="1041" width="9.5703125" bestFit="1" customWidth="1"/>
    <col min="1281" max="1281" width="33.140625" customWidth="1"/>
    <col min="1282" max="1286" width="0" hidden="1" customWidth="1"/>
    <col min="1287" max="1291" width="14.140625" customWidth="1"/>
    <col min="1292" max="1293" width="0" hidden="1" customWidth="1"/>
    <col min="1295" max="1297" width="9.5703125" bestFit="1" customWidth="1"/>
    <col min="1537" max="1537" width="33.140625" customWidth="1"/>
    <col min="1538" max="1542" width="0" hidden="1" customWidth="1"/>
    <col min="1543" max="1547" width="14.140625" customWidth="1"/>
    <col min="1548" max="1549" width="0" hidden="1" customWidth="1"/>
    <col min="1551" max="1553" width="9.5703125" bestFit="1" customWidth="1"/>
    <col min="1793" max="1793" width="33.140625" customWidth="1"/>
    <col min="1794" max="1798" width="0" hidden="1" customWidth="1"/>
    <col min="1799" max="1803" width="14.140625" customWidth="1"/>
    <col min="1804" max="1805" width="0" hidden="1" customWidth="1"/>
    <col min="1807" max="1809" width="9.5703125" bestFit="1" customWidth="1"/>
    <col min="2049" max="2049" width="33.140625" customWidth="1"/>
    <col min="2050" max="2054" width="0" hidden="1" customWidth="1"/>
    <col min="2055" max="2059" width="14.140625" customWidth="1"/>
    <col min="2060" max="2061" width="0" hidden="1" customWidth="1"/>
    <col min="2063" max="2065" width="9.5703125" bestFit="1" customWidth="1"/>
    <col min="2305" max="2305" width="33.140625" customWidth="1"/>
    <col min="2306" max="2310" width="0" hidden="1" customWidth="1"/>
    <col min="2311" max="2315" width="14.140625" customWidth="1"/>
    <col min="2316" max="2317" width="0" hidden="1" customWidth="1"/>
    <col min="2319" max="2321" width="9.5703125" bestFit="1" customWidth="1"/>
    <col min="2561" max="2561" width="33.140625" customWidth="1"/>
    <col min="2562" max="2566" width="0" hidden="1" customWidth="1"/>
    <col min="2567" max="2571" width="14.140625" customWidth="1"/>
    <col min="2572" max="2573" width="0" hidden="1" customWidth="1"/>
    <col min="2575" max="2577" width="9.5703125" bestFit="1" customWidth="1"/>
    <col min="2817" max="2817" width="33.140625" customWidth="1"/>
    <col min="2818" max="2822" width="0" hidden="1" customWidth="1"/>
    <col min="2823" max="2827" width="14.140625" customWidth="1"/>
    <col min="2828" max="2829" width="0" hidden="1" customWidth="1"/>
    <col min="2831" max="2833" width="9.5703125" bestFit="1" customWidth="1"/>
    <col min="3073" max="3073" width="33.140625" customWidth="1"/>
    <col min="3074" max="3078" width="0" hidden="1" customWidth="1"/>
    <col min="3079" max="3083" width="14.140625" customWidth="1"/>
    <col min="3084" max="3085" width="0" hidden="1" customWidth="1"/>
    <col min="3087" max="3089" width="9.5703125" bestFit="1" customWidth="1"/>
    <col min="3329" max="3329" width="33.140625" customWidth="1"/>
    <col min="3330" max="3334" width="0" hidden="1" customWidth="1"/>
    <col min="3335" max="3339" width="14.140625" customWidth="1"/>
    <col min="3340" max="3341" width="0" hidden="1" customWidth="1"/>
    <col min="3343" max="3345" width="9.5703125" bestFit="1" customWidth="1"/>
    <col min="3585" max="3585" width="33.140625" customWidth="1"/>
    <col min="3586" max="3590" width="0" hidden="1" customWidth="1"/>
    <col min="3591" max="3595" width="14.140625" customWidth="1"/>
    <col min="3596" max="3597" width="0" hidden="1" customWidth="1"/>
    <col min="3599" max="3601" width="9.5703125" bestFit="1" customWidth="1"/>
    <col min="3841" max="3841" width="33.140625" customWidth="1"/>
    <col min="3842" max="3846" width="0" hidden="1" customWidth="1"/>
    <col min="3847" max="3851" width="14.140625" customWidth="1"/>
    <col min="3852" max="3853" width="0" hidden="1" customWidth="1"/>
    <col min="3855" max="3857" width="9.5703125" bestFit="1" customWidth="1"/>
    <col min="4097" max="4097" width="33.140625" customWidth="1"/>
    <col min="4098" max="4102" width="0" hidden="1" customWidth="1"/>
    <col min="4103" max="4107" width="14.140625" customWidth="1"/>
    <col min="4108" max="4109" width="0" hidden="1" customWidth="1"/>
    <col min="4111" max="4113" width="9.5703125" bestFit="1" customWidth="1"/>
    <col min="4353" max="4353" width="33.140625" customWidth="1"/>
    <col min="4354" max="4358" width="0" hidden="1" customWidth="1"/>
    <col min="4359" max="4363" width="14.140625" customWidth="1"/>
    <col min="4364" max="4365" width="0" hidden="1" customWidth="1"/>
    <col min="4367" max="4369" width="9.5703125" bestFit="1" customWidth="1"/>
    <col min="4609" max="4609" width="33.140625" customWidth="1"/>
    <col min="4610" max="4614" width="0" hidden="1" customWidth="1"/>
    <col min="4615" max="4619" width="14.140625" customWidth="1"/>
    <col min="4620" max="4621" width="0" hidden="1" customWidth="1"/>
    <col min="4623" max="4625" width="9.5703125" bestFit="1" customWidth="1"/>
    <col min="4865" max="4865" width="33.140625" customWidth="1"/>
    <col min="4866" max="4870" width="0" hidden="1" customWidth="1"/>
    <col min="4871" max="4875" width="14.140625" customWidth="1"/>
    <col min="4876" max="4877" width="0" hidden="1" customWidth="1"/>
    <col min="4879" max="4881" width="9.5703125" bestFit="1" customWidth="1"/>
    <col min="5121" max="5121" width="33.140625" customWidth="1"/>
    <col min="5122" max="5126" width="0" hidden="1" customWidth="1"/>
    <col min="5127" max="5131" width="14.140625" customWidth="1"/>
    <col min="5132" max="5133" width="0" hidden="1" customWidth="1"/>
    <col min="5135" max="5137" width="9.5703125" bestFit="1" customWidth="1"/>
    <col min="5377" max="5377" width="33.140625" customWidth="1"/>
    <col min="5378" max="5382" width="0" hidden="1" customWidth="1"/>
    <col min="5383" max="5387" width="14.140625" customWidth="1"/>
    <col min="5388" max="5389" width="0" hidden="1" customWidth="1"/>
    <col min="5391" max="5393" width="9.5703125" bestFit="1" customWidth="1"/>
    <col min="5633" max="5633" width="33.140625" customWidth="1"/>
    <col min="5634" max="5638" width="0" hidden="1" customWidth="1"/>
    <col min="5639" max="5643" width="14.140625" customWidth="1"/>
    <col min="5644" max="5645" width="0" hidden="1" customWidth="1"/>
    <col min="5647" max="5649" width="9.5703125" bestFit="1" customWidth="1"/>
    <col min="5889" max="5889" width="33.140625" customWidth="1"/>
    <col min="5890" max="5894" width="0" hidden="1" customWidth="1"/>
    <col min="5895" max="5899" width="14.140625" customWidth="1"/>
    <col min="5900" max="5901" width="0" hidden="1" customWidth="1"/>
    <col min="5903" max="5905" width="9.5703125" bestFit="1" customWidth="1"/>
    <col min="6145" max="6145" width="33.140625" customWidth="1"/>
    <col min="6146" max="6150" width="0" hidden="1" customWidth="1"/>
    <col min="6151" max="6155" width="14.140625" customWidth="1"/>
    <col min="6156" max="6157" width="0" hidden="1" customWidth="1"/>
    <col min="6159" max="6161" width="9.5703125" bestFit="1" customWidth="1"/>
    <col min="6401" max="6401" width="33.140625" customWidth="1"/>
    <col min="6402" max="6406" width="0" hidden="1" customWidth="1"/>
    <col min="6407" max="6411" width="14.140625" customWidth="1"/>
    <col min="6412" max="6413" width="0" hidden="1" customWidth="1"/>
    <col min="6415" max="6417" width="9.5703125" bestFit="1" customWidth="1"/>
    <col min="6657" max="6657" width="33.140625" customWidth="1"/>
    <col min="6658" max="6662" width="0" hidden="1" customWidth="1"/>
    <col min="6663" max="6667" width="14.140625" customWidth="1"/>
    <col min="6668" max="6669" width="0" hidden="1" customWidth="1"/>
    <col min="6671" max="6673" width="9.5703125" bestFit="1" customWidth="1"/>
    <col min="6913" max="6913" width="33.140625" customWidth="1"/>
    <col min="6914" max="6918" width="0" hidden="1" customWidth="1"/>
    <col min="6919" max="6923" width="14.140625" customWidth="1"/>
    <col min="6924" max="6925" width="0" hidden="1" customWidth="1"/>
    <col min="6927" max="6929" width="9.5703125" bestFit="1" customWidth="1"/>
    <col min="7169" max="7169" width="33.140625" customWidth="1"/>
    <col min="7170" max="7174" width="0" hidden="1" customWidth="1"/>
    <col min="7175" max="7179" width="14.140625" customWidth="1"/>
    <col min="7180" max="7181" width="0" hidden="1" customWidth="1"/>
    <col min="7183" max="7185" width="9.5703125" bestFit="1" customWidth="1"/>
    <col min="7425" max="7425" width="33.140625" customWidth="1"/>
    <col min="7426" max="7430" width="0" hidden="1" customWidth="1"/>
    <col min="7431" max="7435" width="14.140625" customWidth="1"/>
    <col min="7436" max="7437" width="0" hidden="1" customWidth="1"/>
    <col min="7439" max="7441" width="9.5703125" bestFit="1" customWidth="1"/>
    <col min="7681" max="7681" width="33.140625" customWidth="1"/>
    <col min="7682" max="7686" width="0" hidden="1" customWidth="1"/>
    <col min="7687" max="7691" width="14.140625" customWidth="1"/>
    <col min="7692" max="7693" width="0" hidden="1" customWidth="1"/>
    <col min="7695" max="7697" width="9.5703125" bestFit="1" customWidth="1"/>
    <col min="7937" max="7937" width="33.140625" customWidth="1"/>
    <col min="7938" max="7942" width="0" hidden="1" customWidth="1"/>
    <col min="7943" max="7947" width="14.140625" customWidth="1"/>
    <col min="7948" max="7949" width="0" hidden="1" customWidth="1"/>
    <col min="7951" max="7953" width="9.5703125" bestFit="1" customWidth="1"/>
    <col min="8193" max="8193" width="33.140625" customWidth="1"/>
    <col min="8194" max="8198" width="0" hidden="1" customWidth="1"/>
    <col min="8199" max="8203" width="14.140625" customWidth="1"/>
    <col min="8204" max="8205" width="0" hidden="1" customWidth="1"/>
    <col min="8207" max="8209" width="9.5703125" bestFit="1" customWidth="1"/>
    <col min="8449" max="8449" width="33.140625" customWidth="1"/>
    <col min="8450" max="8454" width="0" hidden="1" customWidth="1"/>
    <col min="8455" max="8459" width="14.140625" customWidth="1"/>
    <col min="8460" max="8461" width="0" hidden="1" customWidth="1"/>
    <col min="8463" max="8465" width="9.5703125" bestFit="1" customWidth="1"/>
    <col min="8705" max="8705" width="33.140625" customWidth="1"/>
    <col min="8706" max="8710" width="0" hidden="1" customWidth="1"/>
    <col min="8711" max="8715" width="14.140625" customWidth="1"/>
    <col min="8716" max="8717" width="0" hidden="1" customWidth="1"/>
    <col min="8719" max="8721" width="9.5703125" bestFit="1" customWidth="1"/>
    <col min="8961" max="8961" width="33.140625" customWidth="1"/>
    <col min="8962" max="8966" width="0" hidden="1" customWidth="1"/>
    <col min="8967" max="8971" width="14.140625" customWidth="1"/>
    <col min="8972" max="8973" width="0" hidden="1" customWidth="1"/>
    <col min="8975" max="8977" width="9.5703125" bestFit="1" customWidth="1"/>
    <col min="9217" max="9217" width="33.140625" customWidth="1"/>
    <col min="9218" max="9222" width="0" hidden="1" customWidth="1"/>
    <col min="9223" max="9227" width="14.140625" customWidth="1"/>
    <col min="9228" max="9229" width="0" hidden="1" customWidth="1"/>
    <col min="9231" max="9233" width="9.5703125" bestFit="1" customWidth="1"/>
    <col min="9473" max="9473" width="33.140625" customWidth="1"/>
    <col min="9474" max="9478" width="0" hidden="1" customWidth="1"/>
    <col min="9479" max="9483" width="14.140625" customWidth="1"/>
    <col min="9484" max="9485" width="0" hidden="1" customWidth="1"/>
    <col min="9487" max="9489" width="9.5703125" bestFit="1" customWidth="1"/>
    <col min="9729" max="9729" width="33.140625" customWidth="1"/>
    <col min="9730" max="9734" width="0" hidden="1" customWidth="1"/>
    <col min="9735" max="9739" width="14.140625" customWidth="1"/>
    <col min="9740" max="9741" width="0" hidden="1" customWidth="1"/>
    <col min="9743" max="9745" width="9.5703125" bestFit="1" customWidth="1"/>
    <col min="9985" max="9985" width="33.140625" customWidth="1"/>
    <col min="9986" max="9990" width="0" hidden="1" customWidth="1"/>
    <col min="9991" max="9995" width="14.140625" customWidth="1"/>
    <col min="9996" max="9997" width="0" hidden="1" customWidth="1"/>
    <col min="9999" max="10001" width="9.5703125" bestFit="1" customWidth="1"/>
    <col min="10241" max="10241" width="33.140625" customWidth="1"/>
    <col min="10242" max="10246" width="0" hidden="1" customWidth="1"/>
    <col min="10247" max="10251" width="14.140625" customWidth="1"/>
    <col min="10252" max="10253" width="0" hidden="1" customWidth="1"/>
    <col min="10255" max="10257" width="9.5703125" bestFit="1" customWidth="1"/>
    <col min="10497" max="10497" width="33.140625" customWidth="1"/>
    <col min="10498" max="10502" width="0" hidden="1" customWidth="1"/>
    <col min="10503" max="10507" width="14.140625" customWidth="1"/>
    <col min="10508" max="10509" width="0" hidden="1" customWidth="1"/>
    <col min="10511" max="10513" width="9.5703125" bestFit="1" customWidth="1"/>
    <col min="10753" max="10753" width="33.140625" customWidth="1"/>
    <col min="10754" max="10758" width="0" hidden="1" customWidth="1"/>
    <col min="10759" max="10763" width="14.140625" customWidth="1"/>
    <col min="10764" max="10765" width="0" hidden="1" customWidth="1"/>
    <col min="10767" max="10769" width="9.5703125" bestFit="1" customWidth="1"/>
    <col min="11009" max="11009" width="33.140625" customWidth="1"/>
    <col min="11010" max="11014" width="0" hidden="1" customWidth="1"/>
    <col min="11015" max="11019" width="14.140625" customWidth="1"/>
    <col min="11020" max="11021" width="0" hidden="1" customWidth="1"/>
    <col min="11023" max="11025" width="9.5703125" bestFit="1" customWidth="1"/>
    <col min="11265" max="11265" width="33.140625" customWidth="1"/>
    <col min="11266" max="11270" width="0" hidden="1" customWidth="1"/>
    <col min="11271" max="11275" width="14.140625" customWidth="1"/>
    <col min="11276" max="11277" width="0" hidden="1" customWidth="1"/>
    <col min="11279" max="11281" width="9.5703125" bestFit="1" customWidth="1"/>
    <col min="11521" max="11521" width="33.140625" customWidth="1"/>
    <col min="11522" max="11526" width="0" hidden="1" customWidth="1"/>
    <col min="11527" max="11531" width="14.140625" customWidth="1"/>
    <col min="11532" max="11533" width="0" hidden="1" customWidth="1"/>
    <col min="11535" max="11537" width="9.5703125" bestFit="1" customWidth="1"/>
    <col min="11777" max="11777" width="33.140625" customWidth="1"/>
    <col min="11778" max="11782" width="0" hidden="1" customWidth="1"/>
    <col min="11783" max="11787" width="14.140625" customWidth="1"/>
    <col min="11788" max="11789" width="0" hidden="1" customWidth="1"/>
    <col min="11791" max="11793" width="9.5703125" bestFit="1" customWidth="1"/>
    <col min="12033" max="12033" width="33.140625" customWidth="1"/>
    <col min="12034" max="12038" width="0" hidden="1" customWidth="1"/>
    <col min="12039" max="12043" width="14.140625" customWidth="1"/>
    <col min="12044" max="12045" width="0" hidden="1" customWidth="1"/>
    <col min="12047" max="12049" width="9.5703125" bestFit="1" customWidth="1"/>
    <col min="12289" max="12289" width="33.140625" customWidth="1"/>
    <col min="12290" max="12294" width="0" hidden="1" customWidth="1"/>
    <col min="12295" max="12299" width="14.140625" customWidth="1"/>
    <col min="12300" max="12301" width="0" hidden="1" customWidth="1"/>
    <col min="12303" max="12305" width="9.5703125" bestFit="1" customWidth="1"/>
    <col min="12545" max="12545" width="33.140625" customWidth="1"/>
    <col min="12546" max="12550" width="0" hidden="1" customWidth="1"/>
    <col min="12551" max="12555" width="14.140625" customWidth="1"/>
    <col min="12556" max="12557" width="0" hidden="1" customWidth="1"/>
    <col min="12559" max="12561" width="9.5703125" bestFit="1" customWidth="1"/>
    <col min="12801" max="12801" width="33.140625" customWidth="1"/>
    <col min="12802" max="12806" width="0" hidden="1" customWidth="1"/>
    <col min="12807" max="12811" width="14.140625" customWidth="1"/>
    <col min="12812" max="12813" width="0" hidden="1" customWidth="1"/>
    <col min="12815" max="12817" width="9.5703125" bestFit="1" customWidth="1"/>
    <col min="13057" max="13057" width="33.140625" customWidth="1"/>
    <col min="13058" max="13062" width="0" hidden="1" customWidth="1"/>
    <col min="13063" max="13067" width="14.140625" customWidth="1"/>
    <col min="13068" max="13069" width="0" hidden="1" customWidth="1"/>
    <col min="13071" max="13073" width="9.5703125" bestFit="1" customWidth="1"/>
    <col min="13313" max="13313" width="33.140625" customWidth="1"/>
    <col min="13314" max="13318" width="0" hidden="1" customWidth="1"/>
    <col min="13319" max="13323" width="14.140625" customWidth="1"/>
    <col min="13324" max="13325" width="0" hidden="1" customWidth="1"/>
    <col min="13327" max="13329" width="9.5703125" bestFit="1" customWidth="1"/>
    <col min="13569" max="13569" width="33.140625" customWidth="1"/>
    <col min="13570" max="13574" width="0" hidden="1" customWidth="1"/>
    <col min="13575" max="13579" width="14.140625" customWidth="1"/>
    <col min="13580" max="13581" width="0" hidden="1" customWidth="1"/>
    <col min="13583" max="13585" width="9.5703125" bestFit="1" customWidth="1"/>
    <col min="13825" max="13825" width="33.140625" customWidth="1"/>
    <col min="13826" max="13830" width="0" hidden="1" customWidth="1"/>
    <col min="13831" max="13835" width="14.140625" customWidth="1"/>
    <col min="13836" max="13837" width="0" hidden="1" customWidth="1"/>
    <col min="13839" max="13841" width="9.5703125" bestFit="1" customWidth="1"/>
    <col min="14081" max="14081" width="33.140625" customWidth="1"/>
    <col min="14082" max="14086" width="0" hidden="1" customWidth="1"/>
    <col min="14087" max="14091" width="14.140625" customWidth="1"/>
    <col min="14092" max="14093" width="0" hidden="1" customWidth="1"/>
    <col min="14095" max="14097" width="9.5703125" bestFit="1" customWidth="1"/>
    <col min="14337" max="14337" width="33.140625" customWidth="1"/>
    <col min="14338" max="14342" width="0" hidden="1" customWidth="1"/>
    <col min="14343" max="14347" width="14.140625" customWidth="1"/>
    <col min="14348" max="14349" width="0" hidden="1" customWidth="1"/>
    <col min="14351" max="14353" width="9.5703125" bestFit="1" customWidth="1"/>
    <col min="14593" max="14593" width="33.140625" customWidth="1"/>
    <col min="14594" max="14598" width="0" hidden="1" customWidth="1"/>
    <col min="14599" max="14603" width="14.140625" customWidth="1"/>
    <col min="14604" max="14605" width="0" hidden="1" customWidth="1"/>
    <col min="14607" max="14609" width="9.5703125" bestFit="1" customWidth="1"/>
    <col min="14849" max="14849" width="33.140625" customWidth="1"/>
    <col min="14850" max="14854" width="0" hidden="1" customWidth="1"/>
    <col min="14855" max="14859" width="14.140625" customWidth="1"/>
    <col min="14860" max="14861" width="0" hidden="1" customWidth="1"/>
    <col min="14863" max="14865" width="9.5703125" bestFit="1" customWidth="1"/>
    <col min="15105" max="15105" width="33.140625" customWidth="1"/>
    <col min="15106" max="15110" width="0" hidden="1" customWidth="1"/>
    <col min="15111" max="15115" width="14.140625" customWidth="1"/>
    <col min="15116" max="15117" width="0" hidden="1" customWidth="1"/>
    <col min="15119" max="15121" width="9.5703125" bestFit="1" customWidth="1"/>
    <col min="15361" max="15361" width="33.140625" customWidth="1"/>
    <col min="15362" max="15366" width="0" hidden="1" customWidth="1"/>
    <col min="15367" max="15371" width="14.140625" customWidth="1"/>
    <col min="15372" max="15373" width="0" hidden="1" customWidth="1"/>
    <col min="15375" max="15377" width="9.5703125" bestFit="1" customWidth="1"/>
    <col min="15617" max="15617" width="33.140625" customWidth="1"/>
    <col min="15618" max="15622" width="0" hidden="1" customWidth="1"/>
    <col min="15623" max="15627" width="14.140625" customWidth="1"/>
    <col min="15628" max="15629" width="0" hidden="1" customWidth="1"/>
    <col min="15631" max="15633" width="9.5703125" bestFit="1" customWidth="1"/>
    <col min="15873" max="15873" width="33.140625" customWidth="1"/>
    <col min="15874" max="15878" width="0" hidden="1" customWidth="1"/>
    <col min="15879" max="15883" width="14.140625" customWidth="1"/>
    <col min="15884" max="15885" width="0" hidden="1" customWidth="1"/>
    <col min="15887" max="15889" width="9.5703125" bestFit="1" customWidth="1"/>
    <col min="16129" max="16129" width="33.140625" customWidth="1"/>
    <col min="16130" max="16134" width="0" hidden="1" customWidth="1"/>
    <col min="16135" max="16139" width="14.140625" customWidth="1"/>
    <col min="16140" max="16141" width="0" hidden="1" customWidth="1"/>
    <col min="16143" max="16145" width="9.5703125" bestFit="1" customWidth="1"/>
  </cols>
  <sheetData>
    <row r="1" spans="1:17">
      <c r="A1" s="14" t="s">
        <v>466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7" ht="30">
      <c r="A2" s="16" t="s">
        <v>311</v>
      </c>
      <c r="B2" s="17" t="s">
        <v>67</v>
      </c>
      <c r="C2" s="17" t="s">
        <v>68</v>
      </c>
      <c r="D2" s="17" t="s">
        <v>69</v>
      </c>
      <c r="E2" s="17" t="s">
        <v>66</v>
      </c>
      <c r="F2" s="17" t="s">
        <v>76</v>
      </c>
      <c r="G2" s="17" t="s">
        <v>77</v>
      </c>
      <c r="H2" s="17" t="s">
        <v>78</v>
      </c>
      <c r="I2" s="17" t="s">
        <v>79</v>
      </c>
      <c r="J2" s="17" t="s">
        <v>161</v>
      </c>
      <c r="K2" s="17" t="s">
        <v>194</v>
      </c>
      <c r="L2" s="17" t="s">
        <v>63</v>
      </c>
      <c r="M2" s="18" t="s">
        <v>64</v>
      </c>
      <c r="O2" s="1"/>
      <c r="P2" s="1"/>
      <c r="Q2" s="1"/>
    </row>
    <row r="3" spans="1:17">
      <c r="A3" s="416" t="s">
        <v>57</v>
      </c>
      <c r="B3" s="417">
        <v>1585.06933</v>
      </c>
      <c r="C3" s="417">
        <v>1533.4843100000005</v>
      </c>
      <c r="D3" s="417">
        <v>1588.1328999999985</v>
      </c>
      <c r="E3" s="417">
        <v>2135.4650199998896</v>
      </c>
      <c r="F3" s="417">
        <v>1881</v>
      </c>
      <c r="G3" s="417">
        <v>2256</v>
      </c>
      <c r="H3" s="28">
        <v>2553</v>
      </c>
      <c r="I3" s="417">
        <v>2466</v>
      </c>
      <c r="J3" s="417">
        <v>2910</v>
      </c>
      <c r="K3" s="417">
        <v>2902</v>
      </c>
      <c r="L3" s="418"/>
      <c r="M3" s="419"/>
      <c r="O3" s="25"/>
      <c r="P3" s="25"/>
      <c r="Q3" s="25"/>
    </row>
    <row r="4" spans="1:17">
      <c r="A4" s="420" t="s">
        <v>467</v>
      </c>
      <c r="B4" s="421">
        <f>(B25*B19)/1000</f>
        <v>307.01587183875523</v>
      </c>
      <c r="C4" s="421">
        <f t="shared" ref="C4:I4" si="0">(C25*C19)/1000</f>
        <v>310.84310010271884</v>
      </c>
      <c r="D4" s="421">
        <f t="shared" si="0"/>
        <v>302.40476914423851</v>
      </c>
      <c r="E4" s="421">
        <f t="shared" si="0"/>
        <v>339.31325504013671</v>
      </c>
      <c r="F4" s="421">
        <f t="shared" si="0"/>
        <v>326.9945352276867</v>
      </c>
      <c r="G4" s="421">
        <f t="shared" si="0"/>
        <v>342.41445539651841</v>
      </c>
      <c r="H4" s="421">
        <f t="shared" si="0"/>
        <v>166.04515409700724</v>
      </c>
      <c r="I4" s="421">
        <f t="shared" si="0"/>
        <v>139.09419345132741</v>
      </c>
      <c r="J4" s="421">
        <f>(J25*J19)/1000</f>
        <v>143.82425264394831</v>
      </c>
      <c r="K4" s="421">
        <f>(K25*K19)/1000</f>
        <v>125.34542571785268</v>
      </c>
      <c r="L4" s="19">
        <f>E4/$E$3</f>
        <v>0.15889431662999295</v>
      </c>
      <c r="M4" s="19">
        <f>E4/($E$17*1000)*12</f>
        <v>5.8755541998292075E-2</v>
      </c>
      <c r="O4" s="25"/>
      <c r="P4" s="25"/>
      <c r="Q4" s="25"/>
    </row>
    <row r="5" spans="1:17">
      <c r="A5" s="422" t="s">
        <v>58</v>
      </c>
      <c r="B5" s="423">
        <f t="shared" ref="B5:K5" si="1">+B3-B4</f>
        <v>1278.0534581612449</v>
      </c>
      <c r="C5" s="423">
        <f t="shared" si="1"/>
        <v>1222.6412098972817</v>
      </c>
      <c r="D5" s="423">
        <f t="shared" si="1"/>
        <v>1285.7281308557599</v>
      </c>
      <c r="E5" s="423">
        <f t="shared" si="1"/>
        <v>1796.1517649597529</v>
      </c>
      <c r="F5" s="423">
        <f t="shared" si="1"/>
        <v>1554.0054647723132</v>
      </c>
      <c r="G5" s="423">
        <f t="shared" si="1"/>
        <v>1913.5855446034816</v>
      </c>
      <c r="H5" s="423">
        <f t="shared" si="1"/>
        <v>2386.9548459029929</v>
      </c>
      <c r="I5" s="423">
        <f t="shared" si="1"/>
        <v>2326.9058065486724</v>
      </c>
      <c r="J5" s="423">
        <f t="shared" si="1"/>
        <v>2766.1757473560515</v>
      </c>
      <c r="K5" s="423">
        <f t="shared" si="1"/>
        <v>2776.6545742821472</v>
      </c>
      <c r="L5" s="424">
        <f t="shared" ref="L5:L15" si="2">E5/$E$3</f>
        <v>0.84110568337000702</v>
      </c>
      <c r="M5" s="424">
        <f t="shared" ref="M5:M15" si="3">E5/($E$17*1000)*12</f>
        <v>0.31102195064238142</v>
      </c>
      <c r="O5" s="25"/>
      <c r="P5" s="25"/>
      <c r="Q5" s="25"/>
    </row>
    <row r="6" spans="1:17">
      <c r="A6" s="420" t="s">
        <v>468</v>
      </c>
      <c r="B6" s="425">
        <v>355.28166999999991</v>
      </c>
      <c r="C6" s="425">
        <v>400.78602000000001</v>
      </c>
      <c r="D6" s="425">
        <v>547.42714999999941</v>
      </c>
      <c r="E6" s="425">
        <v>363.48329999999999</v>
      </c>
      <c r="F6" s="425">
        <v>349</v>
      </c>
      <c r="G6" s="425">
        <v>949</v>
      </c>
      <c r="H6" s="425">
        <v>495</v>
      </c>
      <c r="I6" s="425">
        <v>550</v>
      </c>
      <c r="J6" s="425">
        <v>618.53009557702319</v>
      </c>
      <c r="K6" s="425">
        <f>[6]Income!H28/1000</f>
        <v>453.57667973808014</v>
      </c>
      <c r="L6" s="19">
        <f>E6/$E$3</f>
        <v>0.17021271554240622</v>
      </c>
      <c r="M6" s="19">
        <f t="shared" si="3"/>
        <v>6.294083116883116E-2</v>
      </c>
      <c r="O6" s="25"/>
      <c r="P6" s="25"/>
      <c r="Q6" s="25"/>
    </row>
    <row r="7" spans="1:17" s="1" customFormat="1">
      <c r="A7" s="6" t="s">
        <v>469</v>
      </c>
      <c r="B7" s="8">
        <f>'[6]OPEX MFC'!D68/1000</f>
        <v>1423.1233303382519</v>
      </c>
      <c r="C7" s="8">
        <f>'[6]OPEX MFC'!E68/1000</f>
        <v>1921.8829959942061</v>
      </c>
      <c r="D7" s="8">
        <f>'[6]OPEX MFC'!F68/1000</f>
        <v>1757.2941630189725</v>
      </c>
      <c r="E7" s="8">
        <f>'[6]OPEX MFC'!G68/1000</f>
        <v>2370.2136638315483</v>
      </c>
      <c r="F7" s="8">
        <f>'[6]OPEX MFC'!H68/1000</f>
        <v>1071.186259216737</v>
      </c>
      <c r="G7" s="8">
        <f>'[6]OPEX MFC'!I68/1000</f>
        <v>1713.3057888845042</v>
      </c>
      <c r="H7" s="8">
        <f>'[6]OPEX MFC'!J68/1000</f>
        <v>1583.7149155625252</v>
      </c>
      <c r="I7" s="8">
        <f>'[6]OPEX MFC'!K68/1000</f>
        <v>1280.8166540499315</v>
      </c>
      <c r="J7" s="8">
        <f>'[6]OPEX MFC'!L68/1000</f>
        <v>1277.9526175681665</v>
      </c>
      <c r="K7" s="8">
        <f>'[6]OPEX MFC'!M68/1000</f>
        <v>1476.5773214038732</v>
      </c>
      <c r="L7" s="12">
        <f t="shared" si="2"/>
        <v>1.1099285830641565</v>
      </c>
      <c r="M7" s="12">
        <f t="shared" si="3"/>
        <v>0.41042660845567935</v>
      </c>
      <c r="O7" s="25"/>
      <c r="P7" s="25"/>
      <c r="Q7" s="25"/>
    </row>
    <row r="8" spans="1:17" ht="30">
      <c r="A8" s="426" t="s">
        <v>59</v>
      </c>
      <c r="B8" s="20">
        <f t="shared" ref="B8:I8" si="4">+B5+B6-B7</f>
        <v>210.21179782299282</v>
      </c>
      <c r="C8" s="20">
        <f t="shared" si="4"/>
        <v>-298.45576609692444</v>
      </c>
      <c r="D8" s="20">
        <f t="shared" si="4"/>
        <v>75.861117836786889</v>
      </c>
      <c r="E8" s="20">
        <f t="shared" si="4"/>
        <v>-210.57859887179529</v>
      </c>
      <c r="F8" s="20">
        <f t="shared" si="4"/>
        <v>831.81920555557622</v>
      </c>
      <c r="G8" s="20">
        <f t="shared" si="4"/>
        <v>1149.2797557189774</v>
      </c>
      <c r="H8" s="20">
        <f t="shared" si="4"/>
        <v>1298.2399303404677</v>
      </c>
      <c r="I8" s="20">
        <f t="shared" si="4"/>
        <v>1596.089152498741</v>
      </c>
      <c r="J8" s="20">
        <f>+J5+J6-J7</f>
        <v>2106.7532253649078</v>
      </c>
      <c r="K8" s="20">
        <f>+K5+K6-K7</f>
        <v>1753.6539326163543</v>
      </c>
      <c r="L8" s="427">
        <f t="shared" si="2"/>
        <v>-9.8610184151743302E-2</v>
      </c>
      <c r="M8" s="427">
        <f t="shared" si="3"/>
        <v>-3.6463826644466714E-2</v>
      </c>
      <c r="O8" s="25"/>
      <c r="P8" s="25"/>
      <c r="Q8" s="25"/>
    </row>
    <row r="9" spans="1:17" s="1" customFormat="1">
      <c r="A9" s="7" t="s">
        <v>470</v>
      </c>
      <c r="B9" s="9">
        <f t="shared" ref="B9:K9" si="5">SUM(B10:B12)</f>
        <v>481.06498000000806</v>
      </c>
      <c r="C9" s="9">
        <f t="shared" si="5"/>
        <v>376.86159999999728</v>
      </c>
      <c r="D9" s="9">
        <f t="shared" si="5"/>
        <v>305.05834300000919</v>
      </c>
      <c r="E9" s="9">
        <f t="shared" si="5"/>
        <v>232.21889699997894</v>
      </c>
      <c r="F9" s="9">
        <f t="shared" si="5"/>
        <v>-81</v>
      </c>
      <c r="G9" s="9">
        <f t="shared" si="5"/>
        <v>164</v>
      </c>
      <c r="H9" s="9">
        <f t="shared" si="5"/>
        <v>3.16</v>
      </c>
      <c r="I9" s="9">
        <f t="shared" si="5"/>
        <v>3</v>
      </c>
      <c r="J9" s="9">
        <f t="shared" si="5"/>
        <v>3</v>
      </c>
      <c r="K9" s="9">
        <f t="shared" si="5"/>
        <v>4</v>
      </c>
      <c r="L9" s="13">
        <f t="shared" si="2"/>
        <v>0.10874394795752307</v>
      </c>
      <c r="M9" s="13">
        <f t="shared" si="3"/>
        <v>4.0211064415580769E-2</v>
      </c>
      <c r="O9" s="25"/>
      <c r="P9" s="25"/>
      <c r="Q9" s="25"/>
    </row>
    <row r="10" spans="1:17">
      <c r="A10" s="428" t="s">
        <v>471</v>
      </c>
      <c r="B10" s="425">
        <v>35.352040000000009</v>
      </c>
      <c r="C10" s="425">
        <v>9.2257900000000088</v>
      </c>
      <c r="D10" s="425">
        <v>49.624959999999994</v>
      </c>
      <c r="E10" s="425">
        <v>21</v>
      </c>
      <c r="F10" s="425">
        <v>18</v>
      </c>
      <c r="G10" s="425">
        <v>15</v>
      </c>
      <c r="H10" s="425">
        <v>0.16</v>
      </c>
      <c r="I10" s="425">
        <v>0</v>
      </c>
      <c r="J10" s="425">
        <v>0</v>
      </c>
      <c r="K10" s="425">
        <v>0</v>
      </c>
      <c r="L10" s="19">
        <f t="shared" si="2"/>
        <v>9.8339236668934463E-3</v>
      </c>
      <c r="M10" s="19">
        <f t="shared" si="3"/>
        <v>3.6363636363636364E-3</v>
      </c>
      <c r="O10" s="25"/>
      <c r="P10" s="25"/>
      <c r="Q10" s="25"/>
    </row>
    <row r="11" spans="1:17">
      <c r="A11" s="429" t="s">
        <v>65</v>
      </c>
      <c r="B11" s="417">
        <v>288.63835000000034</v>
      </c>
      <c r="C11" s="417">
        <v>464.5437799999998</v>
      </c>
      <c r="D11" s="417">
        <v>198.18277</v>
      </c>
      <c r="E11" s="417">
        <v>36.814019999996759</v>
      </c>
      <c r="F11" s="417">
        <v>65</v>
      </c>
      <c r="G11" s="417">
        <v>0</v>
      </c>
      <c r="H11" s="417">
        <v>0</v>
      </c>
      <c r="I11" s="417">
        <v>0</v>
      </c>
      <c r="J11" s="417">
        <v>0</v>
      </c>
      <c r="K11" s="417">
        <v>0</v>
      </c>
      <c r="L11" s="430">
        <f t="shared" si="2"/>
        <v>1.7239345835783657E-2</v>
      </c>
      <c r="M11" s="430">
        <f t="shared" si="3"/>
        <v>6.3747220779215167E-3</v>
      </c>
      <c r="O11" s="25"/>
      <c r="P11" s="25"/>
      <c r="Q11" s="25"/>
    </row>
    <row r="12" spans="1:17">
      <c r="A12" s="428" t="s">
        <v>60</v>
      </c>
      <c r="B12" s="425">
        <v>157.07459000000776</v>
      </c>
      <c r="C12" s="425">
        <v>-96.907970000002535</v>
      </c>
      <c r="D12" s="425">
        <v>57.25061300000921</v>
      </c>
      <c r="E12" s="425">
        <v>174.40487699998218</v>
      </c>
      <c r="F12" s="425">
        <v>-164</v>
      </c>
      <c r="G12" s="425">
        <v>149</v>
      </c>
      <c r="H12" s="425">
        <v>3</v>
      </c>
      <c r="I12" s="425">
        <v>3</v>
      </c>
      <c r="J12" s="425">
        <v>3</v>
      </c>
      <c r="K12" s="425">
        <v>4</v>
      </c>
      <c r="L12" s="19">
        <f t="shared" si="2"/>
        <v>8.1670678454845963E-2</v>
      </c>
      <c r="M12" s="19">
        <f t="shared" si="3"/>
        <v>3.0199978701295614E-2</v>
      </c>
      <c r="O12" s="25"/>
      <c r="P12" s="25"/>
      <c r="Q12" s="25"/>
    </row>
    <row r="13" spans="1:17">
      <c r="A13" s="431" t="s">
        <v>61</v>
      </c>
      <c r="B13" s="423">
        <f t="shared" ref="B13:I13" si="6">+B8-B9</f>
        <v>-270.85318217701524</v>
      </c>
      <c r="C13" s="423">
        <f t="shared" si="6"/>
        <v>-675.31736609692166</v>
      </c>
      <c r="D13" s="423">
        <f t="shared" si="6"/>
        <v>-229.1972251632223</v>
      </c>
      <c r="E13" s="423">
        <f t="shared" si="6"/>
        <v>-442.79749587177423</v>
      </c>
      <c r="F13" s="423">
        <f t="shared" si="6"/>
        <v>912.81920555557622</v>
      </c>
      <c r="G13" s="423">
        <f t="shared" si="6"/>
        <v>985.27975571897741</v>
      </c>
      <c r="H13" s="423">
        <f t="shared" si="6"/>
        <v>1295.0799303404676</v>
      </c>
      <c r="I13" s="423">
        <f t="shared" si="6"/>
        <v>1593.089152498741</v>
      </c>
      <c r="J13" s="423">
        <f>+J8-J9</f>
        <v>2103.7532253649078</v>
      </c>
      <c r="K13" s="423">
        <f>+K8-K9</f>
        <v>1749.6539326163543</v>
      </c>
      <c r="L13" s="424">
        <f t="shared" si="2"/>
        <v>-0.20735413210926637</v>
      </c>
      <c r="M13" s="424">
        <f t="shared" si="3"/>
        <v>-7.667489106004749E-2</v>
      </c>
      <c r="O13" s="25"/>
      <c r="P13" s="25"/>
      <c r="Q13" s="25"/>
    </row>
    <row r="14" spans="1:17">
      <c r="A14" s="432" t="s">
        <v>472</v>
      </c>
      <c r="B14" s="425">
        <v>0</v>
      </c>
      <c r="C14" s="425">
        <v>0</v>
      </c>
      <c r="D14" s="425">
        <v>0</v>
      </c>
      <c r="E14" s="425">
        <v>0</v>
      </c>
      <c r="F14" s="425">
        <v>0</v>
      </c>
      <c r="G14" s="425">
        <v>0</v>
      </c>
      <c r="H14" s="425">
        <v>0</v>
      </c>
      <c r="I14" s="425">
        <v>0</v>
      </c>
      <c r="J14" s="425">
        <v>0</v>
      </c>
      <c r="K14" s="425">
        <v>0</v>
      </c>
      <c r="L14" s="21">
        <f t="shared" si="2"/>
        <v>0</v>
      </c>
      <c r="M14" s="21">
        <f t="shared" si="3"/>
        <v>0</v>
      </c>
      <c r="O14" s="25"/>
      <c r="P14" s="25"/>
      <c r="Q14" s="25"/>
    </row>
    <row r="15" spans="1:17">
      <c r="A15" s="433" t="s">
        <v>62</v>
      </c>
      <c r="B15" s="434">
        <f t="shared" ref="B15:I15" si="7">+B13-B14</f>
        <v>-270.85318217701524</v>
      </c>
      <c r="C15" s="434">
        <f t="shared" si="7"/>
        <v>-675.31736609692166</v>
      </c>
      <c r="D15" s="434">
        <f t="shared" si="7"/>
        <v>-229.1972251632223</v>
      </c>
      <c r="E15" s="434">
        <f t="shared" si="7"/>
        <v>-442.79749587177423</v>
      </c>
      <c r="F15" s="434">
        <f t="shared" si="7"/>
        <v>912.81920555557622</v>
      </c>
      <c r="G15" s="434">
        <f t="shared" si="7"/>
        <v>985.27975571897741</v>
      </c>
      <c r="H15" s="434">
        <f t="shared" si="7"/>
        <v>1295.0799303404676</v>
      </c>
      <c r="I15" s="434">
        <f t="shared" si="7"/>
        <v>1593.089152498741</v>
      </c>
      <c r="J15" s="434">
        <f>+J13-J14</f>
        <v>2103.7532253649078</v>
      </c>
      <c r="K15" s="434">
        <f>+K13-K14</f>
        <v>1749.6539326163543</v>
      </c>
      <c r="L15" s="435">
        <f t="shared" si="2"/>
        <v>-0.20735413210926637</v>
      </c>
      <c r="M15" s="435">
        <f t="shared" si="3"/>
        <v>-7.667489106004749E-2</v>
      </c>
      <c r="O15" s="25"/>
      <c r="P15" s="25"/>
      <c r="Q15" s="25"/>
    </row>
    <row r="16" spans="1:17" ht="18">
      <c r="A16" s="436"/>
      <c r="B16" s="4"/>
      <c r="C16" s="4"/>
      <c r="D16" s="4"/>
      <c r="E16" s="4"/>
      <c r="F16" s="4"/>
      <c r="G16" s="4"/>
      <c r="H16" s="4"/>
      <c r="I16" s="4"/>
      <c r="J16" s="4"/>
      <c r="K16" s="4"/>
      <c r="O16" s="1"/>
      <c r="P16" s="1"/>
      <c r="Q16" s="1"/>
    </row>
    <row r="17" spans="1:17" s="3" customFormat="1">
      <c r="A17" s="437" t="s">
        <v>473</v>
      </c>
      <c r="B17" s="10">
        <v>55.5</v>
      </c>
      <c r="C17" s="10">
        <v>55.2</v>
      </c>
      <c r="D17" s="10">
        <v>59.4</v>
      </c>
      <c r="E17" s="10">
        <v>69.3</v>
      </c>
      <c r="F17" s="10">
        <v>73</v>
      </c>
      <c r="G17" s="10">
        <v>81</v>
      </c>
      <c r="H17" s="10">
        <v>86</v>
      </c>
      <c r="I17" s="10">
        <v>89</v>
      </c>
      <c r="J17" s="10">
        <v>94</v>
      </c>
      <c r="K17" s="10">
        <v>98</v>
      </c>
      <c r="L17" s="11"/>
      <c r="M17" s="11"/>
      <c r="O17" s="8"/>
      <c r="P17" s="8"/>
      <c r="Q17" s="8"/>
    </row>
    <row r="18" spans="1:17" s="3" customFormat="1">
      <c r="A18" s="437" t="s">
        <v>474</v>
      </c>
      <c r="B18" s="10">
        <v>1414</v>
      </c>
      <c r="C18" s="10">
        <v>1324</v>
      </c>
      <c r="D18" s="10">
        <v>1241</v>
      </c>
      <c r="E18" s="10">
        <v>1171</v>
      </c>
      <c r="F18" s="10">
        <v>1098</v>
      </c>
      <c r="G18" s="10">
        <v>1034</v>
      </c>
      <c r="H18" s="10">
        <v>969</v>
      </c>
      <c r="I18" s="10">
        <v>904</v>
      </c>
      <c r="J18" s="10">
        <v>851</v>
      </c>
      <c r="K18" s="10">
        <v>801</v>
      </c>
      <c r="L18" s="11"/>
      <c r="M18" s="11"/>
      <c r="O18" s="8"/>
      <c r="P18" s="8"/>
      <c r="Q18" s="8"/>
    </row>
    <row r="19" spans="1:17" s="3" customFormat="1">
      <c r="A19" s="437" t="s">
        <v>72</v>
      </c>
      <c r="B19" s="11">
        <f t="shared" ref="B19:J19" si="8">B17/B18</f>
        <v>3.9250353606789253E-2</v>
      </c>
      <c r="C19" s="11">
        <f t="shared" si="8"/>
        <v>4.1691842900302117E-2</v>
      </c>
      <c r="D19" s="11">
        <f t="shared" si="8"/>
        <v>4.786462530217566E-2</v>
      </c>
      <c r="E19" s="11">
        <f>E17/E18</f>
        <v>5.9180187873612296E-2</v>
      </c>
      <c r="F19" s="11">
        <f>F17/F18</f>
        <v>6.6484517304189431E-2</v>
      </c>
      <c r="G19" s="11">
        <f t="shared" si="8"/>
        <v>7.8336557059961315E-2</v>
      </c>
      <c r="H19" s="11">
        <f t="shared" si="8"/>
        <v>8.8751289989680085E-2</v>
      </c>
      <c r="I19" s="11">
        <f t="shared" si="8"/>
        <v>9.8451327433628319E-2</v>
      </c>
      <c r="J19" s="11">
        <f t="shared" si="8"/>
        <v>0.11045828437132785</v>
      </c>
      <c r="K19" s="11">
        <f>K17/K18</f>
        <v>0.12234706616729088</v>
      </c>
      <c r="L19" s="11"/>
      <c r="M19" s="11"/>
      <c r="O19" s="26"/>
      <c r="P19" s="26"/>
      <c r="Q19" s="26"/>
    </row>
    <row r="20" spans="1:17" s="3" customFormat="1">
      <c r="A20" s="43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O20" s="26"/>
      <c r="P20" s="26"/>
      <c r="Q20" s="26"/>
    </row>
    <row r="21" spans="1:17" s="3" customFormat="1">
      <c r="A21" s="437" t="s">
        <v>56</v>
      </c>
      <c r="B21" s="10">
        <v>45158</v>
      </c>
      <c r="C21" s="10">
        <v>43269</v>
      </c>
      <c r="D21" s="10">
        <v>41717</v>
      </c>
      <c r="E21" s="10">
        <v>40527</v>
      </c>
      <c r="F21" s="10">
        <v>39135</v>
      </c>
      <c r="G21" s="10">
        <v>37924</v>
      </c>
      <c r="H21" s="10">
        <v>36708</v>
      </c>
      <c r="I21" s="10">
        <v>35501</v>
      </c>
      <c r="J21" s="10">
        <v>34569</v>
      </c>
      <c r="K21" s="10">
        <v>33676</v>
      </c>
      <c r="L21" s="11"/>
      <c r="M21" s="11"/>
      <c r="O21" s="8"/>
      <c r="P21" s="8"/>
      <c r="Q21" s="8"/>
    </row>
    <row r="22" spans="1:17" s="3" customFormat="1">
      <c r="A22" s="437" t="s">
        <v>475</v>
      </c>
      <c r="B22" s="10">
        <v>5277</v>
      </c>
      <c r="C22" s="10">
        <v>5318</v>
      </c>
      <c r="D22" s="10">
        <v>5620</v>
      </c>
      <c r="E22" s="10">
        <v>6116</v>
      </c>
      <c r="F22" s="10">
        <v>6213</v>
      </c>
      <c r="G22" s="10">
        <v>6550</v>
      </c>
      <c r="H22" s="10">
        <v>6830</v>
      </c>
      <c r="I22" s="10">
        <v>6996</v>
      </c>
      <c r="J22" s="10">
        <v>7290</v>
      </c>
      <c r="K22" s="10">
        <v>7534</v>
      </c>
      <c r="L22" s="11"/>
      <c r="M22" s="11"/>
      <c r="O22" s="8"/>
      <c r="P22" s="8"/>
      <c r="Q22" s="8"/>
    </row>
    <row r="23" spans="1:17" s="3" customFormat="1" ht="28.5">
      <c r="A23" s="437" t="s">
        <v>71</v>
      </c>
      <c r="B23" s="11">
        <f t="shared" ref="B23:I23" si="9">B22/B21</f>
        <v>0.11685637096417024</v>
      </c>
      <c r="C23" s="11">
        <f t="shared" si="9"/>
        <v>0.1229055443851256</v>
      </c>
      <c r="D23" s="11">
        <f t="shared" si="9"/>
        <v>0.13471726154804994</v>
      </c>
      <c r="E23" s="11">
        <f t="shared" si="9"/>
        <v>0.15091173785377648</v>
      </c>
      <c r="F23" s="11">
        <f t="shared" si="9"/>
        <v>0.15875814488309697</v>
      </c>
      <c r="G23" s="11">
        <f t="shared" si="9"/>
        <v>0.17271384875013185</v>
      </c>
      <c r="H23" s="11">
        <f t="shared" si="9"/>
        <v>0.18606298354582107</v>
      </c>
      <c r="I23" s="11">
        <f t="shared" si="9"/>
        <v>0.19706487141207291</v>
      </c>
      <c r="J23" s="11">
        <f>J22/J21</f>
        <v>0.21088258266076543</v>
      </c>
      <c r="K23" s="11">
        <f>K22/K21</f>
        <v>0.22372015678821713</v>
      </c>
      <c r="L23" s="11"/>
      <c r="M23" s="11"/>
      <c r="O23" s="26"/>
      <c r="P23" s="26"/>
      <c r="Q23" s="26"/>
    </row>
    <row r="24" spans="1:17" ht="18">
      <c r="A24" s="436"/>
      <c r="B24" s="4"/>
      <c r="C24" s="4"/>
      <c r="D24" s="4"/>
      <c r="E24" s="4"/>
      <c r="F24" s="4"/>
      <c r="G24" s="4"/>
      <c r="H24" s="4"/>
      <c r="I24" s="4"/>
      <c r="J24" s="4"/>
      <c r="K24" s="4"/>
      <c r="O24" s="27"/>
      <c r="P24" s="27"/>
      <c r="Q24" s="27"/>
    </row>
    <row r="25" spans="1:17" s="3" customFormat="1">
      <c r="A25" s="437" t="s">
        <v>70</v>
      </c>
      <c r="B25" s="10">
        <v>7821989.9599999972</v>
      </c>
      <c r="C25" s="10">
        <v>7455729.429999996</v>
      </c>
      <c r="D25" s="10">
        <v>6317917.8200000003</v>
      </c>
      <c r="E25" s="10">
        <v>5733561.6400000006</v>
      </c>
      <c r="F25" s="10">
        <v>4918356.16</v>
      </c>
      <c r="G25" s="10">
        <v>4371068.4800000004</v>
      </c>
      <c r="H25" s="10">
        <v>1870904.12</v>
      </c>
      <c r="I25" s="10">
        <v>1412821.92</v>
      </c>
      <c r="J25" s="10">
        <v>1302068.5</v>
      </c>
      <c r="K25" s="10">
        <v>1024507</v>
      </c>
      <c r="L25" s="11"/>
      <c r="M25" s="11"/>
      <c r="O25" s="8"/>
      <c r="P25" s="8"/>
      <c r="Q25" s="8"/>
    </row>
    <row r="26" spans="1:17" ht="18">
      <c r="A26" s="436"/>
      <c r="B26" s="4"/>
      <c r="C26" s="4"/>
      <c r="D26" s="4"/>
      <c r="E26" s="4"/>
      <c r="F26" s="4"/>
      <c r="G26" s="4"/>
      <c r="H26" s="4"/>
      <c r="I26" s="4"/>
      <c r="J26" s="4"/>
      <c r="K26" s="4"/>
      <c r="O26" s="27"/>
      <c r="P26" s="27"/>
      <c r="Q26" s="27"/>
    </row>
    <row r="27" spans="1:17" s="3" customFormat="1" ht="28.5">
      <c r="A27" s="437" t="s">
        <v>73</v>
      </c>
      <c r="B27" s="10">
        <f t="shared" ref="B27:J27" si="10">(B3*1000)/B22</f>
        <v>300.37319120712527</v>
      </c>
      <c r="C27" s="10">
        <f t="shared" si="10"/>
        <v>288.35733546446045</v>
      </c>
      <c r="D27" s="10">
        <f t="shared" si="10"/>
        <v>282.58592526690364</v>
      </c>
      <c r="E27" s="10">
        <f t="shared" si="10"/>
        <v>349.16040222365757</v>
      </c>
      <c r="F27" s="10">
        <f t="shared" si="10"/>
        <v>302.75229357798167</v>
      </c>
      <c r="G27" s="10">
        <f t="shared" si="10"/>
        <v>344.42748091603056</v>
      </c>
      <c r="H27" s="10">
        <f t="shared" si="10"/>
        <v>373.79209370424599</v>
      </c>
      <c r="I27" s="10">
        <f t="shared" si="10"/>
        <v>352.48713550600343</v>
      </c>
      <c r="J27" s="10">
        <f t="shared" si="10"/>
        <v>399.1769547325103</v>
      </c>
      <c r="K27" s="10">
        <f>(K3*1000)/K22</f>
        <v>385.18715157950624</v>
      </c>
      <c r="L27" s="11"/>
      <c r="M27" s="11"/>
      <c r="O27" s="8"/>
      <c r="P27" s="8"/>
      <c r="Q27" s="8"/>
    </row>
    <row r="28" spans="1:17" ht="18">
      <c r="A28" s="436"/>
      <c r="B28" s="4">
        <f>B4/B17</f>
        <v>5.5318175106082021</v>
      </c>
      <c r="C28" s="4">
        <f t="shared" ref="C28:M28" si="11">C4/C17</f>
        <v>5.6312155815709932</v>
      </c>
      <c r="D28" s="4">
        <f t="shared" si="11"/>
        <v>5.0909893795326351</v>
      </c>
      <c r="E28" s="4">
        <f t="shared" si="11"/>
        <v>4.8962951665243395</v>
      </c>
      <c r="F28" s="4">
        <f t="shared" si="11"/>
        <v>4.4793771948998176</v>
      </c>
      <c r="G28" s="4">
        <f t="shared" si="11"/>
        <v>4.2273389555125727</v>
      </c>
      <c r="H28" s="4">
        <f t="shared" si="11"/>
        <v>1.930757605779154</v>
      </c>
      <c r="I28" s="4">
        <f t="shared" si="11"/>
        <v>1.56285610619469</v>
      </c>
      <c r="J28" s="4">
        <f t="shared" si="11"/>
        <v>1.5300452408930671</v>
      </c>
      <c r="K28" s="4">
        <f t="shared" si="11"/>
        <v>1.2790349563046191</v>
      </c>
      <c r="L28" s="4" t="e">
        <f t="shared" si="11"/>
        <v>#DIV/0!</v>
      </c>
      <c r="M28" s="4" t="e">
        <f t="shared" si="11"/>
        <v>#DIV/0!</v>
      </c>
      <c r="O28" s="1"/>
      <c r="P28" s="1"/>
      <c r="Q28" s="1"/>
    </row>
    <row r="29" spans="1:17" s="3" customFormat="1" hidden="1">
      <c r="A29" s="438" t="s">
        <v>476</v>
      </c>
      <c r="B29" s="439">
        <f>E7/(L5-L9+L6)*1000</f>
        <v>2626058.8933399902</v>
      </c>
      <c r="C29" s="10"/>
      <c r="D29" s="10"/>
      <c r="E29" s="10"/>
      <c r="F29" s="10"/>
      <c r="G29" s="10"/>
      <c r="H29" s="10"/>
      <c r="I29" s="10"/>
      <c r="J29" s="10"/>
      <c r="K29" s="10"/>
      <c r="L29" s="11"/>
      <c r="M29" s="11"/>
      <c r="O29" s="1"/>
      <c r="P29" s="1"/>
      <c r="Q29" s="1"/>
    </row>
    <row r="30" spans="1:17" ht="18" hidden="1">
      <c r="A30" s="440"/>
      <c r="B30" s="441"/>
      <c r="C30" s="4"/>
      <c r="D30" s="4"/>
      <c r="E30" s="4"/>
      <c r="F30" s="4"/>
      <c r="G30" s="4"/>
      <c r="H30" s="4"/>
      <c r="I30" s="4"/>
      <c r="J30" s="4"/>
      <c r="K30" s="4"/>
      <c r="O30" s="1"/>
      <c r="P30" s="1"/>
      <c r="Q30" s="1"/>
    </row>
    <row r="31" spans="1:17" s="3" customFormat="1" hidden="1">
      <c r="A31" s="442" t="s">
        <v>477</v>
      </c>
      <c r="B31" s="443">
        <f>E27</f>
        <v>349.16040222365757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O31" s="1"/>
      <c r="P31" s="1"/>
      <c r="Q31" s="1"/>
    </row>
    <row r="32" spans="1:17" ht="18" hidden="1">
      <c r="A32" s="440"/>
      <c r="B32" s="441"/>
      <c r="C32" s="4"/>
      <c r="D32" s="4"/>
      <c r="E32" s="4"/>
      <c r="F32" s="4"/>
      <c r="G32" s="4"/>
      <c r="H32" s="4"/>
      <c r="I32" s="4"/>
      <c r="J32" s="4"/>
      <c r="K32" s="4"/>
      <c r="O32" s="1"/>
      <c r="P32" s="1"/>
      <c r="Q32" s="1"/>
    </row>
    <row r="33" spans="1:17" s="3" customFormat="1" ht="28.5" hidden="1">
      <c r="A33" s="442" t="s">
        <v>478</v>
      </c>
      <c r="B33" s="443">
        <f>(B29/B31)</f>
        <v>7521.0673278404765</v>
      </c>
      <c r="C33" s="10"/>
      <c r="D33" s="10"/>
      <c r="E33" s="10"/>
      <c r="F33" s="10"/>
      <c r="G33" s="10"/>
      <c r="H33" s="10"/>
      <c r="I33" s="10"/>
      <c r="J33" s="10"/>
      <c r="K33" s="10"/>
      <c r="L33" s="11"/>
      <c r="M33" s="11"/>
      <c r="O33" s="1"/>
      <c r="P33" s="1"/>
      <c r="Q33" s="1"/>
    </row>
    <row r="34" spans="1:17" ht="18.75" hidden="1" thickBot="1">
      <c r="A34" s="444"/>
      <c r="B34" s="445"/>
      <c r="C34" s="4"/>
      <c r="D34" s="4"/>
      <c r="E34" s="4"/>
      <c r="F34" s="4"/>
      <c r="G34" s="4"/>
      <c r="H34" s="4"/>
      <c r="I34" s="4"/>
      <c r="J34" s="4"/>
      <c r="K34" s="4"/>
      <c r="O34" s="1"/>
      <c r="P34" s="1"/>
      <c r="Q34" s="1"/>
    </row>
    <row r="35" spans="1:17" ht="18">
      <c r="A35" s="436"/>
      <c r="B35" s="4"/>
      <c r="C35" s="4"/>
      <c r="D35" s="4"/>
      <c r="E35" s="4"/>
      <c r="F35" s="4"/>
      <c r="G35" s="4"/>
      <c r="H35" s="4"/>
      <c r="I35" s="4"/>
      <c r="J35" s="4"/>
      <c r="K35" s="4"/>
      <c r="O35" s="1"/>
      <c r="P35" s="1"/>
      <c r="Q35" s="1"/>
    </row>
    <row r="36" spans="1:17" ht="18">
      <c r="A36" s="436"/>
      <c r="B36" s="4"/>
      <c r="C36" s="4"/>
      <c r="D36" s="4"/>
      <c r="E36" s="4"/>
      <c r="F36" s="4"/>
      <c r="G36" s="4"/>
      <c r="H36" s="4"/>
      <c r="I36" s="4"/>
      <c r="J36" s="4"/>
      <c r="K36" s="4"/>
      <c r="O36" s="1"/>
      <c r="P36" s="1"/>
      <c r="Q36" s="1"/>
    </row>
    <row r="37" spans="1:17" ht="18">
      <c r="A37" s="436"/>
      <c r="B37" s="4"/>
      <c r="C37" s="4"/>
      <c r="D37" s="4"/>
      <c r="E37" s="4"/>
      <c r="F37" s="4"/>
      <c r="G37" s="4"/>
      <c r="H37" s="4"/>
      <c r="I37" s="4"/>
      <c r="J37" s="4"/>
      <c r="K37" s="4"/>
      <c r="O37" s="1"/>
      <c r="P37" s="1"/>
      <c r="Q37" s="1"/>
    </row>
    <row r="38" spans="1:17" ht="18">
      <c r="A38" s="436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7" ht="18">
      <c r="A39" s="436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7" ht="18">
      <c r="A40" s="436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7" ht="18">
      <c r="A41" s="436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7" ht="18">
      <c r="A42" s="436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7" ht="18">
      <c r="A43" s="436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7" ht="18">
      <c r="A44" s="436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7" ht="18">
      <c r="A45" s="436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7" ht="18">
      <c r="A46" s="436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7" ht="18">
      <c r="A47" s="436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7" ht="18">
      <c r="A48" s="436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8">
      <c r="A49" s="436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8">
      <c r="A50" s="436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8">
      <c r="A51" s="436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8">
      <c r="A52" s="436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8">
      <c r="A53" s="436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8">
      <c r="A54" s="436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8">
      <c r="A55" s="436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8">
      <c r="A56" s="436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8">
      <c r="A57" s="436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8">
      <c r="A58" s="436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8">
      <c r="A59" s="436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8">
      <c r="A60" s="436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8">
      <c r="A61" s="436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8">
      <c r="A62" s="436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8">
      <c r="A63" s="436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8">
      <c r="A64" s="436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8">
      <c r="A65" s="436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8">
      <c r="A66" s="436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8">
      <c r="A67" s="436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8">
      <c r="A68" s="436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8">
      <c r="A69" s="436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8">
      <c r="A70" s="436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8">
      <c r="A71" s="436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8">
      <c r="A72" s="436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8">
      <c r="A73" s="436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8">
      <c r="A74" s="436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8">
      <c r="A75" s="436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8">
      <c r="A76" s="436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8">
      <c r="A77" s="436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8">
      <c r="A78" s="436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8">
      <c r="A79" s="436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8">
      <c r="A80" s="436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8">
      <c r="A81" s="436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8">
      <c r="A82" s="436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8">
      <c r="A83" s="436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8">
      <c r="A84" s="436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8">
      <c r="A85" s="436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8">
      <c r="A86" s="436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8">
      <c r="A87" s="436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8">
      <c r="A88" s="436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8">
      <c r="A89" s="436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8">
      <c r="A90" s="436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8">
      <c r="A91" s="436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8">
      <c r="A92" s="436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8">
      <c r="A93" s="436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8">
      <c r="A94" s="436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8">
      <c r="A95" s="436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8">
      <c r="A96" s="436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8">
      <c r="A97" s="436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8">
      <c r="A98" s="436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8">
      <c r="A99" s="436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8">
      <c r="A100" s="436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8">
      <c r="A101" s="436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8">
      <c r="A102" s="436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8">
      <c r="A103" s="436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8">
      <c r="A104" s="436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>
      <c r="A105" s="436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8">
      <c r="A106" s="436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8">
      <c r="A107" s="436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8">
      <c r="A108" s="436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8">
      <c r="A109" s="436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8">
      <c r="A110" s="436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8">
      <c r="A111" s="436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8">
      <c r="A112" s="436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8">
      <c r="A113" s="436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8">
      <c r="A114" s="436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8">
      <c r="A115" s="436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8">
      <c r="A116" s="436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8">
      <c r="A117" s="436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8">
      <c r="A118" s="436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8">
      <c r="A119" s="436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8">
      <c r="A120" s="436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8">
      <c r="A121" s="436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8">
      <c r="A122" s="436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8">
      <c r="A123" s="436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8">
      <c r="A124" s="436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8">
      <c r="A125" s="436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8">
      <c r="A126" s="436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8">
      <c r="A127" s="436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8">
      <c r="A128" s="436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8">
      <c r="A129" s="436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8">
      <c r="A130" s="436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8">
      <c r="A131" s="436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8">
      <c r="A132" s="436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8">
      <c r="A133" s="436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8">
      <c r="A134" s="436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8">
      <c r="A135" s="436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8">
      <c r="A136" s="436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8">
      <c r="A137" s="436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8">
      <c r="A138" s="436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8">
      <c r="A139" s="436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8">
      <c r="A140" s="436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8">
      <c r="A141" s="436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8">
      <c r="A142" s="436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8">
      <c r="A143" s="436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8">
      <c r="A144" s="436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8">
      <c r="A145" s="436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8">
      <c r="A146" s="436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8">
      <c r="A147" s="436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8">
      <c r="A148" s="436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8">
      <c r="A149" s="436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8">
      <c r="A150" s="436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8">
      <c r="A151" s="436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8">
      <c r="A152" s="436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8">
      <c r="A153" s="436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8">
      <c r="A154" s="436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8">
      <c r="A155" s="436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8">
      <c r="A156" s="436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8">
      <c r="A157" s="436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8">
      <c r="A158" s="436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8">
      <c r="A159" s="436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8">
      <c r="A160" s="436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8">
      <c r="A161" s="436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8">
      <c r="A162" s="436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8">
      <c r="A163" s="436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8">
      <c r="A164" s="436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8">
      <c r="A165" s="436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8">
      <c r="A166" s="436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8">
      <c r="A167" s="436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8">
      <c r="A168" s="436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8">
      <c r="A169" s="436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8">
      <c r="A170" s="436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8">
      <c r="A171" s="436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8">
      <c r="A172" s="436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8">
      <c r="A173" s="436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8">
      <c r="A174" s="436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8">
      <c r="A175" s="436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8">
      <c r="A176" s="436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8">
      <c r="A177" s="436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8">
      <c r="A178" s="436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8">
      <c r="A179" s="436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8">
      <c r="A180" s="436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8">
      <c r="A181" s="436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8">
      <c r="A182" s="436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8">
      <c r="A183" s="436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8">
      <c r="A184" s="436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8">
      <c r="A185" s="436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8">
      <c r="A186" s="436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8">
      <c r="A187" s="436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8">
      <c r="A188" s="436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8">
      <c r="A189" s="436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8">
      <c r="A190" s="436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8">
      <c r="A191" s="436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8">
      <c r="A192" s="436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8">
      <c r="A193" s="436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8">
      <c r="A194" s="436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8">
      <c r="A195" s="436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8">
      <c r="A196" s="436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8">
      <c r="A197" s="436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8">
      <c r="A198" s="436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8">
      <c r="A199" s="436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8">
      <c r="A200" s="436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8">
      <c r="A201" s="436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8">
      <c r="A202" s="436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8">
      <c r="A203" s="436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8">
      <c r="A204" s="436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8">
      <c r="A205" s="436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8">
      <c r="A206" s="436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8">
      <c r="A207" s="436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8">
      <c r="A208" s="436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8">
      <c r="A209" s="436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8">
      <c r="A210" s="436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8">
      <c r="A211" s="436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8">
      <c r="A212" s="436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8">
      <c r="A213" s="436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8">
      <c r="A214" s="436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8">
      <c r="A215" s="436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8">
      <c r="A216" s="436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8">
      <c r="A217" s="436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8">
      <c r="A218" s="436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8">
      <c r="A219" s="436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8">
      <c r="A220" s="436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8">
      <c r="A221" s="436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8">
      <c r="A222" s="436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8">
      <c r="A223" s="436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8">
      <c r="A224" s="436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8">
      <c r="A225" s="436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8">
      <c r="A226" s="436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8">
      <c r="A227" s="436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8">
      <c r="A228" s="436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8">
      <c r="A229" s="436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8">
      <c r="A230" s="436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8">
      <c r="A231" s="436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8">
      <c r="A232" s="436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8">
      <c r="A233" s="436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8">
      <c r="A234" s="436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8">
      <c r="A235" s="436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8">
      <c r="A236" s="436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8">
      <c r="A237" s="436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8">
      <c r="A238" s="436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8">
      <c r="A239" s="436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8">
      <c r="A240" s="436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8">
      <c r="A241" s="436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8">
      <c r="A242" s="436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8">
      <c r="A243" s="436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8">
      <c r="A244" s="436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8">
      <c r="A245" s="436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8">
      <c r="A246" s="436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8">
      <c r="A247" s="436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8">
      <c r="A248" s="436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8">
      <c r="A249" s="436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8">
      <c r="A250" s="436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8">
      <c r="A251" s="436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8">
      <c r="A252" s="436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8">
      <c r="A253" s="436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8">
      <c r="A254" s="436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8">
      <c r="A255" s="436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8">
      <c r="A256" s="436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8">
      <c r="A257" s="436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8">
      <c r="A258" s="436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8">
      <c r="A259" s="436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8">
      <c r="A260" s="436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8">
      <c r="A261" s="436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8">
      <c r="A262" s="436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8">
      <c r="A263" s="436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8">
      <c r="A264" s="436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8">
      <c r="A265" s="436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8">
      <c r="A266" s="436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8">
      <c r="A267" s="436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8">
      <c r="A268" s="436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8">
      <c r="A269" s="436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8">
      <c r="A270" s="436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8">
      <c r="A271" s="436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8">
      <c r="A272" s="436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8">
      <c r="A273" s="436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8">
      <c r="A274" s="436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8">
      <c r="A275" s="436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8">
      <c r="A276" s="436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8">
      <c r="A277" s="436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8">
      <c r="A278" s="436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8">
      <c r="A279" s="436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8">
      <c r="A280" s="436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8">
      <c r="A281" s="436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8">
      <c r="A282" s="436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8">
      <c r="A283" s="436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8">
      <c r="A284" s="436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8">
      <c r="A285" s="436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8">
      <c r="A286" s="436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8">
      <c r="A287" s="436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8">
      <c r="A288" s="436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8">
      <c r="A289" s="436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8">
      <c r="A290" s="436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8">
      <c r="A291" s="436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8">
      <c r="A292" s="436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8">
      <c r="A293" s="436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8">
      <c r="A294" s="436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8">
      <c r="A295" s="436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8">
      <c r="A296" s="436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8">
      <c r="A297" s="436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8">
      <c r="A298" s="436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8">
      <c r="A299" s="436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8">
      <c r="A300" s="436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8">
      <c r="A301" s="436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8">
      <c r="A302" s="436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8">
      <c r="A303" s="436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8">
      <c r="A304" s="436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8">
      <c r="A305" s="436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8">
      <c r="A306" s="436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8">
      <c r="A307" s="436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8">
      <c r="A308" s="436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8">
      <c r="A309" s="436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8">
      <c r="A310" s="436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8">
      <c r="A311" s="436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8">
      <c r="A312" s="436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8">
      <c r="A313" s="436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8">
      <c r="A314" s="436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8">
      <c r="A315" s="436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8">
      <c r="A316" s="436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8">
      <c r="A317" s="436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8">
      <c r="A318" s="436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8">
      <c r="A319" s="436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8">
      <c r="A320" s="436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8">
      <c r="A321" s="436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8">
      <c r="A322" s="436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8">
      <c r="A323" s="436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8">
      <c r="A324" s="436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8">
      <c r="A325" s="436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8">
      <c r="A326" s="436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8">
      <c r="A327" s="436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8">
      <c r="A328" s="436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8">
      <c r="A329" s="436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8">
      <c r="A330" s="436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8">
      <c r="A331" s="436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8">
      <c r="A332" s="436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8">
      <c r="A333" s="436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8">
      <c r="A334" s="436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8">
      <c r="A335" s="436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8">
      <c r="A336" s="436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8">
      <c r="A337" s="436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8">
      <c r="A338" s="436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8">
      <c r="A339" s="436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8">
      <c r="A340" s="436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8">
      <c r="A341" s="436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8">
      <c r="A342" s="436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8">
      <c r="A343" s="436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8">
      <c r="A344" s="436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8">
      <c r="A345" s="436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8">
      <c r="A346" s="436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8">
      <c r="A347" s="436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8">
      <c r="A348" s="436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8">
      <c r="A349" s="436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8">
      <c r="A350" s="436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8">
      <c r="A351" s="436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8">
      <c r="A352" s="436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8">
      <c r="A353" s="436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8">
      <c r="A354" s="436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8">
      <c r="A355" s="436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8">
      <c r="A356" s="436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8">
      <c r="A357" s="436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8">
      <c r="A358" s="436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8">
      <c r="A359" s="436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8">
      <c r="A360" s="436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8">
      <c r="A361" s="436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8">
      <c r="A362" s="436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8">
      <c r="A363" s="436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8">
      <c r="A364" s="436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8">
      <c r="A365" s="436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8">
      <c r="A366" s="436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8">
      <c r="A367" s="436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8">
      <c r="A368" s="436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8">
      <c r="A369" s="436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8">
      <c r="A370" s="436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8">
      <c r="A371" s="436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8">
      <c r="A372" s="436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8">
      <c r="A373" s="436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8">
      <c r="A374" s="436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8">
      <c r="A375" s="436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8">
      <c r="A376" s="436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8">
      <c r="A377" s="436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8">
      <c r="A378" s="436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8">
      <c r="A379" s="436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8">
      <c r="A380" s="436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8">
      <c r="A381" s="436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8">
      <c r="A382" s="436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8">
      <c r="A383" s="436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8">
      <c r="A384" s="436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8">
      <c r="A385" s="436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8">
      <c r="A386" s="436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8">
      <c r="A387" s="436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8">
      <c r="A388" s="436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8">
      <c r="A389" s="436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8">
      <c r="A390" s="436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8">
      <c r="A391" s="436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8">
      <c r="A392" s="436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8">
      <c r="A393" s="436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8">
      <c r="A394" s="436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8">
      <c r="A395" s="436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8">
      <c r="A396" s="436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8">
      <c r="A397" s="436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8">
      <c r="A398" s="436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8">
      <c r="A399" s="436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8">
      <c r="A400" s="436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8">
      <c r="A401" s="436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8">
      <c r="A402" s="436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8">
      <c r="A403" s="436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8">
      <c r="A404" s="436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8">
      <c r="A405" s="436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8">
      <c r="A406" s="436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8">
      <c r="A407" s="436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8">
      <c r="A408" s="436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8">
      <c r="A409" s="436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8">
      <c r="A410" s="436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8">
      <c r="A411" s="436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8">
      <c r="A412" s="436"/>
      <c r="B412" s="4"/>
      <c r="C412" s="4"/>
      <c r="D412" s="4"/>
      <c r="E412" s="4"/>
      <c r="F412" s="4"/>
      <c r="G412" s="4"/>
      <c r="H412" s="4"/>
      <c r="I412" s="4"/>
      <c r="J412" s="4"/>
      <c r="K412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</sheetPr>
  <dimension ref="A1:R419"/>
  <sheetViews>
    <sheetView showGridLines="0" zoomScale="85" zoomScaleNormal="85" workbookViewId="0">
      <pane ySplit="2" topLeftCell="A3" activePane="bottomLeft" state="frozen"/>
      <selection pane="bottomLeft" activeCell="V11" sqref="V11"/>
    </sheetView>
  </sheetViews>
  <sheetFormatPr defaultColWidth="9.140625" defaultRowHeight="15"/>
  <cols>
    <col min="1" max="1" width="37.7109375" style="219" customWidth="1"/>
    <col min="2" max="2" width="33.140625" style="219" hidden="1" customWidth="1"/>
    <col min="3" max="10" width="14.140625" style="220" hidden="1" customWidth="1"/>
    <col min="11" max="11" width="18.28515625" style="220" hidden="1" customWidth="1"/>
    <col min="12" max="12" width="16.28515625" style="1" hidden="1" customWidth="1"/>
    <col min="13" max="13" width="11.28515625" style="1" hidden="1" customWidth="1"/>
    <col min="14" max="14" width="11.85546875" style="1" bestFit="1" customWidth="1"/>
    <col min="15" max="15" width="9.140625" style="1"/>
    <col min="16" max="16" width="14.28515625" style="462" bestFit="1" customWidth="1"/>
    <col min="17" max="18" width="14.28515625" style="1" bestFit="1" customWidth="1"/>
    <col min="19" max="16384" width="9.140625" style="1"/>
  </cols>
  <sheetData>
    <row r="1" spans="1:18">
      <c r="A1" s="404" t="s">
        <v>222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</row>
    <row r="2" spans="1:18" ht="15" customHeight="1">
      <c r="A2" s="404" t="s">
        <v>223</v>
      </c>
      <c r="B2" s="383" t="s">
        <v>369</v>
      </c>
      <c r="C2" s="383" t="s">
        <v>78</v>
      </c>
      <c r="D2" s="383" t="s">
        <v>79</v>
      </c>
      <c r="E2" s="383" t="s">
        <v>161</v>
      </c>
      <c r="F2" s="383" t="s">
        <v>194</v>
      </c>
      <c r="G2" s="383" t="s">
        <v>196</v>
      </c>
      <c r="H2" s="383" t="s">
        <v>197</v>
      </c>
      <c r="I2" s="383">
        <v>42186</v>
      </c>
      <c r="J2" s="383">
        <v>42217</v>
      </c>
      <c r="K2" s="383">
        <v>42248</v>
      </c>
      <c r="L2" s="383" t="s">
        <v>479</v>
      </c>
      <c r="M2" s="383" t="s">
        <v>453</v>
      </c>
      <c r="N2" s="383" t="s">
        <v>207</v>
      </c>
      <c r="O2" s="383" t="s">
        <v>496</v>
      </c>
    </row>
    <row r="3" spans="1:18">
      <c r="A3" s="6" t="s">
        <v>313</v>
      </c>
      <c r="B3" s="362" t="s">
        <v>402</v>
      </c>
      <c r="C3" s="28">
        <v>2553</v>
      </c>
      <c r="D3" s="28">
        <v>2466</v>
      </c>
      <c r="E3" s="28">
        <v>2910</v>
      </c>
      <c r="F3" s="28">
        <v>2902</v>
      </c>
      <c r="G3" s="28">
        <v>2977.2955200000015</v>
      </c>
      <c r="H3" s="28">
        <v>2558.4770499999972</v>
      </c>
      <c r="I3" s="205">
        <f>'Income by product'!J21/1000</f>
        <v>4237.1268100000098</v>
      </c>
      <c r="J3" s="205">
        <f>'Income by product'!K21/1000</f>
        <v>4834.0000669999645</v>
      </c>
      <c r="K3" s="205">
        <f>'Income by product'!L21/1000</f>
        <v>5205.7191200000379</v>
      </c>
      <c r="L3" s="205">
        <v>2902</v>
      </c>
      <c r="M3" s="25">
        <f>8564661.62/1000</f>
        <v>8564.6616199999989</v>
      </c>
      <c r="N3" s="25">
        <v>4237</v>
      </c>
      <c r="O3" s="25">
        <v>10176.859</v>
      </c>
      <c r="P3" s="463"/>
    </row>
    <row r="4" spans="1:18">
      <c r="A4" s="6" t="s">
        <v>314</v>
      </c>
      <c r="B4" s="362" t="s">
        <v>403</v>
      </c>
      <c r="C4" s="28"/>
      <c r="D4" s="28"/>
      <c r="E4" s="28"/>
      <c r="F4" s="28"/>
      <c r="G4" s="28">
        <v>336.70181000000002</v>
      </c>
      <c r="H4" s="28">
        <v>1004.9380699999998</v>
      </c>
      <c r="I4" s="205">
        <f>'Income by product'!J31/1000</f>
        <v>64.735150000000019</v>
      </c>
      <c r="J4" s="205">
        <f>'Income by product'!K31/1000</f>
        <v>202.55850999999996</v>
      </c>
      <c r="K4" s="205">
        <f>'Income by product'!L31/1000</f>
        <v>353.67773000000045</v>
      </c>
      <c r="L4" s="205">
        <v>12</v>
      </c>
      <c r="M4" s="25">
        <f>1299809.66/1000</f>
        <v>1299.8096599999999</v>
      </c>
      <c r="N4" s="489">
        <v>14</v>
      </c>
      <c r="O4" s="25">
        <v>1995.1569999999999</v>
      </c>
      <c r="P4" s="463"/>
    </row>
    <row r="5" spans="1:18">
      <c r="A5" s="6" t="s">
        <v>422</v>
      </c>
      <c r="B5" s="362"/>
      <c r="C5" s="28"/>
      <c r="D5" s="28"/>
      <c r="E5" s="28"/>
      <c r="F5" s="28"/>
      <c r="G5" s="28"/>
      <c r="H5" s="28"/>
      <c r="I5" s="205"/>
      <c r="J5" s="205"/>
      <c r="K5" s="205"/>
      <c r="L5" s="205"/>
      <c r="M5" s="25">
        <f>80285.24/1000</f>
        <v>80.285240000000002</v>
      </c>
      <c r="N5" s="25"/>
      <c r="O5" s="25">
        <v>198.17500000000001</v>
      </c>
      <c r="P5" s="463"/>
    </row>
    <row r="6" spans="1:18">
      <c r="A6" s="6" t="s">
        <v>454</v>
      </c>
      <c r="B6" s="362"/>
      <c r="C6" s="28"/>
      <c r="D6" s="28"/>
      <c r="E6" s="28"/>
      <c r="F6" s="28"/>
      <c r="G6" s="28"/>
      <c r="H6" s="28"/>
      <c r="I6" s="205"/>
      <c r="J6" s="205"/>
      <c r="K6" s="205"/>
      <c r="L6" s="205">
        <v>14704</v>
      </c>
      <c r="M6" s="25">
        <f>3483821.54/1000</f>
        <v>3483.8215399999999</v>
      </c>
      <c r="N6" s="489">
        <f>N7-N3-N4</f>
        <v>11841</v>
      </c>
      <c r="O6" s="25">
        <v>2271.7579999999998</v>
      </c>
      <c r="P6" s="463"/>
    </row>
    <row r="7" spans="1:18">
      <c r="A7" s="7" t="s">
        <v>202</v>
      </c>
      <c r="B7" s="363" t="s">
        <v>370</v>
      </c>
      <c r="C7" s="9"/>
      <c r="D7" s="9"/>
      <c r="E7" s="9"/>
      <c r="F7" s="9"/>
      <c r="G7" s="9">
        <f t="shared" ref="G7:K7" si="0">G3+G4</f>
        <v>3313.9973300000015</v>
      </c>
      <c r="H7" s="9">
        <f t="shared" si="0"/>
        <v>3563.4151199999969</v>
      </c>
      <c r="I7" s="189">
        <f t="shared" si="0"/>
        <v>4301.8619600000102</v>
      </c>
      <c r="J7" s="189">
        <f t="shared" si="0"/>
        <v>5036.5585769999643</v>
      </c>
      <c r="K7" s="189">
        <f t="shared" si="0"/>
        <v>5559.3968500000383</v>
      </c>
      <c r="L7" s="189">
        <f>L3+L4+L5+L6</f>
        <v>17618</v>
      </c>
      <c r="M7" s="189">
        <f>M3+M4+M5+M6</f>
        <v>13428.578059999996</v>
      </c>
      <c r="N7" s="189">
        <v>16092</v>
      </c>
      <c r="O7" s="189">
        <v>14641.948999999999</v>
      </c>
      <c r="P7" s="464"/>
      <c r="Q7" s="287">
        <v>16559</v>
      </c>
    </row>
    <row r="8" spans="1:18">
      <c r="A8" s="384" t="s">
        <v>292</v>
      </c>
      <c r="B8" s="385" t="s">
        <v>371</v>
      </c>
      <c r="C8" s="386">
        <f t="shared" ref="C8:K8" si="1">(C40*C31)/1000</f>
        <v>166.04515409700724</v>
      </c>
      <c r="D8" s="386">
        <f t="shared" si="1"/>
        <v>139.09419345132741</v>
      </c>
      <c r="E8" s="386">
        <f t="shared" si="1"/>
        <v>143.82425264394831</v>
      </c>
      <c r="F8" s="386">
        <f t="shared" si="1"/>
        <v>125.34542571785268</v>
      </c>
      <c r="G8" s="386">
        <f t="shared" si="1"/>
        <v>119.78655233122359</v>
      </c>
      <c r="H8" s="386">
        <f t="shared" si="1"/>
        <v>100.20614049250092</v>
      </c>
      <c r="I8" s="387">
        <f t="shared" si="1"/>
        <v>90.12596727607027</v>
      </c>
      <c r="J8" s="387">
        <f t="shared" si="1"/>
        <v>72.425835980666392</v>
      </c>
      <c r="K8" s="387">
        <f t="shared" si="1"/>
        <v>39.560161263494479</v>
      </c>
      <c r="L8" s="387">
        <v>-1025</v>
      </c>
      <c r="M8" s="387">
        <f>(M40*M31)/1000</f>
        <v>0</v>
      </c>
      <c r="N8" s="387">
        <v>451</v>
      </c>
      <c r="O8" s="387">
        <v>397.44754</v>
      </c>
      <c r="P8" s="466"/>
      <c r="Q8" s="287">
        <v>-603</v>
      </c>
    </row>
    <row r="9" spans="1:18">
      <c r="A9" s="208" t="s">
        <v>58</v>
      </c>
      <c r="B9" s="363" t="s">
        <v>372</v>
      </c>
      <c r="C9" s="209">
        <f>+C3-C8</f>
        <v>2386.9548459029929</v>
      </c>
      <c r="D9" s="209">
        <f>+D3-D8</f>
        <v>2326.9058065486724</v>
      </c>
      <c r="E9" s="209">
        <f>+E3-E8</f>
        <v>2766.1757473560515</v>
      </c>
      <c r="F9" s="209">
        <f>+F3-F8</f>
        <v>2776.6545742821472</v>
      </c>
      <c r="G9" s="209">
        <f>G7-G8</f>
        <v>3194.2107776687781</v>
      </c>
      <c r="H9" s="209">
        <f>H7-H8</f>
        <v>3463.2089795074962</v>
      </c>
      <c r="I9" s="210">
        <f>I7-I8</f>
        <v>4211.7359927239395</v>
      </c>
      <c r="J9" s="210">
        <f t="shared" ref="J9:K9" si="2">J7-J8</f>
        <v>4964.132741019298</v>
      </c>
      <c r="K9" s="210">
        <f t="shared" si="2"/>
        <v>5519.8366887365437</v>
      </c>
      <c r="L9" s="209">
        <f>L7+L8</f>
        <v>16593</v>
      </c>
      <c r="M9" s="209">
        <f>M7-M8</f>
        <v>13428.578059999996</v>
      </c>
      <c r="N9" s="209">
        <f>N7-N8</f>
        <v>15641</v>
      </c>
      <c r="O9" s="209">
        <v>14244.501459999999</v>
      </c>
      <c r="P9" s="491"/>
      <c r="Q9" s="490">
        <v>15956</v>
      </c>
      <c r="R9" s="338"/>
    </row>
    <row r="10" spans="1:18" ht="28.5">
      <c r="A10" s="384" t="s">
        <v>503</v>
      </c>
      <c r="B10" s="385" t="s">
        <v>373</v>
      </c>
      <c r="C10" s="388">
        <v>495</v>
      </c>
      <c r="D10" s="388">
        <v>550</v>
      </c>
      <c r="E10" s="388">
        <v>618.53009557702319</v>
      </c>
      <c r="F10" s="388" t="e">
        <f>#REF!/1000</f>
        <v>#REF!</v>
      </c>
      <c r="G10" s="388">
        <v>580.62350737631698</v>
      </c>
      <c r="H10" s="388">
        <v>-228.95036304052965</v>
      </c>
      <c r="I10" s="389">
        <f>'Other Income_FS'!J66/1000</f>
        <v>995.22420809799939</v>
      </c>
      <c r="J10" s="389">
        <f>'Other Income_FS'!K66/1000</f>
        <v>640.27282971000045</v>
      </c>
      <c r="K10" s="389">
        <f>'Other Income_FS'!L66/1000</f>
        <v>731.1705440029998</v>
      </c>
      <c r="L10" s="389">
        <f>'Apr''15'!K6</f>
        <v>453.57667973808014</v>
      </c>
      <c r="M10" s="389">
        <f>('Other Income_FS'!S66)/1000</f>
        <v>841.78518009999982</v>
      </c>
      <c r="N10" s="389">
        <v>2087</v>
      </c>
      <c r="O10" s="389">
        <v>2937.8086215999992</v>
      </c>
      <c r="P10" s="466"/>
    </row>
    <row r="11" spans="1:18">
      <c r="A11" s="384" t="s">
        <v>424</v>
      </c>
      <c r="B11" s="385"/>
      <c r="C11" s="388"/>
      <c r="D11" s="388"/>
      <c r="E11" s="388"/>
      <c r="F11" s="388"/>
      <c r="G11" s="388"/>
      <c r="H11" s="388"/>
      <c r="I11" s="389"/>
      <c r="J11" s="389"/>
      <c r="K11" s="389"/>
      <c r="L11" s="389">
        <v>3021</v>
      </c>
      <c r="M11" s="389">
        <f>(3138827.34/10^3)-M10</f>
        <v>2297.0421599000001</v>
      </c>
      <c r="N11" s="389">
        <f>4541-2239</f>
        <v>2302</v>
      </c>
      <c r="O11" s="505">
        <v>1347.2363784000008</v>
      </c>
      <c r="P11" s="466"/>
      <c r="Q11" s="450"/>
    </row>
    <row r="12" spans="1:18">
      <c r="A12" s="7" t="s">
        <v>294</v>
      </c>
      <c r="B12" s="363" t="s">
        <v>374</v>
      </c>
      <c r="C12" s="9"/>
      <c r="D12" s="9"/>
      <c r="E12" s="9"/>
      <c r="F12" s="9"/>
      <c r="G12" s="9"/>
      <c r="H12" s="9"/>
      <c r="I12" s="189">
        <f t="shared" ref="I12:K12" si="3">I9+I10</f>
        <v>5206.960200821939</v>
      </c>
      <c r="J12" s="189">
        <f t="shared" si="3"/>
        <v>5604.4055707292982</v>
      </c>
      <c r="K12" s="189">
        <f t="shared" si="3"/>
        <v>6251.0072327395437</v>
      </c>
      <c r="L12" s="337">
        <f>L9+L10+L11</f>
        <v>20067.576679738078</v>
      </c>
      <c r="M12" s="337">
        <f>M9+M10+M11</f>
        <v>16567.405399999996</v>
      </c>
      <c r="N12" s="337">
        <f>N9+N10+N11</f>
        <v>20030</v>
      </c>
      <c r="O12" s="337">
        <v>18529.546460000001</v>
      </c>
      <c r="P12" s="492"/>
      <c r="R12" s="448"/>
    </row>
    <row r="13" spans="1:18">
      <c r="A13" s="6" t="s">
        <v>425</v>
      </c>
      <c r="B13" s="362" t="s">
        <v>375</v>
      </c>
      <c r="C13" s="8" t="e">
        <f>'OPEX MFC'!#REF!/1000</f>
        <v>#REF!</v>
      </c>
      <c r="D13" s="8" t="e">
        <f>'OPEX MFC'!#REF!/1000</f>
        <v>#REF!</v>
      </c>
      <c r="E13" s="8" t="e">
        <f>'OPEX MFC'!#REF!/1000</f>
        <v>#REF!</v>
      </c>
      <c r="F13" s="8" t="e">
        <f>'OPEX MFC'!#REF!/1000</f>
        <v>#REF!</v>
      </c>
      <c r="G13" s="8">
        <v>1251.2249844981627</v>
      </c>
      <c r="H13" s="8">
        <v>1297.4517714694096</v>
      </c>
      <c r="I13" s="188">
        <f>'OPEX MFC'!F82/1000</f>
        <v>7024.0884897976857</v>
      </c>
      <c r="J13" s="188">
        <f>'OPEX MFC'!G82/1000</f>
        <v>5942.4586613632828</v>
      </c>
      <c r="K13" s="188">
        <f>'OPEX MFC'!H82/1000</f>
        <v>6962.2565573488009</v>
      </c>
      <c r="L13" s="8">
        <f>'Apr''15'!K7</f>
        <v>1476.5773214038732</v>
      </c>
      <c r="M13" s="8">
        <f>('OPEX MFC'!O82)/1000</f>
        <v>9527.4555437689578</v>
      </c>
      <c r="N13" s="8">
        <v>2454</v>
      </c>
      <c r="O13" s="8">
        <v>10548.78461230107</v>
      </c>
      <c r="P13" s="465"/>
      <c r="Q13" s="449"/>
    </row>
    <row r="14" spans="1:18">
      <c r="A14" s="6" t="s">
        <v>426</v>
      </c>
      <c r="B14" s="362"/>
      <c r="C14" s="8"/>
      <c r="D14" s="8"/>
      <c r="E14" s="8"/>
      <c r="F14" s="8"/>
      <c r="G14" s="8"/>
      <c r="H14" s="8"/>
      <c r="I14" s="188"/>
      <c r="J14" s="188"/>
      <c r="K14" s="188"/>
      <c r="L14" s="8">
        <v>13863</v>
      </c>
      <c r="M14" s="8">
        <f>('OPEX MFC'!AC82-'OPEX MFC'!O82)/1000</f>
        <v>2988.6125762310398</v>
      </c>
      <c r="N14" s="8">
        <v>12974</v>
      </c>
      <c r="O14" s="8">
        <v>2160.463347698927</v>
      </c>
      <c r="P14" s="465"/>
    </row>
    <row r="15" spans="1:18" ht="30">
      <c r="A15" s="390" t="s">
        <v>59</v>
      </c>
      <c r="B15" s="391" t="s">
        <v>376</v>
      </c>
      <c r="C15" s="392" t="e">
        <f>+C9+C10-C13</f>
        <v>#REF!</v>
      </c>
      <c r="D15" s="392" t="e">
        <f>+D9+D10-D13</f>
        <v>#REF!</v>
      </c>
      <c r="E15" s="392" t="e">
        <f t="shared" ref="E15:H15" si="4">+E9+E10-E13</f>
        <v>#REF!</v>
      </c>
      <c r="F15" s="392" t="e">
        <f t="shared" si="4"/>
        <v>#REF!</v>
      </c>
      <c r="G15" s="392">
        <f t="shared" si="4"/>
        <v>2523.609300546932</v>
      </c>
      <c r="H15" s="392">
        <f t="shared" si="4"/>
        <v>1936.8068449975569</v>
      </c>
      <c r="I15" s="393">
        <f>I12-I13</f>
        <v>-1817.1282889757467</v>
      </c>
      <c r="J15" s="393">
        <f>J12-J13</f>
        <v>-338.05309063398454</v>
      </c>
      <c r="K15" s="393">
        <f>K12-K13</f>
        <v>-711.2493246092572</v>
      </c>
      <c r="L15" s="392">
        <f>+L9+L10+L11-L13-L14</f>
        <v>4727.9993583342039</v>
      </c>
      <c r="M15" s="392">
        <f>+M9+M10+M11-M13-M14</f>
        <v>4051.3372799999984</v>
      </c>
      <c r="N15" s="392">
        <f>N12-N13-N14</f>
        <v>4602</v>
      </c>
      <c r="O15" s="392">
        <v>5820.2985000000044</v>
      </c>
      <c r="P15" s="491"/>
    </row>
    <row r="16" spans="1:18">
      <c r="A16" s="7" t="s">
        <v>293</v>
      </c>
      <c r="B16" s="363" t="s">
        <v>377</v>
      </c>
      <c r="C16" s="9">
        <f>SUM(C17:C19)</f>
        <v>258</v>
      </c>
      <c r="D16" s="9">
        <f>SUM(D17:D19)</f>
        <v>346</v>
      </c>
      <c r="E16" s="9">
        <f>SUM(E17:E19)</f>
        <v>293</v>
      </c>
      <c r="F16" s="9">
        <f>SUM(F17:F19)</f>
        <v>578</v>
      </c>
      <c r="G16" s="9">
        <f t="shared" ref="G16:K16" si="5">SUM(G17:G19)</f>
        <v>489.80579999999992</v>
      </c>
      <c r="H16" s="9">
        <f t="shared" si="5"/>
        <v>884.55489999999998</v>
      </c>
      <c r="I16" s="189">
        <f t="shared" si="5"/>
        <v>1036.918749999988</v>
      </c>
      <c r="J16" s="189">
        <f t="shared" si="5"/>
        <v>822.08292700000368</v>
      </c>
      <c r="K16" s="189">
        <f t="shared" si="5"/>
        <v>978.05465999998751</v>
      </c>
      <c r="L16" s="189">
        <f>SUM(L17:L19)</f>
        <v>6875</v>
      </c>
      <c r="M16" s="189">
        <f>SUM(M17:M19)</f>
        <v>1739.5511799999995</v>
      </c>
      <c r="N16" s="189">
        <f>N17+N18+N19</f>
        <v>1325</v>
      </c>
      <c r="O16" s="189">
        <v>963.45276000000558</v>
      </c>
      <c r="P16" s="493"/>
    </row>
    <row r="17" spans="1:16">
      <c r="A17" s="394" t="s">
        <v>451</v>
      </c>
      <c r="B17" s="395" t="s">
        <v>378</v>
      </c>
      <c r="C17" s="396">
        <v>117</v>
      </c>
      <c r="D17" s="396">
        <v>94</v>
      </c>
      <c r="E17" s="396">
        <v>190</v>
      </c>
      <c r="F17" s="396">
        <v>219</v>
      </c>
      <c r="G17" s="388">
        <v>144.73400000000001</v>
      </c>
      <c r="H17" s="388">
        <v>395.12837000000002</v>
      </c>
      <c r="I17" s="397">
        <f>'Credit Cost'!E6/1000</f>
        <v>450.87508000000008</v>
      </c>
      <c r="J17" s="397">
        <f>'Credit Cost'!F6/1000</f>
        <v>450.09001000000001</v>
      </c>
      <c r="K17" s="397">
        <f>'Credit Cost'!G6/1000</f>
        <v>354.41596999999996</v>
      </c>
      <c r="L17" s="397">
        <v>3211</v>
      </c>
      <c r="M17" s="397">
        <f>('Credit Cost'!N3+'Credit Cost'!N4)/1000+('Credit Cost'!N5)/1000</f>
        <v>401.26535000000001</v>
      </c>
      <c r="N17" s="397">
        <v>3496</v>
      </c>
      <c r="O17" s="397">
        <v>58.770340000000033</v>
      </c>
      <c r="P17" s="494"/>
    </row>
    <row r="18" spans="1:16">
      <c r="A18" s="211" t="s">
        <v>65</v>
      </c>
      <c r="B18" s="364" t="s">
        <v>379</v>
      </c>
      <c r="C18" s="212">
        <v>157</v>
      </c>
      <c r="D18" s="212">
        <v>109</v>
      </c>
      <c r="E18" s="212">
        <v>43</v>
      </c>
      <c r="F18" s="212">
        <v>93</v>
      </c>
      <c r="G18" s="28">
        <v>307.03373999999997</v>
      </c>
      <c r="H18" s="28">
        <v>188.63614999999999</v>
      </c>
      <c r="I18" s="233">
        <f>'Credit Cost'!E10/1000</f>
        <v>227.04163</v>
      </c>
      <c r="J18" s="233">
        <f>'Credit Cost'!F10/1000</f>
        <v>100.15639999999998</v>
      </c>
      <c r="K18" s="233">
        <f>'Credit Cost'!G10/1000</f>
        <v>154.81179999999998</v>
      </c>
      <c r="L18" s="233">
        <v>3372</v>
      </c>
      <c r="M18" s="233">
        <f>('Credit Cost'!N10)/1000</f>
        <v>3957.9429799999998</v>
      </c>
      <c r="N18" s="233">
        <v>11584</v>
      </c>
      <c r="O18" s="233">
        <v>3286.1130399999993</v>
      </c>
      <c r="P18" s="494"/>
    </row>
    <row r="19" spans="1:16">
      <c r="A19" s="394" t="s">
        <v>60</v>
      </c>
      <c r="B19" s="395" t="s">
        <v>276</v>
      </c>
      <c r="C19" s="396">
        <v>-16</v>
      </c>
      <c r="D19" s="396">
        <v>143</v>
      </c>
      <c r="E19" s="396">
        <v>60</v>
      </c>
      <c r="F19" s="396">
        <v>266</v>
      </c>
      <c r="G19" s="388">
        <v>38.038059999999916</v>
      </c>
      <c r="H19" s="388">
        <v>300.79038000000003</v>
      </c>
      <c r="I19" s="397">
        <f>'Credit Cost'!E16/1000</f>
        <v>359.00203999998791</v>
      </c>
      <c r="J19" s="397">
        <f>'Credit Cost'!F16/1000</f>
        <v>271.83651700000371</v>
      </c>
      <c r="K19" s="397">
        <f>'Credit Cost'!G16/1000</f>
        <v>468.82688999998754</v>
      </c>
      <c r="L19" s="397">
        <v>292</v>
      </c>
      <c r="M19" s="397">
        <f>'Credit Cost'!N15/1000</f>
        <v>-2619.65715</v>
      </c>
      <c r="N19" s="397">
        <v>-13755</v>
      </c>
      <c r="O19" s="397">
        <v>-2381.4306199999937</v>
      </c>
      <c r="P19" s="494"/>
    </row>
    <row r="20" spans="1:16">
      <c r="A20" s="208" t="s">
        <v>61</v>
      </c>
      <c r="B20" s="363" t="s">
        <v>380</v>
      </c>
      <c r="C20" s="209" t="e">
        <f t="shared" ref="C20:M20" si="6">+C15-C16</f>
        <v>#REF!</v>
      </c>
      <c r="D20" s="209" t="e">
        <f t="shared" si="6"/>
        <v>#REF!</v>
      </c>
      <c r="E20" s="209" t="e">
        <f t="shared" si="6"/>
        <v>#REF!</v>
      </c>
      <c r="F20" s="209" t="e">
        <f t="shared" si="6"/>
        <v>#REF!</v>
      </c>
      <c r="G20" s="209">
        <f t="shared" si="6"/>
        <v>2033.8035005469321</v>
      </c>
      <c r="H20" s="209">
        <f t="shared" si="6"/>
        <v>1052.2519449975571</v>
      </c>
      <c r="I20" s="210">
        <f t="shared" si="6"/>
        <v>-2854.0470389757347</v>
      </c>
      <c r="J20" s="210">
        <f t="shared" si="6"/>
        <v>-1160.1360176339881</v>
      </c>
      <c r="K20" s="210">
        <f t="shared" si="6"/>
        <v>-1689.3039846092447</v>
      </c>
      <c r="L20" s="451">
        <f t="shared" si="6"/>
        <v>-2147.0006416657961</v>
      </c>
      <c r="M20" s="217">
        <f t="shared" si="6"/>
        <v>2311.7860999999989</v>
      </c>
      <c r="N20" s="217">
        <f>N15-N16</f>
        <v>3277</v>
      </c>
      <c r="O20" s="217">
        <v>4856.8457399999988</v>
      </c>
      <c r="P20" s="493"/>
    </row>
    <row r="21" spans="1:16" ht="28.5">
      <c r="A21" s="398" t="s">
        <v>427</v>
      </c>
      <c r="B21" s="385" t="s">
        <v>381</v>
      </c>
      <c r="C21" s="388">
        <v>0</v>
      </c>
      <c r="D21" s="388">
        <v>0</v>
      </c>
      <c r="E21" s="388">
        <v>0</v>
      </c>
      <c r="F21" s="388">
        <v>0</v>
      </c>
      <c r="G21" s="399">
        <v>0</v>
      </c>
      <c r="H21" s="399">
        <v>0</v>
      </c>
      <c r="I21" s="400">
        <v>0</v>
      </c>
      <c r="J21" s="400">
        <v>0</v>
      </c>
      <c r="K21" s="400">
        <v>0</v>
      </c>
      <c r="L21" s="400">
        <v>1</v>
      </c>
      <c r="M21" s="400">
        <f>581769/10^3</f>
        <v>581.76900000000001</v>
      </c>
      <c r="N21" s="400">
        <v>3043</v>
      </c>
      <c r="O21" s="400">
        <v>548.03300000000002</v>
      </c>
      <c r="P21" s="466"/>
    </row>
    <row r="22" spans="1:16">
      <c r="A22" s="398" t="s">
        <v>502</v>
      </c>
      <c r="B22" s="385"/>
      <c r="C22" s="388"/>
      <c r="D22" s="388"/>
      <c r="E22" s="388"/>
      <c r="F22" s="388"/>
      <c r="G22" s="518"/>
      <c r="H22" s="518"/>
      <c r="I22" s="519"/>
      <c r="J22" s="519"/>
      <c r="K22" s="519"/>
      <c r="L22" s="519"/>
      <c r="M22" s="519"/>
      <c r="N22" s="519"/>
      <c r="O22" s="519">
        <v>71.584827999998097</v>
      </c>
      <c r="P22" s="466"/>
    </row>
    <row r="23" spans="1:16">
      <c r="A23" s="214" t="s">
        <v>62</v>
      </c>
      <c r="B23" s="365" t="s">
        <v>382</v>
      </c>
      <c r="C23" s="215" t="e">
        <f>+C20-C21</f>
        <v>#REF!</v>
      </c>
      <c r="D23" s="215" t="e">
        <f>+D20-D21</f>
        <v>#REF!</v>
      </c>
      <c r="E23" s="215" t="e">
        <f t="shared" ref="E23:K23" si="7">+E20-E21</f>
        <v>#REF!</v>
      </c>
      <c r="F23" s="215" t="e">
        <f t="shared" si="7"/>
        <v>#REF!</v>
      </c>
      <c r="G23" s="216">
        <f t="shared" si="7"/>
        <v>2033.8035005469321</v>
      </c>
      <c r="H23" s="216">
        <f t="shared" si="7"/>
        <v>1052.2519449975571</v>
      </c>
      <c r="I23" s="217">
        <f t="shared" si="7"/>
        <v>-2854.0470389757347</v>
      </c>
      <c r="J23" s="217">
        <f t="shared" si="7"/>
        <v>-1160.1360176339881</v>
      </c>
      <c r="K23" s="217">
        <f t="shared" si="7"/>
        <v>-1689.3039846092447</v>
      </c>
      <c r="L23" s="217">
        <f>+L20-L21</f>
        <v>-2148.0006416657961</v>
      </c>
      <c r="M23" s="217">
        <f>+M20-M21</f>
        <v>1730.0170999999989</v>
      </c>
      <c r="N23" s="217">
        <f>N20-N21</f>
        <v>234</v>
      </c>
      <c r="O23" s="406">
        <v>4237.2279120000003</v>
      </c>
      <c r="P23" s="493"/>
    </row>
    <row r="24" spans="1:16" ht="18">
      <c r="A24" s="218"/>
      <c r="B24" s="218"/>
      <c r="C24" s="27"/>
      <c r="D24" s="27"/>
      <c r="E24" s="27"/>
      <c r="F24" s="27"/>
      <c r="G24" s="27"/>
      <c r="H24" s="27"/>
      <c r="I24" s="27"/>
      <c r="J24" s="27"/>
      <c r="K24" s="27"/>
      <c r="P24" s="495"/>
    </row>
    <row r="25" spans="1:16" ht="18" hidden="1">
      <c r="A25" s="242" t="s">
        <v>289</v>
      </c>
      <c r="B25" s="371" t="s">
        <v>369</v>
      </c>
      <c r="C25" s="27"/>
      <c r="D25" s="27"/>
      <c r="E25" s="27"/>
      <c r="F25" s="27"/>
      <c r="G25" s="27"/>
      <c r="H25" s="27"/>
      <c r="I25" s="27"/>
      <c r="J25" s="27"/>
      <c r="K25" s="27"/>
    </row>
    <row r="26" spans="1:16" hidden="1">
      <c r="A26" s="6" t="s">
        <v>285</v>
      </c>
      <c r="B26" s="372" t="s">
        <v>383</v>
      </c>
      <c r="C26" s="8">
        <v>86</v>
      </c>
      <c r="D26" s="8">
        <v>89</v>
      </c>
      <c r="E26" s="8">
        <v>94</v>
      </c>
      <c r="F26" s="8">
        <v>98</v>
      </c>
      <c r="G26" s="8">
        <f>91351694/10^6</f>
        <v>91.351693999999995</v>
      </c>
      <c r="H26" s="8">
        <f>82634195.65/10^6</f>
        <v>82.634195650000009</v>
      </c>
      <c r="I26" s="8">
        <f>76361955.8679998/1000</f>
        <v>76361.955867999801</v>
      </c>
      <c r="J26" s="8">
        <f>73847311.4400001/1000</f>
        <v>73847.311440000107</v>
      </c>
      <c r="K26" s="8">
        <f>66355104.0349997/1000</f>
        <v>66355.104034999706</v>
      </c>
      <c r="L26" s="8"/>
      <c r="M26" s="8">
        <f>(16573115.2+36644947.52)/10^3</f>
        <v>53218.062720000002</v>
      </c>
    </row>
    <row r="27" spans="1:16" ht="32.25" hidden="1" customHeight="1">
      <c r="A27" s="236" t="s">
        <v>224</v>
      </c>
      <c r="B27" s="372" t="s">
        <v>384</v>
      </c>
      <c r="C27" s="237"/>
      <c r="D27" s="237"/>
      <c r="E27" s="237"/>
      <c r="F27" s="237"/>
      <c r="G27" s="238">
        <f>15996489.39/10^6</f>
        <v>15.996489390000001</v>
      </c>
      <c r="H27" s="238">
        <f>32600370.23/10^6</f>
        <v>32.600370230000003</v>
      </c>
      <c r="I27" s="239">
        <f>53191274.78/1000</f>
        <v>53191.27478</v>
      </c>
      <c r="J27" s="239">
        <f>70859730.5349997/1000</f>
        <v>70859.730534999704</v>
      </c>
      <c r="K27" s="239">
        <f>92835325.4800001/1000</f>
        <v>92835.325480000087</v>
      </c>
      <c r="L27" s="239"/>
      <c r="M27" s="239">
        <f>(194037405+3922348)/10^3</f>
        <v>197959.753</v>
      </c>
    </row>
    <row r="28" spans="1:16" ht="30" hidden="1">
      <c r="A28" s="234" t="s">
        <v>286</v>
      </c>
      <c r="B28" s="373" t="s">
        <v>385</v>
      </c>
      <c r="C28" s="235">
        <f t="shared" ref="C28:J28" si="8">C26+C27</f>
        <v>86</v>
      </c>
      <c r="D28" s="235">
        <f t="shared" si="8"/>
        <v>89</v>
      </c>
      <c r="E28" s="235">
        <f t="shared" si="8"/>
        <v>94</v>
      </c>
      <c r="F28" s="235">
        <f t="shared" si="8"/>
        <v>98</v>
      </c>
      <c r="G28" s="235">
        <f t="shared" si="8"/>
        <v>107.34818339</v>
      </c>
      <c r="H28" s="235">
        <f t="shared" si="8"/>
        <v>115.23456588000002</v>
      </c>
      <c r="I28" s="235">
        <f t="shared" si="8"/>
        <v>129553.23064799979</v>
      </c>
      <c r="J28" s="235">
        <f t="shared" si="8"/>
        <v>144707.04197499983</v>
      </c>
      <c r="K28" s="235">
        <f>K26+K27</f>
        <v>159190.42951499979</v>
      </c>
      <c r="L28" s="235"/>
      <c r="M28" s="235">
        <f>M26+M27</f>
        <v>251177.81572000001</v>
      </c>
    </row>
    <row r="29" spans="1:16" hidden="1">
      <c r="A29" s="236" t="s">
        <v>230</v>
      </c>
      <c r="B29" s="372" t="s">
        <v>386</v>
      </c>
      <c r="C29" s="241"/>
      <c r="D29" s="241"/>
      <c r="E29" s="241"/>
      <c r="F29" s="241"/>
      <c r="G29" s="241"/>
      <c r="H29" s="241"/>
      <c r="I29" s="241">
        <f>519394828.6944/1000</f>
        <v>519394.82869440003</v>
      </c>
      <c r="J29" s="241">
        <f>463753321.662899/1000</f>
        <v>463753.32166289899</v>
      </c>
      <c r="K29" s="241">
        <f>415030086.1598/1000</f>
        <v>415030.0861598</v>
      </c>
      <c r="L29" s="8"/>
      <c r="M29" s="8">
        <f>170114554/10^3</f>
        <v>170114.554</v>
      </c>
    </row>
    <row r="30" spans="1:16" hidden="1">
      <c r="A30" s="234" t="s">
        <v>287</v>
      </c>
      <c r="B30" s="373" t="s">
        <v>387</v>
      </c>
      <c r="C30" s="235">
        <v>969</v>
      </c>
      <c r="D30" s="235">
        <v>904</v>
      </c>
      <c r="E30" s="235">
        <v>851</v>
      </c>
      <c r="F30" s="235">
        <v>801</v>
      </c>
      <c r="G30" s="235">
        <f>(729683968/10^6)+(15996489.39/10^6)</f>
        <v>745.68045739000002</v>
      </c>
      <c r="H30" s="235">
        <f>(661228443.71/10^6)+(32600370.23/10^6)</f>
        <v>693.82881394000003</v>
      </c>
      <c r="I30" s="235">
        <f t="shared" ref="I30:K30" si="9">I28+I29</f>
        <v>648948.05934239982</v>
      </c>
      <c r="J30" s="235">
        <f t="shared" si="9"/>
        <v>608460.36363789882</v>
      </c>
      <c r="K30" s="235">
        <f t="shared" si="9"/>
        <v>574220.5156747998</v>
      </c>
      <c r="L30" s="235"/>
      <c r="M30" s="235">
        <f>M28+M29</f>
        <v>421292.36972000002</v>
      </c>
    </row>
    <row r="31" spans="1:16" ht="28.5" hidden="1">
      <c r="A31" s="236" t="s">
        <v>72</v>
      </c>
      <c r="B31" s="372" t="s">
        <v>388</v>
      </c>
      <c r="C31" s="240">
        <f>C26/C30</f>
        <v>8.8751289989680085E-2</v>
      </c>
      <c r="D31" s="240">
        <f>D26/D30</f>
        <v>9.8451327433628319E-2</v>
      </c>
      <c r="E31" s="240">
        <f>E26/E30</f>
        <v>0.11045828437132785</v>
      </c>
      <c r="F31" s="240">
        <f>F26/F30</f>
        <v>0.12234706616729088</v>
      </c>
      <c r="G31" s="240">
        <f t="shared" ref="G31:M31" si="10">G28/G30</f>
        <v>0.14396003318329634</v>
      </c>
      <c r="H31" s="240">
        <f t="shared" si="10"/>
        <v>0.16608501054550484</v>
      </c>
      <c r="I31" s="240">
        <f t="shared" si="10"/>
        <v>0.19963574708780282</v>
      </c>
      <c r="J31" s="240">
        <f t="shared" si="10"/>
        <v>0.23782492767452723</v>
      </c>
      <c r="K31" s="240">
        <f t="shared" si="10"/>
        <v>0.27722873908105827</v>
      </c>
      <c r="L31" s="240"/>
      <c r="M31" s="240">
        <f t="shared" si="10"/>
        <v>0.59620784465414889</v>
      </c>
    </row>
    <row r="32" spans="1:16" hidden="1">
      <c r="A32" s="236"/>
      <c r="B32" s="372"/>
      <c r="C32" s="240"/>
      <c r="D32" s="240"/>
      <c r="E32" s="240"/>
      <c r="F32" s="240"/>
      <c r="G32" s="240"/>
      <c r="H32" s="240"/>
      <c r="I32" s="240"/>
      <c r="J32" s="240"/>
      <c r="K32" s="240"/>
      <c r="L32" s="26"/>
      <c r="M32" s="26"/>
    </row>
    <row r="33" spans="1:13" ht="30" hidden="1">
      <c r="A33" s="242" t="s">
        <v>307</v>
      </c>
      <c r="B33" s="371" t="s">
        <v>389</v>
      </c>
      <c r="C33" s="240"/>
      <c r="D33" s="240"/>
      <c r="E33" s="240"/>
      <c r="F33" s="240"/>
      <c r="G33" s="240"/>
      <c r="H33" s="240"/>
      <c r="I33" s="240"/>
      <c r="J33" s="240"/>
      <c r="K33" s="240"/>
      <c r="L33" s="26"/>
      <c r="M33" s="26"/>
    </row>
    <row r="34" spans="1:13" ht="27" hidden="1" customHeight="1">
      <c r="A34" s="236" t="s">
        <v>288</v>
      </c>
      <c r="B34" s="372" t="s">
        <v>390</v>
      </c>
      <c r="C34" s="241">
        <v>6830</v>
      </c>
      <c r="D34" s="241">
        <v>6996</v>
      </c>
      <c r="E34" s="241">
        <v>7290</v>
      </c>
      <c r="F34" s="241">
        <v>7534</v>
      </c>
      <c r="G34" s="241">
        <f>7219</f>
        <v>7219</v>
      </c>
      <c r="H34" s="241">
        <v>6813</v>
      </c>
      <c r="I34" s="241">
        <v>6380</v>
      </c>
      <c r="J34" s="241">
        <f>6086</f>
        <v>6086</v>
      </c>
      <c r="K34" s="241">
        <f>5394+294</f>
        <v>5688</v>
      </c>
      <c r="L34" s="8"/>
      <c r="M34" s="8">
        <f>1851+1188</f>
        <v>3039</v>
      </c>
    </row>
    <row r="35" spans="1:13" ht="35.25" hidden="1" customHeight="1">
      <c r="A35" s="236" t="s">
        <v>201</v>
      </c>
      <c r="B35" s="372" t="s">
        <v>391</v>
      </c>
      <c r="C35" s="241"/>
      <c r="D35" s="241"/>
      <c r="E35" s="241"/>
      <c r="F35" s="241"/>
      <c r="G35" s="241">
        <v>793</v>
      </c>
      <c r="H35" s="241">
        <v>1641</v>
      </c>
      <c r="I35" s="241">
        <v>2694</v>
      </c>
      <c r="J35" s="241">
        <v>3794</v>
      </c>
      <c r="K35" s="241">
        <v>4922</v>
      </c>
      <c r="L35" s="8"/>
      <c r="M35" s="8">
        <f>12567+44</f>
        <v>12611</v>
      </c>
    </row>
    <row r="36" spans="1:13" ht="21.75" hidden="1" customHeight="1">
      <c r="A36" s="234" t="s">
        <v>324</v>
      </c>
      <c r="B36" s="373" t="s">
        <v>392</v>
      </c>
      <c r="C36" s="235">
        <f t="shared" ref="C36:J36" si="11">C34+C35</f>
        <v>6830</v>
      </c>
      <c r="D36" s="235">
        <f t="shared" si="11"/>
        <v>6996</v>
      </c>
      <c r="E36" s="235">
        <f t="shared" si="11"/>
        <v>7290</v>
      </c>
      <c r="F36" s="235">
        <f t="shared" si="11"/>
        <v>7534</v>
      </c>
      <c r="G36" s="235">
        <f t="shared" si="11"/>
        <v>8012</v>
      </c>
      <c r="H36" s="235">
        <f t="shared" si="11"/>
        <v>8454</v>
      </c>
      <c r="I36" s="235">
        <f t="shared" si="11"/>
        <v>9074</v>
      </c>
      <c r="J36" s="235">
        <f t="shared" si="11"/>
        <v>9880</v>
      </c>
      <c r="K36" s="235">
        <f>K34+K35</f>
        <v>10610</v>
      </c>
      <c r="L36" s="235"/>
      <c r="M36" s="235">
        <f>M34+M35</f>
        <v>15650</v>
      </c>
    </row>
    <row r="37" spans="1:13" hidden="1">
      <c r="A37" s="236" t="s">
        <v>56</v>
      </c>
      <c r="B37" s="372" t="s">
        <v>393</v>
      </c>
      <c r="C37" s="241">
        <v>36708</v>
      </c>
      <c r="D37" s="241">
        <v>35501</v>
      </c>
      <c r="E37" s="241">
        <v>34569</v>
      </c>
      <c r="F37" s="241">
        <v>33676</v>
      </c>
      <c r="G37" s="241">
        <f>31887+G35</f>
        <v>32680</v>
      </c>
      <c r="H37" s="241">
        <f>29993+H35</f>
        <v>31634</v>
      </c>
      <c r="I37" s="241">
        <f>28070+I35</f>
        <v>30764</v>
      </c>
      <c r="J37" s="241">
        <f>26126+J35</f>
        <v>29920</v>
      </c>
      <c r="K37" s="241">
        <f>24303+K35</f>
        <v>29225</v>
      </c>
      <c r="L37" s="8"/>
      <c r="M37" s="8">
        <f>10198+M35</f>
        <v>22809</v>
      </c>
    </row>
    <row r="38" spans="1:13" hidden="1">
      <c r="A38" s="236" t="s">
        <v>71</v>
      </c>
      <c r="B38" s="372" t="s">
        <v>394</v>
      </c>
      <c r="C38" s="240">
        <f>C34/C37</f>
        <v>0.18606298354582107</v>
      </c>
      <c r="D38" s="240">
        <f>D34/D37</f>
        <v>0.19706487141207291</v>
      </c>
      <c r="E38" s="240">
        <f>E34/E37</f>
        <v>0.21088258266076543</v>
      </c>
      <c r="F38" s="240">
        <f>F34/F37</f>
        <v>0.22372015678821713</v>
      </c>
      <c r="G38" s="240">
        <f t="shared" ref="G38:M38" si="12">G36/G37</f>
        <v>0.24516523867809056</v>
      </c>
      <c r="H38" s="240">
        <f t="shared" si="12"/>
        <v>0.26724410444458496</v>
      </c>
      <c r="I38" s="240">
        <f t="shared" si="12"/>
        <v>0.29495514237420362</v>
      </c>
      <c r="J38" s="240">
        <f t="shared" si="12"/>
        <v>0.3302139037433155</v>
      </c>
      <c r="K38" s="240">
        <f t="shared" si="12"/>
        <v>0.36304533789563731</v>
      </c>
      <c r="L38" s="240"/>
      <c r="M38" s="240">
        <f t="shared" si="12"/>
        <v>0.68613266692972075</v>
      </c>
    </row>
    <row r="39" spans="1:13" ht="18" hidden="1">
      <c r="A39" s="218"/>
      <c r="B39" s="37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hidden="1">
      <c r="A40" s="236" t="s">
        <v>70</v>
      </c>
      <c r="B40" s="372" t="s">
        <v>395</v>
      </c>
      <c r="C40" s="241">
        <v>1870904.12</v>
      </c>
      <c r="D40" s="241">
        <v>1412821.92</v>
      </c>
      <c r="E40" s="241">
        <v>1302068.5</v>
      </c>
      <c r="F40" s="241">
        <v>1024507</v>
      </c>
      <c r="G40" s="241">
        <v>832082</v>
      </c>
      <c r="H40" s="241">
        <v>603342.47</v>
      </c>
      <c r="I40" s="241">
        <v>451452.05000000075</v>
      </c>
      <c r="J40" s="241">
        <v>304534.25</v>
      </c>
      <c r="K40" s="241">
        <v>142698.63</v>
      </c>
      <c r="L40" s="8"/>
      <c r="M40" s="8">
        <v>0</v>
      </c>
    </row>
    <row r="41" spans="1:13" ht="18" hidden="1">
      <c r="A41" s="218"/>
      <c r="B41" s="374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 hidden="1">
      <c r="A42" s="236" t="s">
        <v>73</v>
      </c>
      <c r="B42" s="372" t="s">
        <v>396</v>
      </c>
      <c r="C42" s="241">
        <f>(C3*1000)/C34</f>
        <v>373.79209370424599</v>
      </c>
      <c r="D42" s="241">
        <f>(D3*1000)/D34</f>
        <v>352.48713550600343</v>
      </c>
      <c r="E42" s="241">
        <f>(E3*1000)/E34</f>
        <v>399.1769547325103</v>
      </c>
      <c r="F42" s="241">
        <f>(F3*1000)/F34</f>
        <v>385.18715157950624</v>
      </c>
      <c r="G42" s="241">
        <f>(G3+G4)*1000/G36</f>
        <v>413.62922241637563</v>
      </c>
      <c r="H42" s="241">
        <f>(H3+H4)*1000/H36</f>
        <v>421.50640170333531</v>
      </c>
      <c r="I42" s="241">
        <f>(I3+I4)*1000/I36</f>
        <v>474.0866167070763</v>
      </c>
      <c r="J42" s="241">
        <f>(J3+J4)*1000/J36</f>
        <v>509.77313532388303</v>
      </c>
      <c r="K42" s="241">
        <f>(K3+K4)*1000/K36</f>
        <v>523.97708294062568</v>
      </c>
      <c r="L42" s="8"/>
      <c r="M42" s="8">
        <f>(M3+M4)*1000/M36</f>
        <v>630.31765367412129</v>
      </c>
    </row>
    <row r="43" spans="1:13" ht="18" hidden="1">
      <c r="A43" s="218"/>
      <c r="B43" s="218"/>
      <c r="C43" s="27"/>
      <c r="D43" s="27"/>
      <c r="E43" s="27"/>
      <c r="F43" s="27"/>
      <c r="G43" s="27"/>
      <c r="H43" s="27"/>
      <c r="I43" s="27"/>
      <c r="J43" s="27"/>
      <c r="K43" s="27"/>
    </row>
    <row r="44" spans="1:13" ht="18" hidden="1">
      <c r="A44" s="218"/>
      <c r="B44" s="218"/>
      <c r="C44" s="27"/>
      <c r="D44" s="27"/>
      <c r="E44" s="27"/>
      <c r="F44" s="27"/>
      <c r="G44" s="27"/>
      <c r="H44" s="27"/>
      <c r="I44" s="27"/>
      <c r="J44" s="27"/>
      <c r="K44" s="27"/>
    </row>
    <row r="45" spans="1:13" ht="18" hidden="1">
      <c r="A45" s="218"/>
      <c r="B45" s="218"/>
      <c r="C45" s="27"/>
      <c r="D45" s="27"/>
      <c r="E45" s="27"/>
      <c r="F45" s="27"/>
      <c r="G45" s="27"/>
      <c r="H45" s="27"/>
      <c r="I45" s="27"/>
      <c r="J45" s="27"/>
      <c r="K45" s="27"/>
    </row>
    <row r="46" spans="1:13" ht="18" hidden="1">
      <c r="A46" s="218"/>
      <c r="B46" s="218"/>
      <c r="C46" s="27"/>
      <c r="D46" s="27"/>
      <c r="E46" s="27"/>
      <c r="F46" s="27"/>
      <c r="G46" s="27"/>
      <c r="H46" s="27"/>
      <c r="I46" s="27"/>
      <c r="J46" s="27"/>
      <c r="K46" s="27"/>
    </row>
    <row r="47" spans="1:13" ht="18" hidden="1">
      <c r="A47" s="218"/>
      <c r="B47" s="218"/>
      <c r="C47" s="27"/>
      <c r="D47" s="27"/>
      <c r="E47" s="27"/>
      <c r="F47" s="27"/>
      <c r="G47" s="27"/>
      <c r="H47" s="27"/>
      <c r="I47" s="27"/>
      <c r="J47" s="27"/>
      <c r="K47" s="27"/>
    </row>
    <row r="48" spans="1:13" ht="18" hidden="1">
      <c r="A48" s="218"/>
      <c r="B48" s="218"/>
      <c r="C48" s="27"/>
      <c r="D48" s="27"/>
      <c r="E48" s="27"/>
      <c r="F48" s="27"/>
      <c r="G48" s="27"/>
      <c r="H48" s="27"/>
      <c r="I48" s="27"/>
      <c r="J48" s="27"/>
      <c r="K48" s="27"/>
    </row>
    <row r="49" spans="1:11" ht="18" hidden="1">
      <c r="A49" s="218"/>
      <c r="B49" s="218"/>
      <c r="C49" s="27"/>
      <c r="D49" s="27"/>
      <c r="E49" s="27"/>
      <c r="F49" s="27"/>
      <c r="G49" s="27"/>
      <c r="H49" s="27"/>
      <c r="I49" s="27"/>
      <c r="J49" s="27"/>
      <c r="K49" s="27"/>
    </row>
    <row r="50" spans="1:11" ht="18" hidden="1">
      <c r="A50" s="218"/>
      <c r="B50" s="218"/>
      <c r="C50" s="27"/>
      <c r="D50" s="27"/>
      <c r="E50" s="27"/>
      <c r="F50" s="27"/>
      <c r="G50" s="27"/>
      <c r="H50" s="27"/>
      <c r="I50" s="27"/>
      <c r="J50" s="27"/>
      <c r="K50" s="27"/>
    </row>
    <row r="51" spans="1:11" ht="18" hidden="1">
      <c r="A51" s="218"/>
      <c r="B51" s="218"/>
      <c r="C51" s="27"/>
      <c r="D51" s="27"/>
      <c r="E51" s="27"/>
      <c r="F51" s="27"/>
      <c r="G51" s="27"/>
      <c r="H51" s="27"/>
      <c r="I51" s="27"/>
      <c r="J51" s="27"/>
      <c r="K51" s="27"/>
    </row>
    <row r="52" spans="1:11" ht="18" hidden="1">
      <c r="A52" s="218"/>
      <c r="B52" s="218"/>
      <c r="C52" s="27"/>
      <c r="D52" s="27"/>
      <c r="E52" s="27"/>
      <c r="F52" s="27"/>
      <c r="G52" s="27"/>
      <c r="H52" s="27"/>
      <c r="I52" s="27"/>
      <c r="J52" s="27"/>
      <c r="K52" s="27"/>
    </row>
    <row r="53" spans="1:11" ht="18" hidden="1">
      <c r="A53" s="218"/>
      <c r="B53" s="218"/>
      <c r="C53" s="27"/>
      <c r="D53" s="27"/>
      <c r="E53" s="27"/>
      <c r="F53" s="27"/>
      <c r="G53" s="27"/>
      <c r="H53" s="27"/>
      <c r="I53" s="27"/>
      <c r="J53" s="27"/>
      <c r="K53" s="27"/>
    </row>
    <row r="54" spans="1:11" ht="18" hidden="1">
      <c r="A54" s="218"/>
      <c r="B54" s="218"/>
      <c r="C54" s="27"/>
      <c r="D54" s="27"/>
      <c r="E54" s="27"/>
      <c r="F54" s="27"/>
      <c r="G54" s="27"/>
      <c r="H54" s="27"/>
      <c r="I54" s="27"/>
      <c r="J54" s="27"/>
      <c r="K54" s="27"/>
    </row>
    <row r="55" spans="1:11" ht="18" hidden="1">
      <c r="A55" s="218"/>
      <c r="B55" s="218"/>
      <c r="C55" s="27"/>
      <c r="D55" s="27"/>
      <c r="E55" s="27"/>
      <c r="F55" s="27"/>
      <c r="G55" s="27"/>
      <c r="H55" s="27"/>
      <c r="I55" s="27"/>
      <c r="J55" s="27"/>
      <c r="K55" s="27"/>
    </row>
    <row r="56" spans="1:11" ht="18" hidden="1">
      <c r="A56" s="218"/>
      <c r="B56" s="218"/>
      <c r="C56" s="27"/>
      <c r="D56" s="27"/>
      <c r="E56" s="27"/>
      <c r="F56" s="27"/>
      <c r="G56" s="27"/>
      <c r="H56" s="27"/>
      <c r="I56" s="27"/>
      <c r="J56" s="27"/>
      <c r="K56" s="27"/>
    </row>
    <row r="57" spans="1:11" ht="18" hidden="1">
      <c r="A57" s="218"/>
      <c r="B57" s="218"/>
      <c r="C57" s="27"/>
      <c r="D57" s="27"/>
      <c r="E57" s="27"/>
      <c r="F57" s="27"/>
      <c r="G57" s="27"/>
      <c r="H57" s="27"/>
      <c r="I57" s="27"/>
      <c r="J57" s="27"/>
      <c r="K57" s="27"/>
    </row>
    <row r="58" spans="1:11" ht="18">
      <c r="A58" s="218"/>
      <c r="B58" s="218"/>
      <c r="C58" s="27"/>
      <c r="D58" s="27"/>
      <c r="E58" s="27"/>
      <c r="F58" s="27"/>
      <c r="G58" s="27"/>
      <c r="H58" s="27"/>
      <c r="I58" s="27"/>
      <c r="J58" s="27"/>
      <c r="K58" s="27"/>
    </row>
    <row r="59" spans="1:11" ht="18">
      <c r="A59" s="218"/>
      <c r="B59" s="218"/>
      <c r="C59" s="27"/>
      <c r="D59" s="27"/>
      <c r="E59" s="27"/>
      <c r="F59" s="27"/>
      <c r="G59" s="27"/>
      <c r="H59" s="27"/>
      <c r="I59" s="27"/>
      <c r="J59" s="27"/>
      <c r="K59" s="27"/>
    </row>
    <row r="60" spans="1:11" ht="18">
      <c r="A60" s="218"/>
      <c r="B60" s="218"/>
      <c r="C60" s="27"/>
      <c r="D60" s="27"/>
      <c r="E60" s="27"/>
      <c r="F60" s="27"/>
      <c r="G60" s="27"/>
      <c r="H60" s="27"/>
      <c r="I60" s="27"/>
      <c r="J60" s="27"/>
      <c r="K60" s="27"/>
    </row>
    <row r="61" spans="1:11" ht="18">
      <c r="A61" s="218"/>
      <c r="B61" s="218"/>
      <c r="C61" s="27"/>
      <c r="D61" s="27"/>
      <c r="E61" s="27"/>
      <c r="F61" s="27"/>
      <c r="G61" s="27"/>
      <c r="H61" s="27"/>
      <c r="I61" s="27"/>
      <c r="J61" s="27"/>
      <c r="K61" s="27"/>
    </row>
    <row r="62" spans="1:11" ht="18">
      <c r="A62" s="218"/>
      <c r="B62" s="218"/>
      <c r="C62" s="27"/>
      <c r="D62" s="27"/>
      <c r="E62" s="27"/>
      <c r="F62" s="27"/>
      <c r="G62" s="27"/>
      <c r="H62" s="27"/>
      <c r="I62" s="27"/>
      <c r="J62" s="27"/>
      <c r="K62" s="27"/>
    </row>
    <row r="63" spans="1:11" ht="18">
      <c r="A63" s="218"/>
      <c r="B63" s="218"/>
      <c r="C63" s="27"/>
      <c r="D63" s="27"/>
      <c r="E63" s="27"/>
      <c r="F63" s="27"/>
      <c r="G63" s="27"/>
      <c r="H63" s="27"/>
      <c r="I63" s="27"/>
      <c r="J63" s="27"/>
      <c r="K63" s="27"/>
    </row>
    <row r="64" spans="1:11" ht="18">
      <c r="A64" s="218"/>
      <c r="B64" s="218"/>
      <c r="C64" s="27"/>
      <c r="D64" s="27"/>
      <c r="E64" s="27"/>
      <c r="F64" s="27"/>
      <c r="G64" s="27"/>
      <c r="H64" s="27"/>
      <c r="I64" s="27"/>
      <c r="J64" s="27"/>
      <c r="K64" s="27"/>
    </row>
    <row r="65" spans="1:11" ht="18">
      <c r="A65" s="218"/>
      <c r="B65" s="218"/>
      <c r="C65" s="27"/>
      <c r="D65" s="27"/>
      <c r="E65" s="27"/>
      <c r="F65" s="27"/>
      <c r="G65" s="27"/>
      <c r="H65" s="27"/>
      <c r="I65" s="27"/>
      <c r="J65" s="27"/>
      <c r="K65" s="27"/>
    </row>
    <row r="66" spans="1:11" ht="18">
      <c r="A66" s="218"/>
      <c r="B66" s="218"/>
      <c r="C66" s="27"/>
      <c r="D66" s="27"/>
      <c r="E66" s="27"/>
      <c r="F66" s="27"/>
      <c r="G66" s="27"/>
      <c r="H66" s="27"/>
      <c r="I66" s="27"/>
      <c r="J66" s="27"/>
      <c r="K66" s="27"/>
    </row>
    <row r="67" spans="1:11" ht="18">
      <c r="A67" s="218"/>
      <c r="B67" s="218"/>
      <c r="C67" s="27"/>
      <c r="D67" s="27"/>
      <c r="E67" s="27"/>
      <c r="F67" s="27"/>
      <c r="G67" s="27"/>
      <c r="H67" s="27"/>
      <c r="I67" s="27"/>
      <c r="J67" s="27"/>
      <c r="K67" s="27"/>
    </row>
    <row r="68" spans="1:11" ht="18">
      <c r="A68" s="218"/>
      <c r="B68" s="218"/>
      <c r="C68" s="27"/>
      <c r="D68" s="27"/>
      <c r="E68" s="27"/>
      <c r="F68" s="27"/>
      <c r="G68" s="27"/>
      <c r="H68" s="27"/>
      <c r="I68" s="27"/>
      <c r="J68" s="27"/>
      <c r="K68" s="27"/>
    </row>
    <row r="69" spans="1:11" ht="18">
      <c r="A69" s="218"/>
      <c r="B69" s="218"/>
      <c r="C69" s="27"/>
      <c r="D69" s="27"/>
      <c r="E69" s="27"/>
      <c r="F69" s="27"/>
      <c r="G69" s="27"/>
      <c r="H69" s="27"/>
      <c r="I69" s="27"/>
      <c r="J69" s="27"/>
      <c r="K69" s="27"/>
    </row>
    <row r="70" spans="1:11" ht="18">
      <c r="A70" s="218"/>
      <c r="B70" s="218"/>
      <c r="C70" s="27"/>
      <c r="D70" s="27"/>
      <c r="E70" s="27"/>
      <c r="F70" s="27"/>
      <c r="G70" s="27"/>
      <c r="H70" s="27"/>
      <c r="I70" s="27"/>
      <c r="J70" s="27"/>
      <c r="K70" s="27"/>
    </row>
    <row r="71" spans="1:11" ht="18">
      <c r="A71" s="218"/>
      <c r="B71" s="218"/>
      <c r="C71" s="27"/>
      <c r="D71" s="27"/>
      <c r="E71" s="27"/>
      <c r="F71" s="27"/>
      <c r="G71" s="27"/>
      <c r="H71" s="27"/>
      <c r="I71" s="27"/>
      <c r="J71" s="27"/>
      <c r="K71" s="27"/>
    </row>
    <row r="72" spans="1:11" ht="18">
      <c r="A72" s="218"/>
      <c r="B72" s="218"/>
      <c r="C72" s="27"/>
      <c r="D72" s="27"/>
      <c r="E72" s="27"/>
      <c r="F72" s="27"/>
      <c r="G72" s="27"/>
      <c r="H72" s="27"/>
      <c r="I72" s="27"/>
      <c r="J72" s="27"/>
      <c r="K72" s="27"/>
    </row>
    <row r="73" spans="1:11" ht="18">
      <c r="A73" s="218"/>
      <c r="B73" s="218"/>
      <c r="C73" s="27"/>
      <c r="D73" s="27"/>
      <c r="E73" s="27"/>
      <c r="F73" s="27"/>
      <c r="G73" s="27"/>
      <c r="H73" s="27"/>
      <c r="I73" s="27"/>
      <c r="J73" s="27"/>
      <c r="K73" s="27"/>
    </row>
    <row r="74" spans="1:11" ht="18">
      <c r="A74" s="218"/>
      <c r="B74" s="218"/>
      <c r="C74" s="27"/>
      <c r="D74" s="27"/>
      <c r="E74" s="27"/>
      <c r="F74" s="27"/>
      <c r="G74" s="27"/>
      <c r="H74" s="27"/>
      <c r="I74" s="27"/>
      <c r="J74" s="27"/>
      <c r="K74" s="27"/>
    </row>
    <row r="75" spans="1:11" ht="18">
      <c r="A75" s="218"/>
      <c r="B75" s="218"/>
      <c r="C75" s="27"/>
      <c r="D75" s="27"/>
      <c r="E75" s="27"/>
      <c r="F75" s="27"/>
      <c r="G75" s="27"/>
      <c r="H75" s="27"/>
      <c r="I75" s="27"/>
      <c r="J75" s="27"/>
      <c r="K75" s="27"/>
    </row>
    <row r="76" spans="1:11" ht="18">
      <c r="A76" s="218"/>
      <c r="B76" s="218"/>
      <c r="C76" s="27"/>
      <c r="D76" s="27"/>
      <c r="E76" s="27"/>
      <c r="F76" s="27"/>
      <c r="G76" s="27"/>
      <c r="H76" s="27"/>
      <c r="I76" s="27"/>
      <c r="J76" s="27"/>
      <c r="K76" s="27"/>
    </row>
    <row r="77" spans="1:11" ht="18">
      <c r="A77" s="218"/>
      <c r="B77" s="218"/>
      <c r="C77" s="27"/>
      <c r="D77" s="27"/>
      <c r="E77" s="27"/>
      <c r="F77" s="27"/>
      <c r="G77" s="27"/>
      <c r="H77" s="27"/>
      <c r="I77" s="27"/>
      <c r="J77" s="27"/>
      <c r="K77" s="27"/>
    </row>
    <row r="78" spans="1:11" ht="18">
      <c r="A78" s="218"/>
      <c r="B78" s="218"/>
      <c r="C78" s="27"/>
      <c r="D78" s="27"/>
      <c r="E78" s="27"/>
      <c r="F78" s="27"/>
      <c r="G78" s="27"/>
      <c r="H78" s="27"/>
      <c r="I78" s="27"/>
      <c r="J78" s="27"/>
      <c r="K78" s="27"/>
    </row>
    <row r="79" spans="1:11" ht="18">
      <c r="A79" s="218"/>
      <c r="B79" s="218"/>
      <c r="C79" s="27"/>
      <c r="D79" s="27"/>
      <c r="E79" s="27"/>
      <c r="F79" s="27"/>
      <c r="G79" s="27"/>
      <c r="H79" s="27"/>
      <c r="I79" s="27"/>
      <c r="J79" s="27"/>
      <c r="K79" s="27"/>
    </row>
    <row r="80" spans="1:11" ht="18">
      <c r="A80" s="218"/>
      <c r="B80" s="218"/>
      <c r="C80" s="27"/>
      <c r="D80" s="27"/>
      <c r="E80" s="27"/>
      <c r="F80" s="27"/>
      <c r="G80" s="27"/>
      <c r="H80" s="27"/>
      <c r="I80" s="27"/>
      <c r="J80" s="27"/>
      <c r="K80" s="27"/>
    </row>
    <row r="81" spans="1:11" ht="18">
      <c r="A81" s="218"/>
      <c r="B81" s="218"/>
      <c r="C81" s="27"/>
      <c r="D81" s="27"/>
      <c r="E81" s="27"/>
      <c r="F81" s="27"/>
      <c r="G81" s="27"/>
      <c r="H81" s="27"/>
      <c r="I81" s="27"/>
      <c r="J81" s="27"/>
      <c r="K81" s="27"/>
    </row>
    <row r="82" spans="1:11" ht="18">
      <c r="A82" s="218"/>
      <c r="B82" s="218"/>
      <c r="C82" s="27"/>
      <c r="D82" s="27"/>
      <c r="E82" s="27"/>
      <c r="F82" s="27"/>
      <c r="G82" s="27"/>
      <c r="H82" s="27"/>
      <c r="I82" s="27"/>
      <c r="J82" s="27"/>
      <c r="K82" s="27"/>
    </row>
    <row r="83" spans="1:11" ht="18">
      <c r="A83" s="218"/>
      <c r="B83" s="218"/>
      <c r="C83" s="27"/>
      <c r="D83" s="27"/>
      <c r="E83" s="27"/>
      <c r="F83" s="27"/>
      <c r="G83" s="27"/>
      <c r="H83" s="27"/>
      <c r="I83" s="27"/>
      <c r="J83" s="27"/>
      <c r="K83" s="27"/>
    </row>
    <row r="84" spans="1:11" ht="18">
      <c r="A84" s="218"/>
      <c r="B84" s="218"/>
      <c r="C84" s="27"/>
      <c r="D84" s="27"/>
      <c r="E84" s="27"/>
      <c r="F84" s="27"/>
      <c r="G84" s="27"/>
      <c r="H84" s="27"/>
      <c r="I84" s="27"/>
      <c r="J84" s="27"/>
      <c r="K84" s="27"/>
    </row>
    <row r="85" spans="1:11" ht="18">
      <c r="A85" s="218"/>
      <c r="B85" s="218"/>
      <c r="C85" s="27"/>
      <c r="D85" s="27"/>
      <c r="E85" s="27"/>
      <c r="F85" s="27"/>
      <c r="G85" s="27"/>
      <c r="H85" s="27"/>
      <c r="I85" s="27"/>
      <c r="J85" s="27"/>
      <c r="K85" s="27"/>
    </row>
    <row r="86" spans="1:11" ht="18">
      <c r="A86" s="218"/>
      <c r="B86" s="218"/>
      <c r="C86" s="27"/>
      <c r="D86" s="27"/>
      <c r="E86" s="27"/>
      <c r="F86" s="27"/>
      <c r="G86" s="27"/>
      <c r="H86" s="27"/>
      <c r="I86" s="27"/>
      <c r="J86" s="27"/>
      <c r="K86" s="27"/>
    </row>
    <row r="87" spans="1:11" ht="18">
      <c r="A87" s="218"/>
      <c r="B87" s="218"/>
      <c r="C87" s="27"/>
      <c r="D87" s="27"/>
      <c r="E87" s="27"/>
      <c r="F87" s="27"/>
      <c r="G87" s="27"/>
      <c r="H87" s="27"/>
      <c r="I87" s="27"/>
      <c r="J87" s="27"/>
      <c r="K87" s="27"/>
    </row>
    <row r="88" spans="1:11" ht="18">
      <c r="A88" s="218"/>
      <c r="B88" s="218"/>
      <c r="C88" s="27"/>
      <c r="D88" s="27"/>
      <c r="E88" s="27"/>
      <c r="F88" s="27"/>
      <c r="G88" s="27"/>
      <c r="H88" s="27"/>
      <c r="I88" s="27"/>
      <c r="J88" s="27"/>
      <c r="K88" s="27"/>
    </row>
    <row r="89" spans="1:11" ht="18">
      <c r="A89" s="218"/>
      <c r="B89" s="218"/>
      <c r="C89" s="27"/>
      <c r="D89" s="27"/>
      <c r="E89" s="27"/>
      <c r="F89" s="27"/>
      <c r="G89" s="27"/>
      <c r="H89" s="27"/>
      <c r="I89" s="27"/>
      <c r="J89" s="27"/>
      <c r="K89" s="27"/>
    </row>
    <row r="90" spans="1:11" ht="18">
      <c r="A90" s="218"/>
      <c r="B90" s="218"/>
      <c r="C90" s="27"/>
      <c r="D90" s="27"/>
      <c r="E90" s="27"/>
      <c r="F90" s="27"/>
      <c r="G90" s="27"/>
      <c r="H90" s="27"/>
      <c r="I90" s="27"/>
      <c r="J90" s="27"/>
      <c r="K90" s="27"/>
    </row>
    <row r="91" spans="1:11" ht="18">
      <c r="A91" s="218"/>
      <c r="B91" s="218"/>
      <c r="C91" s="27"/>
      <c r="D91" s="27"/>
      <c r="E91" s="27"/>
      <c r="F91" s="27"/>
      <c r="G91" s="27"/>
      <c r="H91" s="27"/>
      <c r="I91" s="27"/>
      <c r="J91" s="27"/>
      <c r="K91" s="27"/>
    </row>
    <row r="92" spans="1:11" ht="18">
      <c r="A92" s="218"/>
      <c r="B92" s="218"/>
      <c r="C92" s="27"/>
      <c r="D92" s="27"/>
      <c r="E92" s="27"/>
      <c r="F92" s="27"/>
      <c r="G92" s="27"/>
      <c r="H92" s="27"/>
      <c r="I92" s="27"/>
      <c r="J92" s="27"/>
      <c r="K92" s="27"/>
    </row>
    <row r="93" spans="1:11" ht="18">
      <c r="A93" s="218"/>
      <c r="B93" s="218"/>
      <c r="C93" s="27"/>
      <c r="D93" s="27"/>
      <c r="E93" s="27"/>
      <c r="F93" s="27"/>
      <c r="G93" s="27"/>
      <c r="H93" s="27"/>
      <c r="I93" s="27"/>
      <c r="J93" s="27"/>
      <c r="K93" s="27"/>
    </row>
    <row r="94" spans="1:11" ht="18">
      <c r="A94" s="218"/>
      <c r="B94" s="218"/>
      <c r="C94" s="27"/>
      <c r="D94" s="27"/>
      <c r="E94" s="27"/>
      <c r="F94" s="27"/>
      <c r="G94" s="27"/>
      <c r="H94" s="27"/>
      <c r="I94" s="27"/>
      <c r="J94" s="27"/>
      <c r="K94" s="27"/>
    </row>
    <row r="95" spans="1:11" ht="18">
      <c r="A95" s="218"/>
      <c r="B95" s="218"/>
      <c r="C95" s="27"/>
      <c r="D95" s="27"/>
      <c r="E95" s="27"/>
      <c r="F95" s="27"/>
      <c r="G95" s="27"/>
      <c r="H95" s="27"/>
      <c r="I95" s="27"/>
      <c r="J95" s="27"/>
      <c r="K95" s="27"/>
    </row>
    <row r="96" spans="1:11" ht="18">
      <c r="A96" s="218"/>
      <c r="B96" s="218"/>
      <c r="C96" s="27"/>
      <c r="D96" s="27"/>
      <c r="E96" s="27"/>
      <c r="F96" s="27"/>
      <c r="G96" s="27"/>
      <c r="H96" s="27"/>
      <c r="I96" s="27"/>
      <c r="J96" s="27"/>
      <c r="K96" s="27"/>
    </row>
    <row r="97" spans="1:11" ht="18">
      <c r="A97" s="218"/>
      <c r="B97" s="218"/>
      <c r="C97" s="27"/>
      <c r="D97" s="27"/>
      <c r="E97" s="27"/>
      <c r="F97" s="27"/>
      <c r="G97" s="27"/>
      <c r="H97" s="27"/>
      <c r="I97" s="27"/>
      <c r="J97" s="27"/>
      <c r="K97" s="27"/>
    </row>
    <row r="98" spans="1:11" ht="18">
      <c r="A98" s="218"/>
      <c r="B98" s="218"/>
      <c r="C98" s="27"/>
      <c r="D98" s="27"/>
      <c r="E98" s="27"/>
      <c r="F98" s="27"/>
      <c r="G98" s="27"/>
      <c r="H98" s="27"/>
      <c r="I98" s="27"/>
      <c r="J98" s="27"/>
      <c r="K98" s="27"/>
    </row>
    <row r="99" spans="1:11" ht="18">
      <c r="A99" s="218"/>
      <c r="B99" s="218"/>
      <c r="C99" s="27"/>
      <c r="D99" s="27"/>
      <c r="E99" s="27"/>
      <c r="F99" s="27"/>
      <c r="G99" s="27"/>
      <c r="H99" s="27"/>
      <c r="I99" s="27"/>
      <c r="J99" s="27"/>
      <c r="K99" s="27"/>
    </row>
    <row r="100" spans="1:11" ht="18">
      <c r="A100" s="218"/>
      <c r="B100" s="218"/>
      <c r="C100" s="27"/>
      <c r="D100" s="27"/>
      <c r="E100" s="27"/>
      <c r="F100" s="27"/>
      <c r="G100" s="27"/>
      <c r="H100" s="27"/>
      <c r="I100" s="27"/>
      <c r="J100" s="27"/>
      <c r="K100" s="27"/>
    </row>
    <row r="101" spans="1:11" ht="18">
      <c r="A101" s="218"/>
      <c r="B101" s="218"/>
      <c r="C101" s="27"/>
      <c r="D101" s="27"/>
      <c r="E101" s="27"/>
      <c r="F101" s="27"/>
      <c r="G101" s="27"/>
      <c r="H101" s="27"/>
      <c r="I101" s="27"/>
      <c r="J101" s="27"/>
      <c r="K101" s="27"/>
    </row>
    <row r="102" spans="1:11" ht="18">
      <c r="A102" s="218"/>
      <c r="B102" s="218"/>
      <c r="C102" s="27"/>
      <c r="D102" s="27"/>
      <c r="E102" s="27"/>
      <c r="F102" s="27"/>
      <c r="G102" s="27"/>
      <c r="H102" s="27"/>
      <c r="I102" s="27"/>
      <c r="J102" s="27"/>
      <c r="K102" s="27"/>
    </row>
    <row r="103" spans="1:11" ht="18">
      <c r="A103" s="218"/>
      <c r="B103" s="218"/>
      <c r="C103" s="27"/>
      <c r="D103" s="27"/>
      <c r="E103" s="27"/>
      <c r="F103" s="27"/>
      <c r="G103" s="27"/>
      <c r="H103" s="27"/>
      <c r="I103" s="27"/>
      <c r="J103" s="27"/>
      <c r="K103" s="27"/>
    </row>
    <row r="104" spans="1:11" ht="18">
      <c r="A104" s="218"/>
      <c r="B104" s="218"/>
      <c r="C104" s="27"/>
      <c r="D104" s="27"/>
      <c r="E104" s="27"/>
      <c r="F104" s="27"/>
      <c r="G104" s="27"/>
      <c r="H104" s="27"/>
      <c r="I104" s="27"/>
      <c r="J104" s="27"/>
      <c r="K104" s="27"/>
    </row>
    <row r="105" spans="1:11" ht="18">
      <c r="A105" s="218"/>
      <c r="B105" s="218"/>
      <c r="C105" s="27"/>
      <c r="D105" s="27"/>
      <c r="E105" s="27"/>
      <c r="F105" s="27"/>
      <c r="G105" s="27"/>
      <c r="H105" s="27"/>
      <c r="I105" s="27"/>
      <c r="J105" s="27"/>
      <c r="K105" s="27"/>
    </row>
    <row r="106" spans="1:11" ht="18">
      <c r="A106" s="218"/>
      <c r="B106" s="218"/>
      <c r="C106" s="27"/>
      <c r="D106" s="27"/>
      <c r="E106" s="27"/>
      <c r="F106" s="27"/>
      <c r="G106" s="27"/>
      <c r="H106" s="27"/>
      <c r="I106" s="27"/>
      <c r="J106" s="27"/>
      <c r="K106" s="27"/>
    </row>
    <row r="107" spans="1:11" ht="18">
      <c r="A107" s="218"/>
      <c r="B107" s="218"/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11" ht="18">
      <c r="A108" s="218"/>
      <c r="B108" s="218"/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1:11" ht="18">
      <c r="A109" s="218"/>
      <c r="B109" s="218"/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1" ht="18">
      <c r="A110" s="218"/>
      <c r="B110" s="218"/>
      <c r="C110" s="27"/>
      <c r="D110" s="27"/>
      <c r="E110" s="27"/>
      <c r="F110" s="27"/>
      <c r="G110" s="27"/>
      <c r="H110" s="27"/>
      <c r="I110" s="27"/>
      <c r="J110" s="27"/>
      <c r="K110" s="27"/>
    </row>
    <row r="111" spans="1:11" ht="18">
      <c r="A111" s="218"/>
      <c r="B111" s="218"/>
      <c r="C111" s="27"/>
      <c r="D111" s="27"/>
      <c r="E111" s="27"/>
      <c r="F111" s="27"/>
      <c r="G111" s="27"/>
      <c r="H111" s="27"/>
      <c r="I111" s="27"/>
      <c r="J111" s="27"/>
      <c r="K111" s="27"/>
    </row>
    <row r="112" spans="1:11" ht="18">
      <c r="A112" s="218"/>
      <c r="B112" s="218"/>
      <c r="C112" s="27"/>
      <c r="D112" s="27"/>
      <c r="E112" s="27"/>
      <c r="F112" s="27"/>
      <c r="G112" s="27"/>
      <c r="H112" s="27"/>
      <c r="I112" s="27"/>
      <c r="J112" s="27"/>
      <c r="K112" s="27"/>
    </row>
    <row r="113" spans="1:11" ht="18">
      <c r="A113" s="218"/>
      <c r="B113" s="218"/>
      <c r="C113" s="27"/>
      <c r="D113" s="27"/>
      <c r="E113" s="27"/>
      <c r="F113" s="27"/>
      <c r="G113" s="27"/>
      <c r="H113" s="27"/>
      <c r="I113" s="27"/>
      <c r="J113" s="27"/>
      <c r="K113" s="27"/>
    </row>
    <row r="114" spans="1:11" ht="18">
      <c r="A114" s="218"/>
      <c r="B114" s="218"/>
      <c r="C114" s="27"/>
      <c r="D114" s="27"/>
      <c r="E114" s="27"/>
      <c r="F114" s="27"/>
      <c r="G114" s="27"/>
      <c r="H114" s="27"/>
      <c r="I114" s="27"/>
      <c r="J114" s="27"/>
      <c r="K114" s="27"/>
    </row>
    <row r="115" spans="1:11" ht="18">
      <c r="A115" s="218"/>
      <c r="B115" s="218"/>
      <c r="C115" s="27"/>
      <c r="D115" s="27"/>
      <c r="E115" s="27"/>
      <c r="F115" s="27"/>
      <c r="G115" s="27"/>
      <c r="H115" s="27"/>
      <c r="I115" s="27"/>
      <c r="J115" s="27"/>
      <c r="K115" s="27"/>
    </row>
    <row r="116" spans="1:11" ht="18">
      <c r="A116" s="218"/>
      <c r="B116" s="218"/>
      <c r="C116" s="27"/>
      <c r="D116" s="27"/>
      <c r="E116" s="27"/>
      <c r="F116" s="27"/>
      <c r="G116" s="27"/>
      <c r="H116" s="27"/>
      <c r="I116" s="27"/>
      <c r="J116" s="27"/>
      <c r="K116" s="27"/>
    </row>
    <row r="117" spans="1:11" ht="18">
      <c r="A117" s="218"/>
      <c r="B117" s="218"/>
      <c r="C117" s="27"/>
      <c r="D117" s="27"/>
      <c r="E117" s="27"/>
      <c r="F117" s="27"/>
      <c r="G117" s="27"/>
      <c r="H117" s="27"/>
      <c r="I117" s="27"/>
      <c r="J117" s="27"/>
      <c r="K117" s="27"/>
    </row>
    <row r="118" spans="1:11" ht="18">
      <c r="A118" s="218"/>
      <c r="B118" s="218"/>
      <c r="C118" s="27"/>
      <c r="D118" s="27"/>
      <c r="E118" s="27"/>
      <c r="F118" s="27"/>
      <c r="G118" s="27"/>
      <c r="H118" s="27"/>
      <c r="I118" s="27"/>
      <c r="J118" s="27"/>
      <c r="K118" s="27"/>
    </row>
    <row r="119" spans="1:11" ht="18">
      <c r="A119" s="218"/>
      <c r="B119" s="218"/>
      <c r="C119" s="27"/>
      <c r="D119" s="27"/>
      <c r="E119" s="27"/>
      <c r="F119" s="27"/>
      <c r="G119" s="27"/>
      <c r="H119" s="27"/>
      <c r="I119" s="27"/>
      <c r="J119" s="27"/>
      <c r="K119" s="27"/>
    </row>
    <row r="120" spans="1:11" ht="18">
      <c r="A120" s="218"/>
      <c r="B120" s="218"/>
      <c r="C120" s="27"/>
      <c r="D120" s="27"/>
      <c r="E120" s="27"/>
      <c r="F120" s="27"/>
      <c r="G120" s="27"/>
      <c r="H120" s="27"/>
      <c r="I120" s="27"/>
      <c r="J120" s="27"/>
      <c r="K120" s="27"/>
    </row>
    <row r="121" spans="1:11" ht="18">
      <c r="A121" s="218"/>
      <c r="B121" s="218"/>
      <c r="C121" s="27"/>
      <c r="D121" s="27"/>
      <c r="E121" s="27"/>
      <c r="F121" s="27"/>
      <c r="G121" s="27"/>
      <c r="H121" s="27"/>
      <c r="I121" s="27"/>
      <c r="J121" s="27"/>
      <c r="K121" s="27"/>
    </row>
    <row r="122" spans="1:11" ht="18">
      <c r="A122" s="218"/>
      <c r="B122" s="218"/>
      <c r="C122" s="27"/>
      <c r="D122" s="27"/>
      <c r="E122" s="27"/>
      <c r="F122" s="27"/>
      <c r="G122" s="27"/>
      <c r="H122" s="27"/>
      <c r="I122" s="27"/>
      <c r="J122" s="27"/>
      <c r="K122" s="27"/>
    </row>
    <row r="123" spans="1:11" ht="18">
      <c r="A123" s="218"/>
      <c r="B123" s="218"/>
      <c r="C123" s="27"/>
      <c r="D123" s="27"/>
      <c r="E123" s="27"/>
      <c r="F123" s="27"/>
      <c r="G123" s="27"/>
      <c r="H123" s="27"/>
      <c r="I123" s="27"/>
      <c r="J123" s="27"/>
      <c r="K123" s="27"/>
    </row>
    <row r="124" spans="1:11" ht="18">
      <c r="A124" s="218"/>
      <c r="B124" s="218"/>
      <c r="C124" s="27"/>
      <c r="D124" s="27"/>
      <c r="E124" s="27"/>
      <c r="F124" s="27"/>
      <c r="G124" s="27"/>
      <c r="H124" s="27"/>
      <c r="I124" s="27"/>
      <c r="J124" s="27"/>
      <c r="K124" s="27"/>
    </row>
    <row r="125" spans="1:11" ht="18">
      <c r="A125" s="218"/>
      <c r="B125" s="218"/>
      <c r="C125" s="27"/>
      <c r="D125" s="27"/>
      <c r="E125" s="27"/>
      <c r="F125" s="27"/>
      <c r="G125" s="27"/>
      <c r="H125" s="27"/>
      <c r="I125" s="27"/>
      <c r="J125" s="27"/>
      <c r="K125" s="27"/>
    </row>
    <row r="126" spans="1:11" ht="18">
      <c r="A126" s="218"/>
      <c r="B126" s="218"/>
      <c r="C126" s="27"/>
      <c r="D126" s="27"/>
      <c r="E126" s="27"/>
      <c r="F126" s="27"/>
      <c r="G126" s="27"/>
      <c r="H126" s="27"/>
      <c r="I126" s="27"/>
      <c r="J126" s="27"/>
      <c r="K126" s="27"/>
    </row>
    <row r="127" spans="1:11" ht="18">
      <c r="A127" s="218"/>
      <c r="B127" s="218"/>
      <c r="C127" s="27"/>
      <c r="D127" s="27"/>
      <c r="E127" s="27"/>
      <c r="F127" s="27"/>
      <c r="G127" s="27"/>
      <c r="H127" s="27"/>
      <c r="I127" s="27"/>
      <c r="J127" s="27"/>
      <c r="K127" s="27"/>
    </row>
    <row r="128" spans="1:11" ht="18">
      <c r="A128" s="218"/>
      <c r="B128" s="218"/>
      <c r="C128" s="27"/>
      <c r="D128" s="27"/>
      <c r="E128" s="27"/>
      <c r="F128" s="27"/>
      <c r="G128" s="27"/>
      <c r="H128" s="27"/>
      <c r="I128" s="27"/>
      <c r="J128" s="27"/>
      <c r="K128" s="27"/>
    </row>
    <row r="129" spans="1:11" ht="18">
      <c r="A129" s="218"/>
      <c r="B129" s="218"/>
      <c r="C129" s="27"/>
      <c r="D129" s="27"/>
      <c r="E129" s="27"/>
      <c r="F129" s="27"/>
      <c r="G129" s="27"/>
      <c r="H129" s="27"/>
      <c r="I129" s="27"/>
      <c r="J129" s="27"/>
      <c r="K129" s="27"/>
    </row>
    <row r="130" spans="1:11" ht="18">
      <c r="A130" s="218"/>
      <c r="B130" s="218"/>
      <c r="C130" s="27"/>
      <c r="D130" s="27"/>
      <c r="E130" s="27"/>
      <c r="F130" s="27"/>
      <c r="G130" s="27"/>
      <c r="H130" s="27"/>
      <c r="I130" s="27"/>
      <c r="J130" s="27"/>
      <c r="K130" s="27"/>
    </row>
    <row r="131" spans="1:11" ht="18">
      <c r="A131" s="218"/>
      <c r="B131" s="218"/>
      <c r="C131" s="27"/>
      <c r="D131" s="27"/>
      <c r="E131" s="27"/>
      <c r="F131" s="27"/>
      <c r="G131" s="27"/>
      <c r="H131" s="27"/>
      <c r="I131" s="27"/>
      <c r="J131" s="27"/>
      <c r="K131" s="27"/>
    </row>
    <row r="132" spans="1:11" ht="18">
      <c r="A132" s="218"/>
      <c r="B132" s="218"/>
      <c r="C132" s="27"/>
      <c r="D132" s="27"/>
      <c r="E132" s="27"/>
      <c r="F132" s="27"/>
      <c r="G132" s="27"/>
      <c r="H132" s="27"/>
      <c r="I132" s="27"/>
      <c r="J132" s="27"/>
      <c r="K132" s="27"/>
    </row>
    <row r="133" spans="1:11" ht="18">
      <c r="A133" s="218"/>
      <c r="B133" s="218"/>
      <c r="C133" s="27"/>
      <c r="D133" s="27"/>
      <c r="E133" s="27"/>
      <c r="F133" s="27"/>
      <c r="G133" s="27"/>
      <c r="H133" s="27"/>
      <c r="I133" s="27"/>
      <c r="J133" s="27"/>
      <c r="K133" s="27"/>
    </row>
    <row r="134" spans="1:11" ht="18">
      <c r="A134" s="218"/>
      <c r="B134" s="218"/>
      <c r="C134" s="27"/>
      <c r="D134" s="27"/>
      <c r="E134" s="27"/>
      <c r="F134" s="27"/>
      <c r="G134" s="27"/>
      <c r="H134" s="27"/>
      <c r="I134" s="27"/>
      <c r="J134" s="27"/>
      <c r="K134" s="27"/>
    </row>
    <row r="135" spans="1:11" ht="18">
      <c r="A135" s="218"/>
      <c r="B135" s="218"/>
      <c r="C135" s="27"/>
      <c r="D135" s="27"/>
      <c r="E135" s="27"/>
      <c r="F135" s="27"/>
      <c r="G135" s="27"/>
      <c r="H135" s="27"/>
      <c r="I135" s="27"/>
      <c r="J135" s="27"/>
      <c r="K135" s="27"/>
    </row>
    <row r="136" spans="1:11" ht="18">
      <c r="A136" s="218"/>
      <c r="B136" s="218"/>
      <c r="C136" s="27"/>
      <c r="D136" s="27"/>
      <c r="E136" s="27"/>
      <c r="F136" s="27"/>
      <c r="G136" s="27"/>
      <c r="H136" s="27"/>
      <c r="I136" s="27"/>
      <c r="J136" s="27"/>
      <c r="K136" s="27"/>
    </row>
    <row r="137" spans="1:11" ht="18">
      <c r="A137" s="218"/>
      <c r="B137" s="218"/>
      <c r="C137" s="27"/>
      <c r="D137" s="27"/>
      <c r="E137" s="27"/>
      <c r="F137" s="27"/>
      <c r="G137" s="27"/>
      <c r="H137" s="27"/>
      <c r="I137" s="27"/>
      <c r="J137" s="27"/>
      <c r="K137" s="27"/>
    </row>
    <row r="138" spans="1:11" ht="18">
      <c r="A138" s="218"/>
      <c r="B138" s="218"/>
      <c r="C138" s="27"/>
      <c r="D138" s="27"/>
      <c r="E138" s="27"/>
      <c r="F138" s="27"/>
      <c r="G138" s="27"/>
      <c r="H138" s="27"/>
      <c r="I138" s="27"/>
      <c r="J138" s="27"/>
      <c r="K138" s="27"/>
    </row>
    <row r="139" spans="1:11" ht="18">
      <c r="A139" s="218"/>
      <c r="B139" s="218"/>
      <c r="C139" s="27"/>
      <c r="D139" s="27"/>
      <c r="E139" s="27"/>
      <c r="F139" s="27"/>
      <c r="G139" s="27"/>
      <c r="H139" s="27"/>
      <c r="I139" s="27"/>
      <c r="J139" s="27"/>
      <c r="K139" s="27"/>
    </row>
    <row r="140" spans="1:11" ht="18">
      <c r="A140" s="218"/>
      <c r="B140" s="218"/>
      <c r="C140" s="27"/>
      <c r="D140" s="27"/>
      <c r="E140" s="27"/>
      <c r="F140" s="27"/>
      <c r="G140" s="27"/>
      <c r="H140" s="27"/>
      <c r="I140" s="27"/>
      <c r="J140" s="27"/>
      <c r="K140" s="27"/>
    </row>
    <row r="141" spans="1:11" ht="18">
      <c r="A141" s="218"/>
      <c r="B141" s="218"/>
      <c r="C141" s="27"/>
      <c r="D141" s="27"/>
      <c r="E141" s="27"/>
      <c r="F141" s="27"/>
      <c r="G141" s="27"/>
      <c r="H141" s="27"/>
      <c r="I141" s="27"/>
      <c r="J141" s="27"/>
      <c r="K141" s="27"/>
    </row>
    <row r="142" spans="1:11" ht="18">
      <c r="A142" s="218"/>
      <c r="B142" s="218"/>
      <c r="C142" s="27"/>
      <c r="D142" s="27"/>
      <c r="E142" s="27"/>
      <c r="F142" s="27"/>
      <c r="G142" s="27"/>
      <c r="H142" s="27"/>
      <c r="I142" s="27"/>
      <c r="J142" s="27"/>
      <c r="K142" s="27"/>
    </row>
    <row r="143" spans="1:11" ht="18">
      <c r="A143" s="218"/>
      <c r="B143" s="218"/>
      <c r="C143" s="27"/>
      <c r="D143" s="27"/>
      <c r="E143" s="27"/>
      <c r="F143" s="27"/>
      <c r="G143" s="27"/>
      <c r="H143" s="27"/>
      <c r="I143" s="27"/>
      <c r="J143" s="27"/>
      <c r="K143" s="27"/>
    </row>
    <row r="144" spans="1:11" ht="18">
      <c r="A144" s="218"/>
      <c r="B144" s="218"/>
      <c r="C144" s="27"/>
      <c r="D144" s="27"/>
      <c r="E144" s="27"/>
      <c r="F144" s="27"/>
      <c r="G144" s="27"/>
      <c r="H144" s="27"/>
      <c r="I144" s="27"/>
      <c r="J144" s="27"/>
      <c r="K144" s="27"/>
    </row>
    <row r="145" spans="1:11" ht="18">
      <c r="A145" s="218"/>
      <c r="B145" s="218"/>
      <c r="C145" s="27"/>
      <c r="D145" s="27"/>
      <c r="E145" s="27"/>
      <c r="F145" s="27"/>
      <c r="G145" s="27"/>
      <c r="H145" s="27"/>
      <c r="I145" s="27"/>
      <c r="J145" s="27"/>
      <c r="K145" s="27"/>
    </row>
    <row r="146" spans="1:11" ht="18">
      <c r="A146" s="218"/>
      <c r="B146" s="218"/>
      <c r="C146" s="27"/>
      <c r="D146" s="27"/>
      <c r="E146" s="27"/>
      <c r="F146" s="27"/>
      <c r="G146" s="27"/>
      <c r="H146" s="27"/>
      <c r="I146" s="27"/>
      <c r="J146" s="27"/>
      <c r="K146" s="27"/>
    </row>
    <row r="147" spans="1:11" ht="18">
      <c r="A147" s="218"/>
      <c r="B147" s="218"/>
      <c r="C147" s="27"/>
      <c r="D147" s="27"/>
      <c r="E147" s="27"/>
      <c r="F147" s="27"/>
      <c r="G147" s="27"/>
      <c r="H147" s="27"/>
      <c r="I147" s="27"/>
      <c r="J147" s="27"/>
      <c r="K147" s="27"/>
    </row>
    <row r="148" spans="1:11" ht="18">
      <c r="A148" s="218"/>
      <c r="B148" s="218"/>
      <c r="C148" s="27"/>
      <c r="D148" s="27"/>
      <c r="E148" s="27"/>
      <c r="F148" s="27"/>
      <c r="G148" s="27"/>
      <c r="H148" s="27"/>
      <c r="I148" s="27"/>
      <c r="J148" s="27"/>
      <c r="K148" s="27"/>
    </row>
    <row r="149" spans="1:11" ht="18">
      <c r="A149" s="218"/>
      <c r="B149" s="218"/>
      <c r="C149" s="27"/>
      <c r="D149" s="27"/>
      <c r="E149" s="27"/>
      <c r="F149" s="27"/>
      <c r="G149" s="27"/>
      <c r="H149" s="27"/>
      <c r="I149" s="27"/>
      <c r="J149" s="27"/>
      <c r="K149" s="27"/>
    </row>
    <row r="150" spans="1:11" ht="18">
      <c r="A150" s="218"/>
      <c r="B150" s="218"/>
      <c r="C150" s="27"/>
      <c r="D150" s="27"/>
      <c r="E150" s="27"/>
      <c r="F150" s="27"/>
      <c r="G150" s="27"/>
      <c r="H150" s="27"/>
      <c r="I150" s="27"/>
      <c r="J150" s="27"/>
      <c r="K150" s="27"/>
    </row>
    <row r="151" spans="1:11" ht="18">
      <c r="A151" s="218"/>
      <c r="B151" s="218"/>
      <c r="C151" s="27"/>
      <c r="D151" s="27"/>
      <c r="E151" s="27"/>
      <c r="F151" s="27"/>
      <c r="G151" s="27"/>
      <c r="H151" s="27"/>
      <c r="I151" s="27"/>
      <c r="J151" s="27"/>
      <c r="K151" s="27"/>
    </row>
    <row r="152" spans="1:11" ht="18">
      <c r="A152" s="218"/>
      <c r="B152" s="218"/>
      <c r="C152" s="27"/>
      <c r="D152" s="27"/>
      <c r="E152" s="27"/>
      <c r="F152" s="27"/>
      <c r="G152" s="27"/>
      <c r="H152" s="27"/>
      <c r="I152" s="27"/>
      <c r="J152" s="27"/>
      <c r="K152" s="27"/>
    </row>
    <row r="153" spans="1:11" ht="18">
      <c r="A153" s="218"/>
      <c r="B153" s="218"/>
      <c r="C153" s="27"/>
      <c r="D153" s="27"/>
      <c r="E153" s="27"/>
      <c r="F153" s="27"/>
      <c r="G153" s="27"/>
      <c r="H153" s="27"/>
      <c r="I153" s="27"/>
      <c r="J153" s="27"/>
      <c r="K153" s="27"/>
    </row>
    <row r="154" spans="1:11" ht="18">
      <c r="A154" s="218"/>
      <c r="B154" s="218"/>
      <c r="C154" s="27"/>
      <c r="D154" s="27"/>
      <c r="E154" s="27"/>
      <c r="F154" s="27"/>
      <c r="G154" s="27"/>
      <c r="H154" s="27"/>
      <c r="I154" s="27"/>
      <c r="J154" s="27"/>
      <c r="K154" s="27"/>
    </row>
    <row r="155" spans="1:11" ht="18">
      <c r="A155" s="218"/>
      <c r="B155" s="218"/>
      <c r="C155" s="27"/>
      <c r="D155" s="27"/>
      <c r="E155" s="27"/>
      <c r="F155" s="27"/>
      <c r="G155" s="27"/>
      <c r="H155" s="27"/>
      <c r="I155" s="27"/>
      <c r="J155" s="27"/>
      <c r="K155" s="27"/>
    </row>
    <row r="156" spans="1:11" ht="18">
      <c r="A156" s="218"/>
      <c r="B156" s="218"/>
      <c r="C156" s="27"/>
      <c r="D156" s="27"/>
      <c r="E156" s="27"/>
      <c r="F156" s="27"/>
      <c r="G156" s="27"/>
      <c r="H156" s="27"/>
      <c r="I156" s="27"/>
      <c r="J156" s="27"/>
      <c r="K156" s="27"/>
    </row>
    <row r="157" spans="1:11" ht="18">
      <c r="A157" s="218"/>
      <c r="B157" s="218"/>
      <c r="C157" s="27"/>
      <c r="D157" s="27"/>
      <c r="E157" s="27"/>
      <c r="F157" s="27"/>
      <c r="G157" s="27"/>
      <c r="H157" s="27"/>
      <c r="I157" s="27"/>
      <c r="J157" s="27"/>
      <c r="K157" s="27"/>
    </row>
    <row r="158" spans="1:11" ht="18">
      <c r="A158" s="218"/>
      <c r="B158" s="218"/>
      <c r="C158" s="27"/>
      <c r="D158" s="27"/>
      <c r="E158" s="27"/>
      <c r="F158" s="27"/>
      <c r="G158" s="27"/>
      <c r="H158" s="27"/>
      <c r="I158" s="27"/>
      <c r="J158" s="27"/>
      <c r="K158" s="27"/>
    </row>
    <row r="159" spans="1:11" ht="18">
      <c r="A159" s="218"/>
      <c r="B159" s="218"/>
      <c r="C159" s="27"/>
      <c r="D159" s="27"/>
      <c r="E159" s="27"/>
      <c r="F159" s="27"/>
      <c r="G159" s="27"/>
      <c r="H159" s="27"/>
      <c r="I159" s="27"/>
      <c r="J159" s="27"/>
      <c r="K159" s="27"/>
    </row>
    <row r="160" spans="1:11" ht="18">
      <c r="A160" s="218"/>
      <c r="B160" s="218"/>
      <c r="C160" s="27"/>
      <c r="D160" s="27"/>
      <c r="E160" s="27"/>
      <c r="F160" s="27"/>
      <c r="G160" s="27"/>
      <c r="H160" s="27"/>
      <c r="I160" s="27"/>
      <c r="J160" s="27"/>
      <c r="K160" s="27"/>
    </row>
    <row r="161" spans="1:11" ht="18">
      <c r="A161" s="218"/>
      <c r="B161" s="218"/>
      <c r="C161" s="27"/>
      <c r="D161" s="27"/>
      <c r="E161" s="27"/>
      <c r="F161" s="27"/>
      <c r="G161" s="27"/>
      <c r="H161" s="27"/>
      <c r="I161" s="27"/>
      <c r="J161" s="27"/>
      <c r="K161" s="27"/>
    </row>
    <row r="162" spans="1:11" ht="18">
      <c r="A162" s="218"/>
      <c r="B162" s="218"/>
      <c r="C162" s="27"/>
      <c r="D162" s="27"/>
      <c r="E162" s="27"/>
      <c r="F162" s="27"/>
      <c r="G162" s="27"/>
      <c r="H162" s="27"/>
      <c r="I162" s="27"/>
      <c r="J162" s="27"/>
      <c r="K162" s="27"/>
    </row>
    <row r="163" spans="1:11" ht="18">
      <c r="A163" s="218"/>
      <c r="B163" s="218"/>
      <c r="C163" s="27"/>
      <c r="D163" s="27"/>
      <c r="E163" s="27"/>
      <c r="F163" s="27"/>
      <c r="G163" s="27"/>
      <c r="H163" s="27"/>
      <c r="I163" s="27"/>
      <c r="J163" s="27"/>
      <c r="K163" s="27"/>
    </row>
    <row r="164" spans="1:11" ht="18">
      <c r="A164" s="218"/>
      <c r="B164" s="218"/>
      <c r="C164" s="27"/>
      <c r="D164" s="27"/>
      <c r="E164" s="27"/>
      <c r="F164" s="27"/>
      <c r="G164" s="27"/>
      <c r="H164" s="27"/>
      <c r="I164" s="27"/>
      <c r="J164" s="27"/>
      <c r="K164" s="27"/>
    </row>
    <row r="165" spans="1:11" ht="18">
      <c r="A165" s="218"/>
      <c r="B165" s="218"/>
      <c r="C165" s="27"/>
      <c r="D165" s="27"/>
      <c r="E165" s="27"/>
      <c r="F165" s="27"/>
      <c r="G165" s="27"/>
      <c r="H165" s="27"/>
      <c r="I165" s="27"/>
      <c r="J165" s="27"/>
      <c r="K165" s="27"/>
    </row>
    <row r="166" spans="1:11" ht="18">
      <c r="A166" s="218"/>
      <c r="B166" s="218"/>
      <c r="C166" s="27"/>
      <c r="D166" s="27"/>
      <c r="E166" s="27"/>
      <c r="F166" s="27"/>
      <c r="G166" s="27"/>
      <c r="H166" s="27"/>
      <c r="I166" s="27"/>
      <c r="J166" s="27"/>
      <c r="K166" s="27"/>
    </row>
    <row r="167" spans="1:11" ht="18">
      <c r="A167" s="218"/>
      <c r="B167" s="218"/>
      <c r="C167" s="27"/>
      <c r="D167" s="27"/>
      <c r="E167" s="27"/>
      <c r="F167" s="27"/>
      <c r="G167" s="27"/>
      <c r="H167" s="27"/>
      <c r="I167" s="27"/>
      <c r="J167" s="27"/>
      <c r="K167" s="27"/>
    </row>
    <row r="168" spans="1:11" ht="18">
      <c r="A168" s="218"/>
      <c r="B168" s="218"/>
      <c r="C168" s="27"/>
      <c r="D168" s="27"/>
      <c r="E168" s="27"/>
      <c r="F168" s="27"/>
      <c r="G168" s="27"/>
      <c r="H168" s="27"/>
      <c r="I168" s="27"/>
      <c r="J168" s="27"/>
      <c r="K168" s="27"/>
    </row>
    <row r="169" spans="1:11" ht="18">
      <c r="A169" s="218"/>
      <c r="B169" s="218"/>
      <c r="C169" s="27"/>
      <c r="D169" s="27"/>
      <c r="E169" s="27"/>
      <c r="F169" s="27"/>
      <c r="G169" s="27"/>
      <c r="H169" s="27"/>
      <c r="I169" s="27"/>
      <c r="J169" s="27"/>
      <c r="K169" s="27"/>
    </row>
    <row r="170" spans="1:11" ht="18">
      <c r="A170" s="218"/>
      <c r="B170" s="218"/>
      <c r="C170" s="27"/>
      <c r="D170" s="27"/>
      <c r="E170" s="27"/>
      <c r="F170" s="27"/>
      <c r="G170" s="27"/>
      <c r="H170" s="27"/>
      <c r="I170" s="27"/>
      <c r="J170" s="27"/>
      <c r="K170" s="27"/>
    </row>
    <row r="171" spans="1:11" ht="18">
      <c r="A171" s="218"/>
      <c r="B171" s="218"/>
      <c r="C171" s="27"/>
      <c r="D171" s="27"/>
      <c r="E171" s="27"/>
      <c r="F171" s="27"/>
      <c r="G171" s="27"/>
      <c r="H171" s="27"/>
      <c r="I171" s="27"/>
      <c r="J171" s="27"/>
      <c r="K171" s="27"/>
    </row>
    <row r="172" spans="1:11" ht="18">
      <c r="A172" s="218"/>
      <c r="B172" s="218"/>
      <c r="C172" s="27"/>
      <c r="D172" s="27"/>
      <c r="E172" s="27"/>
      <c r="F172" s="27"/>
      <c r="G172" s="27"/>
      <c r="H172" s="27"/>
      <c r="I172" s="27"/>
      <c r="J172" s="27"/>
      <c r="K172" s="27"/>
    </row>
    <row r="173" spans="1:11" ht="18">
      <c r="A173" s="218"/>
      <c r="B173" s="218"/>
      <c r="C173" s="27"/>
      <c r="D173" s="27"/>
      <c r="E173" s="27"/>
      <c r="F173" s="27"/>
      <c r="G173" s="27"/>
      <c r="H173" s="27"/>
      <c r="I173" s="27"/>
      <c r="J173" s="27"/>
      <c r="K173" s="27"/>
    </row>
    <row r="174" spans="1:11" ht="18">
      <c r="A174" s="218"/>
      <c r="B174" s="218"/>
      <c r="C174" s="27"/>
      <c r="D174" s="27"/>
      <c r="E174" s="27"/>
      <c r="F174" s="27"/>
      <c r="G174" s="27"/>
      <c r="H174" s="27"/>
      <c r="I174" s="27"/>
      <c r="J174" s="27"/>
      <c r="K174" s="27"/>
    </row>
    <row r="175" spans="1:11" ht="18">
      <c r="A175" s="218"/>
      <c r="B175" s="218"/>
      <c r="C175" s="27"/>
      <c r="D175" s="27"/>
      <c r="E175" s="27"/>
      <c r="F175" s="27"/>
      <c r="G175" s="27"/>
      <c r="H175" s="27"/>
      <c r="I175" s="27"/>
      <c r="J175" s="27"/>
      <c r="K175" s="27"/>
    </row>
    <row r="176" spans="1:11" ht="18">
      <c r="A176" s="218"/>
      <c r="B176" s="218"/>
      <c r="C176" s="27"/>
      <c r="D176" s="27"/>
      <c r="E176" s="27"/>
      <c r="F176" s="27"/>
      <c r="G176" s="27"/>
      <c r="H176" s="27"/>
      <c r="I176" s="27"/>
      <c r="J176" s="27"/>
      <c r="K176" s="27"/>
    </row>
    <row r="177" spans="1:11" ht="18">
      <c r="A177" s="218"/>
      <c r="B177" s="218"/>
      <c r="C177" s="27"/>
      <c r="D177" s="27"/>
      <c r="E177" s="27"/>
      <c r="F177" s="27"/>
      <c r="G177" s="27"/>
      <c r="H177" s="27"/>
      <c r="I177" s="27"/>
      <c r="J177" s="27"/>
      <c r="K177" s="27"/>
    </row>
    <row r="178" spans="1:11" ht="18">
      <c r="A178" s="218"/>
      <c r="B178" s="218"/>
      <c r="C178" s="27"/>
      <c r="D178" s="27"/>
      <c r="E178" s="27"/>
      <c r="F178" s="27"/>
      <c r="G178" s="27"/>
      <c r="H178" s="27"/>
      <c r="I178" s="27"/>
      <c r="J178" s="27"/>
      <c r="K178" s="27"/>
    </row>
    <row r="179" spans="1:11" ht="18">
      <c r="A179" s="218"/>
      <c r="B179" s="218"/>
      <c r="C179" s="27"/>
      <c r="D179" s="27"/>
      <c r="E179" s="27"/>
      <c r="F179" s="27"/>
      <c r="G179" s="27"/>
      <c r="H179" s="27"/>
      <c r="I179" s="27"/>
      <c r="J179" s="27"/>
      <c r="K179" s="27"/>
    </row>
    <row r="180" spans="1:11" ht="18">
      <c r="A180" s="218"/>
      <c r="B180" s="218"/>
      <c r="C180" s="27"/>
      <c r="D180" s="27"/>
      <c r="E180" s="27"/>
      <c r="F180" s="27"/>
      <c r="G180" s="27"/>
      <c r="H180" s="27"/>
      <c r="I180" s="27"/>
      <c r="J180" s="27"/>
      <c r="K180" s="27"/>
    </row>
    <row r="181" spans="1:11" ht="18">
      <c r="A181" s="218"/>
      <c r="B181" s="218"/>
      <c r="C181" s="27"/>
      <c r="D181" s="27"/>
      <c r="E181" s="27"/>
      <c r="F181" s="27"/>
      <c r="G181" s="27"/>
      <c r="H181" s="27"/>
      <c r="I181" s="27"/>
      <c r="J181" s="27"/>
      <c r="K181" s="27"/>
    </row>
    <row r="182" spans="1:11" ht="18">
      <c r="A182" s="218"/>
      <c r="B182" s="218"/>
      <c r="C182" s="27"/>
      <c r="D182" s="27"/>
      <c r="E182" s="27"/>
      <c r="F182" s="27"/>
      <c r="G182" s="27"/>
      <c r="H182" s="27"/>
      <c r="I182" s="27"/>
      <c r="J182" s="27"/>
      <c r="K182" s="27"/>
    </row>
    <row r="183" spans="1:11" ht="18">
      <c r="A183" s="218"/>
      <c r="B183" s="218"/>
      <c r="C183" s="27"/>
      <c r="D183" s="27"/>
      <c r="E183" s="27"/>
      <c r="F183" s="27"/>
      <c r="G183" s="27"/>
      <c r="H183" s="27"/>
      <c r="I183" s="27"/>
      <c r="J183" s="27"/>
      <c r="K183" s="27"/>
    </row>
    <row r="184" spans="1:11" ht="18">
      <c r="A184" s="218"/>
      <c r="B184" s="218"/>
      <c r="C184" s="27"/>
      <c r="D184" s="27"/>
      <c r="E184" s="27"/>
      <c r="F184" s="27"/>
      <c r="G184" s="27"/>
      <c r="H184" s="27"/>
      <c r="I184" s="27"/>
      <c r="J184" s="27"/>
      <c r="K184" s="27"/>
    </row>
    <row r="185" spans="1:11" ht="18">
      <c r="A185" s="218"/>
      <c r="B185" s="218"/>
      <c r="C185" s="27"/>
      <c r="D185" s="27"/>
      <c r="E185" s="27"/>
      <c r="F185" s="27"/>
      <c r="G185" s="27"/>
      <c r="H185" s="27"/>
      <c r="I185" s="27"/>
      <c r="J185" s="27"/>
      <c r="K185" s="27"/>
    </row>
    <row r="186" spans="1:11" ht="18">
      <c r="A186" s="218"/>
      <c r="B186" s="218"/>
      <c r="C186" s="27"/>
      <c r="D186" s="27"/>
      <c r="E186" s="27"/>
      <c r="F186" s="27"/>
      <c r="G186" s="27"/>
      <c r="H186" s="27"/>
      <c r="I186" s="27"/>
      <c r="J186" s="27"/>
      <c r="K186" s="27"/>
    </row>
    <row r="187" spans="1:11" ht="18">
      <c r="A187" s="218"/>
      <c r="B187" s="218"/>
      <c r="C187" s="27"/>
      <c r="D187" s="27"/>
      <c r="E187" s="27"/>
      <c r="F187" s="27"/>
      <c r="G187" s="27"/>
      <c r="H187" s="27"/>
      <c r="I187" s="27"/>
      <c r="J187" s="27"/>
      <c r="K187" s="27"/>
    </row>
    <row r="188" spans="1:11" ht="18">
      <c r="A188" s="218"/>
      <c r="B188" s="218"/>
      <c r="C188" s="27"/>
      <c r="D188" s="27"/>
      <c r="E188" s="27"/>
      <c r="F188" s="27"/>
      <c r="G188" s="27"/>
      <c r="H188" s="27"/>
      <c r="I188" s="27"/>
      <c r="J188" s="27"/>
      <c r="K188" s="27"/>
    </row>
    <row r="189" spans="1:11" ht="18">
      <c r="A189" s="218"/>
      <c r="B189" s="218"/>
      <c r="C189" s="27"/>
      <c r="D189" s="27"/>
      <c r="E189" s="27"/>
      <c r="F189" s="27"/>
      <c r="G189" s="27"/>
      <c r="H189" s="27"/>
      <c r="I189" s="27"/>
      <c r="J189" s="27"/>
      <c r="K189" s="27"/>
    </row>
    <row r="190" spans="1:11" ht="18">
      <c r="A190" s="218"/>
      <c r="B190" s="218"/>
      <c r="C190" s="27"/>
      <c r="D190" s="27"/>
      <c r="E190" s="27"/>
      <c r="F190" s="27"/>
      <c r="G190" s="27"/>
      <c r="H190" s="27"/>
      <c r="I190" s="27"/>
      <c r="J190" s="27"/>
      <c r="K190" s="27"/>
    </row>
    <row r="191" spans="1:11" ht="18">
      <c r="A191" s="218"/>
      <c r="B191" s="218"/>
      <c r="C191" s="27"/>
      <c r="D191" s="27"/>
      <c r="E191" s="27"/>
      <c r="F191" s="27"/>
      <c r="G191" s="27"/>
      <c r="H191" s="27"/>
      <c r="I191" s="27"/>
      <c r="J191" s="27"/>
      <c r="K191" s="27"/>
    </row>
    <row r="192" spans="1:11" ht="18">
      <c r="A192" s="218"/>
      <c r="B192" s="218"/>
      <c r="C192" s="27"/>
      <c r="D192" s="27"/>
      <c r="E192" s="27"/>
      <c r="F192" s="27"/>
      <c r="G192" s="27"/>
      <c r="H192" s="27"/>
      <c r="I192" s="27"/>
      <c r="J192" s="27"/>
      <c r="K192" s="27"/>
    </row>
    <row r="193" spans="1:11" ht="18">
      <c r="A193" s="218"/>
      <c r="B193" s="218"/>
      <c r="C193" s="27"/>
      <c r="D193" s="27"/>
      <c r="E193" s="27"/>
      <c r="F193" s="27"/>
      <c r="G193" s="27"/>
      <c r="H193" s="27"/>
      <c r="I193" s="27"/>
      <c r="J193" s="27"/>
      <c r="K193" s="27"/>
    </row>
    <row r="194" spans="1:11" ht="18">
      <c r="A194" s="218"/>
      <c r="B194" s="218"/>
      <c r="C194" s="27"/>
      <c r="D194" s="27"/>
      <c r="E194" s="27"/>
      <c r="F194" s="27"/>
      <c r="G194" s="27"/>
      <c r="H194" s="27"/>
      <c r="I194" s="27"/>
      <c r="J194" s="27"/>
      <c r="K194" s="27"/>
    </row>
    <row r="195" spans="1:11" ht="18">
      <c r="A195" s="218"/>
      <c r="B195" s="218"/>
      <c r="C195" s="27"/>
      <c r="D195" s="27"/>
      <c r="E195" s="27"/>
      <c r="F195" s="27"/>
      <c r="G195" s="27"/>
      <c r="H195" s="27"/>
      <c r="I195" s="27"/>
      <c r="J195" s="27"/>
      <c r="K195" s="27"/>
    </row>
    <row r="196" spans="1:11" ht="18">
      <c r="A196" s="218"/>
      <c r="B196" s="218"/>
      <c r="C196" s="27"/>
      <c r="D196" s="27"/>
      <c r="E196" s="27"/>
      <c r="F196" s="27"/>
      <c r="G196" s="27"/>
      <c r="H196" s="27"/>
      <c r="I196" s="27"/>
      <c r="J196" s="27"/>
      <c r="K196" s="27"/>
    </row>
    <row r="197" spans="1:11" ht="18">
      <c r="A197" s="218"/>
      <c r="B197" s="218"/>
      <c r="C197" s="27"/>
      <c r="D197" s="27"/>
      <c r="E197" s="27"/>
      <c r="F197" s="27"/>
      <c r="G197" s="27"/>
      <c r="H197" s="27"/>
      <c r="I197" s="27"/>
      <c r="J197" s="27"/>
      <c r="K197" s="27"/>
    </row>
    <row r="198" spans="1:11" ht="18">
      <c r="A198" s="218"/>
      <c r="B198" s="218"/>
      <c r="C198" s="27"/>
      <c r="D198" s="27"/>
      <c r="E198" s="27"/>
      <c r="F198" s="27"/>
      <c r="G198" s="27"/>
      <c r="H198" s="27"/>
      <c r="I198" s="27"/>
      <c r="J198" s="27"/>
      <c r="K198" s="27"/>
    </row>
    <row r="199" spans="1:11" ht="18">
      <c r="A199" s="218"/>
      <c r="B199" s="218"/>
      <c r="C199" s="27"/>
      <c r="D199" s="27"/>
      <c r="E199" s="27"/>
      <c r="F199" s="27"/>
      <c r="G199" s="27"/>
      <c r="H199" s="27"/>
      <c r="I199" s="27"/>
      <c r="J199" s="27"/>
      <c r="K199" s="27"/>
    </row>
    <row r="200" spans="1:11" ht="18">
      <c r="A200" s="218"/>
      <c r="B200" s="218"/>
      <c r="C200" s="27"/>
      <c r="D200" s="27"/>
      <c r="E200" s="27"/>
      <c r="F200" s="27"/>
      <c r="G200" s="27"/>
      <c r="H200" s="27"/>
      <c r="I200" s="27"/>
      <c r="J200" s="27"/>
      <c r="K200" s="27"/>
    </row>
    <row r="201" spans="1:11" ht="18">
      <c r="A201" s="218"/>
      <c r="B201" s="218"/>
      <c r="C201" s="27"/>
      <c r="D201" s="27"/>
      <c r="E201" s="27"/>
      <c r="F201" s="27"/>
      <c r="G201" s="27"/>
      <c r="H201" s="27"/>
      <c r="I201" s="27"/>
      <c r="J201" s="27"/>
      <c r="K201" s="27"/>
    </row>
    <row r="202" spans="1:11" ht="18">
      <c r="A202" s="218"/>
      <c r="B202" s="218"/>
      <c r="C202" s="27"/>
      <c r="D202" s="27"/>
      <c r="E202" s="27"/>
      <c r="F202" s="27"/>
      <c r="G202" s="27"/>
      <c r="H202" s="27"/>
      <c r="I202" s="27"/>
      <c r="J202" s="27"/>
      <c r="K202" s="27"/>
    </row>
    <row r="203" spans="1:11" ht="18">
      <c r="A203" s="218"/>
      <c r="B203" s="218"/>
      <c r="C203" s="27"/>
      <c r="D203" s="27"/>
      <c r="E203" s="27"/>
      <c r="F203" s="27"/>
      <c r="G203" s="27"/>
      <c r="H203" s="27"/>
      <c r="I203" s="27"/>
      <c r="J203" s="27"/>
      <c r="K203" s="27"/>
    </row>
    <row r="204" spans="1:11" ht="18">
      <c r="A204" s="218"/>
      <c r="B204" s="218"/>
      <c r="C204" s="27"/>
      <c r="D204" s="27"/>
      <c r="E204" s="27"/>
      <c r="F204" s="27"/>
      <c r="G204" s="27"/>
      <c r="H204" s="27"/>
      <c r="I204" s="27"/>
      <c r="J204" s="27"/>
      <c r="K204" s="27"/>
    </row>
    <row r="205" spans="1:11" ht="18">
      <c r="A205" s="218"/>
      <c r="B205" s="218"/>
      <c r="C205" s="27"/>
      <c r="D205" s="27"/>
      <c r="E205" s="27"/>
      <c r="F205" s="27"/>
      <c r="G205" s="27"/>
      <c r="H205" s="27"/>
      <c r="I205" s="27"/>
      <c r="J205" s="27"/>
      <c r="K205" s="27"/>
    </row>
    <row r="206" spans="1:11" ht="18">
      <c r="A206" s="218"/>
      <c r="B206" s="218"/>
      <c r="C206" s="27"/>
      <c r="D206" s="27"/>
      <c r="E206" s="27"/>
      <c r="F206" s="27"/>
      <c r="G206" s="27"/>
      <c r="H206" s="27"/>
      <c r="I206" s="27"/>
      <c r="J206" s="27"/>
      <c r="K206" s="27"/>
    </row>
    <row r="207" spans="1:11" ht="18">
      <c r="A207" s="218"/>
      <c r="B207" s="218"/>
      <c r="C207" s="27"/>
      <c r="D207" s="27"/>
      <c r="E207" s="27"/>
      <c r="F207" s="27"/>
      <c r="G207" s="27"/>
      <c r="H207" s="27"/>
      <c r="I207" s="27"/>
      <c r="J207" s="27"/>
      <c r="K207" s="27"/>
    </row>
    <row r="208" spans="1:11" ht="18">
      <c r="A208" s="218"/>
      <c r="B208" s="218"/>
      <c r="C208" s="27"/>
      <c r="D208" s="27"/>
      <c r="E208" s="27"/>
      <c r="F208" s="27"/>
      <c r="G208" s="27"/>
      <c r="H208" s="27"/>
      <c r="I208" s="27"/>
      <c r="J208" s="27"/>
      <c r="K208" s="27"/>
    </row>
    <row r="209" spans="1:11" ht="18">
      <c r="A209" s="218"/>
      <c r="B209" s="218"/>
      <c r="C209" s="27"/>
      <c r="D209" s="27"/>
      <c r="E209" s="27"/>
      <c r="F209" s="27"/>
      <c r="G209" s="27"/>
      <c r="H209" s="27"/>
      <c r="I209" s="27"/>
      <c r="J209" s="27"/>
      <c r="K209" s="27"/>
    </row>
    <row r="210" spans="1:11" ht="18">
      <c r="A210" s="218"/>
      <c r="B210" s="218"/>
      <c r="C210" s="27"/>
      <c r="D210" s="27"/>
      <c r="E210" s="27"/>
      <c r="F210" s="27"/>
      <c r="G210" s="27"/>
      <c r="H210" s="27"/>
      <c r="I210" s="27"/>
      <c r="J210" s="27"/>
      <c r="K210" s="27"/>
    </row>
    <row r="211" spans="1:11" ht="18">
      <c r="A211" s="218"/>
      <c r="B211" s="218"/>
      <c r="C211" s="27"/>
      <c r="D211" s="27"/>
      <c r="E211" s="27"/>
      <c r="F211" s="27"/>
      <c r="G211" s="27"/>
      <c r="H211" s="27"/>
      <c r="I211" s="27"/>
      <c r="J211" s="27"/>
      <c r="K211" s="27"/>
    </row>
    <row r="212" spans="1:11" ht="18">
      <c r="A212" s="218"/>
      <c r="B212" s="218"/>
      <c r="C212" s="27"/>
      <c r="D212" s="27"/>
      <c r="E212" s="27"/>
      <c r="F212" s="27"/>
      <c r="G212" s="27"/>
      <c r="H212" s="27"/>
      <c r="I212" s="27"/>
      <c r="J212" s="27"/>
      <c r="K212" s="27"/>
    </row>
    <row r="213" spans="1:11" ht="18">
      <c r="A213" s="218"/>
      <c r="B213" s="218"/>
      <c r="C213" s="27"/>
      <c r="D213" s="27"/>
      <c r="E213" s="27"/>
      <c r="F213" s="27"/>
      <c r="G213" s="27"/>
      <c r="H213" s="27"/>
      <c r="I213" s="27"/>
      <c r="J213" s="27"/>
      <c r="K213" s="27"/>
    </row>
    <row r="214" spans="1:11" ht="18">
      <c r="A214" s="218"/>
      <c r="B214" s="218"/>
      <c r="C214" s="27"/>
      <c r="D214" s="27"/>
      <c r="E214" s="27"/>
      <c r="F214" s="27"/>
      <c r="G214" s="27"/>
      <c r="H214" s="27"/>
      <c r="I214" s="27"/>
      <c r="J214" s="27"/>
      <c r="K214" s="27"/>
    </row>
    <row r="215" spans="1:11" ht="18">
      <c r="A215" s="218"/>
      <c r="B215" s="218"/>
      <c r="C215" s="27"/>
      <c r="D215" s="27"/>
      <c r="E215" s="27"/>
      <c r="F215" s="27"/>
      <c r="G215" s="27"/>
      <c r="H215" s="27"/>
      <c r="I215" s="27"/>
      <c r="J215" s="27"/>
      <c r="K215" s="27"/>
    </row>
    <row r="216" spans="1:11" ht="18">
      <c r="A216" s="218"/>
      <c r="B216" s="218"/>
      <c r="C216" s="27"/>
      <c r="D216" s="27"/>
      <c r="E216" s="27"/>
      <c r="F216" s="27"/>
      <c r="G216" s="27"/>
      <c r="H216" s="27"/>
      <c r="I216" s="27"/>
      <c r="J216" s="27"/>
      <c r="K216" s="27"/>
    </row>
    <row r="217" spans="1:11" ht="18">
      <c r="A217" s="218"/>
      <c r="B217" s="218"/>
      <c r="C217" s="27"/>
      <c r="D217" s="27"/>
      <c r="E217" s="27"/>
      <c r="F217" s="27"/>
      <c r="G217" s="27"/>
      <c r="H217" s="27"/>
      <c r="I217" s="27"/>
      <c r="J217" s="27"/>
      <c r="K217" s="27"/>
    </row>
    <row r="218" spans="1:11" ht="18">
      <c r="A218" s="218"/>
      <c r="B218" s="218"/>
      <c r="C218" s="27"/>
      <c r="D218" s="27"/>
      <c r="E218" s="27"/>
      <c r="F218" s="27"/>
      <c r="G218" s="27"/>
      <c r="H218" s="27"/>
      <c r="I218" s="27"/>
      <c r="J218" s="27"/>
      <c r="K218" s="27"/>
    </row>
    <row r="219" spans="1:11" ht="18">
      <c r="A219" s="218"/>
      <c r="B219" s="218"/>
      <c r="C219" s="27"/>
      <c r="D219" s="27"/>
      <c r="E219" s="27"/>
      <c r="F219" s="27"/>
      <c r="G219" s="27"/>
      <c r="H219" s="27"/>
      <c r="I219" s="27"/>
      <c r="J219" s="27"/>
      <c r="K219" s="27"/>
    </row>
    <row r="220" spans="1:11" ht="18">
      <c r="A220" s="218"/>
      <c r="B220" s="218"/>
      <c r="C220" s="27"/>
      <c r="D220" s="27"/>
      <c r="E220" s="27"/>
      <c r="F220" s="27"/>
      <c r="G220" s="27"/>
      <c r="H220" s="27"/>
      <c r="I220" s="27"/>
      <c r="J220" s="27"/>
      <c r="K220" s="27"/>
    </row>
    <row r="221" spans="1:11" ht="18">
      <c r="A221" s="218"/>
      <c r="B221" s="218"/>
      <c r="C221" s="27"/>
      <c r="D221" s="27"/>
      <c r="E221" s="27"/>
      <c r="F221" s="27"/>
      <c r="G221" s="27"/>
      <c r="H221" s="27"/>
      <c r="I221" s="27"/>
      <c r="J221" s="27"/>
      <c r="K221" s="27"/>
    </row>
    <row r="222" spans="1:11" ht="18">
      <c r="A222" s="218"/>
      <c r="B222" s="218"/>
      <c r="C222" s="27"/>
      <c r="D222" s="27"/>
      <c r="E222" s="27"/>
      <c r="F222" s="27"/>
      <c r="G222" s="27"/>
      <c r="H222" s="27"/>
      <c r="I222" s="27"/>
      <c r="J222" s="27"/>
      <c r="K222" s="27"/>
    </row>
    <row r="223" spans="1:11" ht="18">
      <c r="A223" s="218"/>
      <c r="B223" s="218"/>
      <c r="C223" s="27"/>
      <c r="D223" s="27"/>
      <c r="E223" s="27"/>
      <c r="F223" s="27"/>
      <c r="G223" s="27"/>
      <c r="H223" s="27"/>
      <c r="I223" s="27"/>
      <c r="J223" s="27"/>
      <c r="K223" s="27"/>
    </row>
    <row r="224" spans="1:11" ht="18">
      <c r="A224" s="218"/>
      <c r="B224" s="218"/>
      <c r="C224" s="27"/>
      <c r="D224" s="27"/>
      <c r="E224" s="27"/>
      <c r="F224" s="27"/>
      <c r="G224" s="27"/>
      <c r="H224" s="27"/>
      <c r="I224" s="27"/>
      <c r="J224" s="27"/>
      <c r="K224" s="27"/>
    </row>
    <row r="225" spans="1:11" ht="18">
      <c r="A225" s="218"/>
      <c r="B225" s="218"/>
      <c r="C225" s="27"/>
      <c r="D225" s="27"/>
      <c r="E225" s="27"/>
      <c r="F225" s="27"/>
      <c r="G225" s="27"/>
      <c r="H225" s="27"/>
      <c r="I225" s="27"/>
      <c r="J225" s="27"/>
      <c r="K225" s="27"/>
    </row>
    <row r="226" spans="1:11" ht="18">
      <c r="A226" s="218"/>
      <c r="B226" s="218"/>
      <c r="C226" s="27"/>
      <c r="D226" s="27"/>
      <c r="E226" s="27"/>
      <c r="F226" s="27"/>
      <c r="G226" s="27"/>
      <c r="H226" s="27"/>
      <c r="I226" s="27"/>
      <c r="J226" s="27"/>
      <c r="K226" s="27"/>
    </row>
    <row r="227" spans="1:11" ht="18">
      <c r="A227" s="218"/>
      <c r="B227" s="218"/>
      <c r="C227" s="27"/>
      <c r="D227" s="27"/>
      <c r="E227" s="27"/>
      <c r="F227" s="27"/>
      <c r="G227" s="27"/>
      <c r="H227" s="27"/>
      <c r="I227" s="27"/>
      <c r="J227" s="27"/>
      <c r="K227" s="27"/>
    </row>
    <row r="228" spans="1:11" ht="18">
      <c r="A228" s="218"/>
      <c r="B228" s="218"/>
      <c r="C228" s="27"/>
      <c r="D228" s="27"/>
      <c r="E228" s="27"/>
      <c r="F228" s="27"/>
      <c r="G228" s="27"/>
      <c r="H228" s="27"/>
      <c r="I228" s="27"/>
      <c r="J228" s="27"/>
      <c r="K228" s="27"/>
    </row>
    <row r="229" spans="1:11" ht="18">
      <c r="A229" s="218"/>
      <c r="B229" s="218"/>
      <c r="C229" s="27"/>
      <c r="D229" s="27"/>
      <c r="E229" s="27"/>
      <c r="F229" s="27"/>
      <c r="G229" s="27"/>
      <c r="H229" s="27"/>
      <c r="I229" s="27"/>
      <c r="J229" s="27"/>
      <c r="K229" s="27"/>
    </row>
    <row r="230" spans="1:11" ht="18">
      <c r="A230" s="218"/>
      <c r="B230" s="218"/>
      <c r="C230" s="27"/>
      <c r="D230" s="27"/>
      <c r="E230" s="27"/>
      <c r="F230" s="27"/>
      <c r="G230" s="27"/>
      <c r="H230" s="27"/>
      <c r="I230" s="27"/>
      <c r="J230" s="27"/>
      <c r="K230" s="27"/>
    </row>
    <row r="231" spans="1:11" ht="18">
      <c r="A231" s="218"/>
      <c r="B231" s="218"/>
      <c r="C231" s="27"/>
      <c r="D231" s="27"/>
      <c r="E231" s="27"/>
      <c r="F231" s="27"/>
      <c r="G231" s="27"/>
      <c r="H231" s="27"/>
      <c r="I231" s="27"/>
      <c r="J231" s="27"/>
      <c r="K231" s="27"/>
    </row>
    <row r="232" spans="1:11" ht="18">
      <c r="A232" s="218"/>
      <c r="B232" s="218"/>
      <c r="C232" s="27"/>
      <c r="D232" s="27"/>
      <c r="E232" s="27"/>
      <c r="F232" s="27"/>
      <c r="G232" s="27"/>
      <c r="H232" s="27"/>
      <c r="I232" s="27"/>
      <c r="J232" s="27"/>
      <c r="K232" s="27"/>
    </row>
    <row r="233" spans="1:11" ht="18">
      <c r="A233" s="218"/>
      <c r="B233" s="218"/>
      <c r="C233" s="27"/>
      <c r="D233" s="27"/>
      <c r="E233" s="27"/>
      <c r="F233" s="27"/>
      <c r="G233" s="27"/>
      <c r="H233" s="27"/>
      <c r="I233" s="27"/>
      <c r="J233" s="27"/>
      <c r="K233" s="27"/>
    </row>
    <row r="234" spans="1:11" ht="18">
      <c r="A234" s="218"/>
      <c r="B234" s="218"/>
      <c r="C234" s="27"/>
      <c r="D234" s="27"/>
      <c r="E234" s="27"/>
      <c r="F234" s="27"/>
      <c r="G234" s="27"/>
      <c r="H234" s="27"/>
      <c r="I234" s="27"/>
      <c r="J234" s="27"/>
      <c r="K234" s="27"/>
    </row>
    <row r="235" spans="1:11" ht="18">
      <c r="A235" s="218"/>
      <c r="B235" s="218"/>
      <c r="C235" s="27"/>
      <c r="D235" s="27"/>
      <c r="E235" s="27"/>
      <c r="F235" s="27"/>
      <c r="G235" s="27"/>
      <c r="H235" s="27"/>
      <c r="I235" s="27"/>
      <c r="J235" s="27"/>
      <c r="K235" s="27"/>
    </row>
    <row r="236" spans="1:11" ht="18">
      <c r="A236" s="218"/>
      <c r="B236" s="218"/>
      <c r="C236" s="27"/>
      <c r="D236" s="27"/>
      <c r="E236" s="27"/>
      <c r="F236" s="27"/>
      <c r="G236" s="27"/>
      <c r="H236" s="27"/>
      <c r="I236" s="27"/>
      <c r="J236" s="27"/>
      <c r="K236" s="27"/>
    </row>
    <row r="237" spans="1:11" ht="18">
      <c r="A237" s="218"/>
      <c r="B237" s="218"/>
      <c r="C237" s="27"/>
      <c r="D237" s="27"/>
      <c r="E237" s="27"/>
      <c r="F237" s="27"/>
      <c r="G237" s="27"/>
      <c r="H237" s="27"/>
      <c r="I237" s="27"/>
      <c r="J237" s="27"/>
      <c r="K237" s="27"/>
    </row>
    <row r="238" spans="1:11" ht="18">
      <c r="A238" s="218"/>
      <c r="B238" s="218"/>
      <c r="C238" s="27"/>
      <c r="D238" s="27"/>
      <c r="E238" s="27"/>
      <c r="F238" s="27"/>
      <c r="G238" s="27"/>
      <c r="H238" s="27"/>
      <c r="I238" s="27"/>
      <c r="J238" s="27"/>
      <c r="K238" s="27"/>
    </row>
    <row r="239" spans="1:11" ht="18">
      <c r="A239" s="218"/>
      <c r="B239" s="218"/>
      <c r="C239" s="27"/>
      <c r="D239" s="27"/>
      <c r="E239" s="27"/>
      <c r="F239" s="27"/>
      <c r="G239" s="27"/>
      <c r="H239" s="27"/>
      <c r="I239" s="27"/>
      <c r="J239" s="27"/>
      <c r="K239" s="27"/>
    </row>
    <row r="240" spans="1:11" ht="18">
      <c r="A240" s="218"/>
      <c r="B240" s="218"/>
      <c r="C240" s="27"/>
      <c r="D240" s="27"/>
      <c r="E240" s="27"/>
      <c r="F240" s="27"/>
      <c r="G240" s="27"/>
      <c r="H240" s="27"/>
      <c r="I240" s="27"/>
      <c r="J240" s="27"/>
      <c r="K240" s="27"/>
    </row>
    <row r="241" spans="1:11" ht="18">
      <c r="A241" s="218"/>
      <c r="B241" s="218"/>
      <c r="C241" s="27"/>
      <c r="D241" s="27"/>
      <c r="E241" s="27"/>
      <c r="F241" s="27"/>
      <c r="G241" s="27"/>
      <c r="H241" s="27"/>
      <c r="I241" s="27"/>
      <c r="J241" s="27"/>
      <c r="K241" s="27"/>
    </row>
    <row r="242" spans="1:11" ht="18">
      <c r="A242" s="218"/>
      <c r="B242" s="218"/>
      <c r="C242" s="27"/>
      <c r="D242" s="27"/>
      <c r="E242" s="27"/>
      <c r="F242" s="27"/>
      <c r="G242" s="27"/>
      <c r="H242" s="27"/>
      <c r="I242" s="27"/>
      <c r="J242" s="27"/>
      <c r="K242" s="27"/>
    </row>
    <row r="243" spans="1:11" ht="18">
      <c r="A243" s="218"/>
      <c r="B243" s="218"/>
      <c r="C243" s="27"/>
      <c r="D243" s="27"/>
      <c r="E243" s="27"/>
      <c r="F243" s="27"/>
      <c r="G243" s="27"/>
      <c r="H243" s="27"/>
      <c r="I243" s="27"/>
      <c r="J243" s="27"/>
      <c r="K243" s="27"/>
    </row>
    <row r="244" spans="1:11" ht="18">
      <c r="A244" s="218"/>
      <c r="B244" s="218"/>
      <c r="C244" s="27"/>
      <c r="D244" s="27"/>
      <c r="E244" s="27"/>
      <c r="F244" s="27"/>
      <c r="G244" s="27"/>
      <c r="H244" s="27"/>
      <c r="I244" s="27"/>
      <c r="J244" s="27"/>
      <c r="K244" s="27"/>
    </row>
    <row r="245" spans="1:11" ht="18">
      <c r="A245" s="218"/>
      <c r="B245" s="218"/>
      <c r="C245" s="27"/>
      <c r="D245" s="27"/>
      <c r="E245" s="27"/>
      <c r="F245" s="27"/>
      <c r="G245" s="27"/>
      <c r="H245" s="27"/>
      <c r="I245" s="27"/>
      <c r="J245" s="27"/>
      <c r="K245" s="27"/>
    </row>
    <row r="246" spans="1:11" ht="18">
      <c r="A246" s="218"/>
      <c r="B246" s="218"/>
      <c r="C246" s="27"/>
      <c r="D246" s="27"/>
      <c r="E246" s="27"/>
      <c r="F246" s="27"/>
      <c r="G246" s="27"/>
      <c r="H246" s="27"/>
      <c r="I246" s="27"/>
      <c r="J246" s="27"/>
      <c r="K246" s="27"/>
    </row>
    <row r="247" spans="1:11" ht="18">
      <c r="A247" s="218"/>
      <c r="B247" s="218"/>
      <c r="C247" s="27"/>
      <c r="D247" s="27"/>
      <c r="E247" s="27"/>
      <c r="F247" s="27"/>
      <c r="G247" s="27"/>
      <c r="H247" s="27"/>
      <c r="I247" s="27"/>
      <c r="J247" s="27"/>
      <c r="K247" s="27"/>
    </row>
    <row r="248" spans="1:11" ht="18">
      <c r="A248" s="218"/>
      <c r="B248" s="218"/>
      <c r="C248" s="27"/>
      <c r="D248" s="27"/>
      <c r="E248" s="27"/>
      <c r="F248" s="27"/>
      <c r="G248" s="27"/>
      <c r="H248" s="27"/>
      <c r="I248" s="27"/>
      <c r="J248" s="27"/>
      <c r="K248" s="27"/>
    </row>
    <row r="249" spans="1:11" ht="18">
      <c r="A249" s="218"/>
      <c r="B249" s="218"/>
      <c r="C249" s="27"/>
      <c r="D249" s="27"/>
      <c r="E249" s="27"/>
      <c r="F249" s="27"/>
      <c r="G249" s="27"/>
      <c r="H249" s="27"/>
      <c r="I249" s="27"/>
      <c r="J249" s="27"/>
      <c r="K249" s="27"/>
    </row>
    <row r="250" spans="1:11" ht="18">
      <c r="A250" s="218"/>
      <c r="B250" s="218"/>
      <c r="C250" s="27"/>
      <c r="D250" s="27"/>
      <c r="E250" s="27"/>
      <c r="F250" s="27"/>
      <c r="G250" s="27"/>
      <c r="H250" s="27"/>
      <c r="I250" s="27"/>
      <c r="J250" s="27"/>
      <c r="K250" s="27"/>
    </row>
    <row r="251" spans="1:11" ht="18">
      <c r="A251" s="218"/>
      <c r="B251" s="218"/>
      <c r="C251" s="27"/>
      <c r="D251" s="27"/>
      <c r="E251" s="27"/>
      <c r="F251" s="27"/>
      <c r="G251" s="27"/>
      <c r="H251" s="27"/>
      <c r="I251" s="27"/>
      <c r="J251" s="27"/>
      <c r="K251" s="27"/>
    </row>
    <row r="252" spans="1:11" ht="18">
      <c r="A252" s="218"/>
      <c r="B252" s="218"/>
      <c r="C252" s="27"/>
      <c r="D252" s="27"/>
      <c r="E252" s="27"/>
      <c r="F252" s="27"/>
      <c r="G252" s="27"/>
      <c r="H252" s="27"/>
      <c r="I252" s="27"/>
      <c r="J252" s="27"/>
      <c r="K252" s="27"/>
    </row>
    <row r="253" spans="1:11" ht="18">
      <c r="A253" s="218"/>
      <c r="B253" s="218"/>
      <c r="C253" s="27"/>
      <c r="D253" s="27"/>
      <c r="E253" s="27"/>
      <c r="F253" s="27"/>
      <c r="G253" s="27"/>
      <c r="H253" s="27"/>
      <c r="I253" s="27"/>
      <c r="J253" s="27"/>
      <c r="K253" s="27"/>
    </row>
    <row r="254" spans="1:11" ht="18">
      <c r="A254" s="218"/>
      <c r="B254" s="218"/>
      <c r="C254" s="27"/>
      <c r="D254" s="27"/>
      <c r="E254" s="27"/>
      <c r="F254" s="27"/>
      <c r="G254" s="27"/>
      <c r="H254" s="27"/>
      <c r="I254" s="27"/>
      <c r="J254" s="27"/>
      <c r="K254" s="27"/>
    </row>
    <row r="255" spans="1:11" ht="18">
      <c r="A255" s="218"/>
      <c r="B255" s="218"/>
      <c r="C255" s="27"/>
      <c r="D255" s="27"/>
      <c r="E255" s="27"/>
      <c r="F255" s="27"/>
      <c r="G255" s="27"/>
      <c r="H255" s="27"/>
      <c r="I255" s="27"/>
      <c r="J255" s="27"/>
      <c r="K255" s="27"/>
    </row>
    <row r="256" spans="1:11" ht="18">
      <c r="A256" s="218"/>
      <c r="B256" s="218"/>
      <c r="C256" s="27"/>
      <c r="D256" s="27"/>
      <c r="E256" s="27"/>
      <c r="F256" s="27"/>
      <c r="G256" s="27"/>
      <c r="H256" s="27"/>
      <c r="I256" s="27"/>
      <c r="J256" s="27"/>
      <c r="K256" s="27"/>
    </row>
    <row r="257" spans="1:11" ht="18">
      <c r="A257" s="218"/>
      <c r="B257" s="218"/>
      <c r="C257" s="27"/>
      <c r="D257" s="27"/>
      <c r="E257" s="27"/>
      <c r="F257" s="27"/>
      <c r="G257" s="27"/>
      <c r="H257" s="27"/>
      <c r="I257" s="27"/>
      <c r="J257" s="27"/>
      <c r="K257" s="27"/>
    </row>
    <row r="258" spans="1:11" ht="18">
      <c r="A258" s="218"/>
      <c r="B258" s="218"/>
      <c r="C258" s="27"/>
      <c r="D258" s="27"/>
      <c r="E258" s="27"/>
      <c r="F258" s="27"/>
      <c r="G258" s="27"/>
      <c r="H258" s="27"/>
      <c r="I258" s="27"/>
      <c r="J258" s="27"/>
      <c r="K258" s="27"/>
    </row>
    <row r="259" spans="1:11" ht="18">
      <c r="A259" s="218"/>
      <c r="B259" s="218"/>
      <c r="C259" s="27"/>
      <c r="D259" s="27"/>
      <c r="E259" s="27"/>
      <c r="F259" s="27"/>
      <c r="G259" s="27"/>
      <c r="H259" s="27"/>
      <c r="I259" s="27"/>
      <c r="J259" s="27"/>
      <c r="K259" s="27"/>
    </row>
    <row r="260" spans="1:11" ht="18">
      <c r="A260" s="218"/>
      <c r="B260" s="218"/>
      <c r="C260" s="27"/>
      <c r="D260" s="27"/>
      <c r="E260" s="27"/>
      <c r="F260" s="27"/>
      <c r="G260" s="27"/>
      <c r="H260" s="27"/>
      <c r="I260" s="27"/>
      <c r="J260" s="27"/>
      <c r="K260" s="27"/>
    </row>
    <row r="261" spans="1:11" ht="18">
      <c r="A261" s="218"/>
      <c r="B261" s="218"/>
      <c r="C261" s="27"/>
      <c r="D261" s="27"/>
      <c r="E261" s="27"/>
      <c r="F261" s="27"/>
      <c r="G261" s="27"/>
      <c r="H261" s="27"/>
      <c r="I261" s="27"/>
      <c r="J261" s="27"/>
      <c r="K261" s="27"/>
    </row>
    <row r="262" spans="1:11" ht="18">
      <c r="A262" s="218"/>
      <c r="B262" s="218"/>
      <c r="C262" s="27"/>
      <c r="D262" s="27"/>
      <c r="E262" s="27"/>
      <c r="F262" s="27"/>
      <c r="G262" s="27"/>
      <c r="H262" s="27"/>
      <c r="I262" s="27"/>
      <c r="J262" s="27"/>
      <c r="K262" s="27"/>
    </row>
    <row r="263" spans="1:11" ht="18">
      <c r="A263" s="218"/>
      <c r="B263" s="218"/>
      <c r="C263" s="27"/>
      <c r="D263" s="27"/>
      <c r="E263" s="27"/>
      <c r="F263" s="27"/>
      <c r="G263" s="27"/>
      <c r="H263" s="27"/>
      <c r="I263" s="27"/>
      <c r="J263" s="27"/>
      <c r="K263" s="27"/>
    </row>
    <row r="264" spans="1:11" ht="18">
      <c r="A264" s="218"/>
      <c r="B264" s="218"/>
      <c r="C264" s="27"/>
      <c r="D264" s="27"/>
      <c r="E264" s="27"/>
      <c r="F264" s="27"/>
      <c r="G264" s="27"/>
      <c r="H264" s="27"/>
      <c r="I264" s="27"/>
      <c r="J264" s="27"/>
      <c r="K264" s="27"/>
    </row>
    <row r="265" spans="1:11" ht="18">
      <c r="A265" s="218"/>
      <c r="B265" s="218"/>
      <c r="C265" s="27"/>
      <c r="D265" s="27"/>
      <c r="E265" s="27"/>
      <c r="F265" s="27"/>
      <c r="G265" s="27"/>
      <c r="H265" s="27"/>
      <c r="I265" s="27"/>
      <c r="J265" s="27"/>
      <c r="K265" s="27"/>
    </row>
    <row r="266" spans="1:11" ht="18">
      <c r="A266" s="218"/>
      <c r="B266" s="218"/>
      <c r="C266" s="27"/>
      <c r="D266" s="27"/>
      <c r="E266" s="27"/>
      <c r="F266" s="27"/>
      <c r="G266" s="27"/>
      <c r="H266" s="27"/>
      <c r="I266" s="27"/>
      <c r="J266" s="27"/>
      <c r="K266" s="27"/>
    </row>
    <row r="267" spans="1:11" ht="18">
      <c r="A267" s="218"/>
      <c r="B267" s="218"/>
      <c r="C267" s="27"/>
      <c r="D267" s="27"/>
      <c r="E267" s="27"/>
      <c r="F267" s="27"/>
      <c r="G267" s="27"/>
      <c r="H267" s="27"/>
      <c r="I267" s="27"/>
      <c r="J267" s="27"/>
      <c r="K267" s="27"/>
    </row>
    <row r="268" spans="1:11" ht="18">
      <c r="A268" s="218"/>
      <c r="B268" s="218"/>
      <c r="C268" s="27"/>
      <c r="D268" s="27"/>
      <c r="E268" s="27"/>
      <c r="F268" s="27"/>
      <c r="G268" s="27"/>
      <c r="H268" s="27"/>
      <c r="I268" s="27"/>
      <c r="J268" s="27"/>
      <c r="K268" s="27"/>
    </row>
    <row r="269" spans="1:11" ht="18">
      <c r="A269" s="218"/>
      <c r="B269" s="218"/>
      <c r="C269" s="27"/>
      <c r="D269" s="27"/>
      <c r="E269" s="27"/>
      <c r="F269" s="27"/>
      <c r="G269" s="27"/>
      <c r="H269" s="27"/>
      <c r="I269" s="27"/>
      <c r="J269" s="27"/>
      <c r="K269" s="27"/>
    </row>
    <row r="270" spans="1:11" ht="18">
      <c r="A270" s="218"/>
      <c r="B270" s="218"/>
      <c r="C270" s="27"/>
      <c r="D270" s="27"/>
      <c r="E270" s="27"/>
      <c r="F270" s="27"/>
      <c r="G270" s="27"/>
      <c r="H270" s="27"/>
      <c r="I270" s="27"/>
      <c r="J270" s="27"/>
      <c r="K270" s="27"/>
    </row>
    <row r="271" spans="1:11" ht="18">
      <c r="A271" s="218"/>
      <c r="B271" s="218"/>
      <c r="C271" s="27"/>
      <c r="D271" s="27"/>
      <c r="E271" s="27"/>
      <c r="F271" s="27"/>
      <c r="G271" s="27"/>
      <c r="H271" s="27"/>
      <c r="I271" s="27"/>
      <c r="J271" s="27"/>
      <c r="K271" s="27"/>
    </row>
    <row r="272" spans="1:11" ht="18">
      <c r="A272" s="218"/>
      <c r="B272" s="218"/>
      <c r="C272" s="27"/>
      <c r="D272" s="27"/>
      <c r="E272" s="27"/>
      <c r="F272" s="27"/>
      <c r="G272" s="27"/>
      <c r="H272" s="27"/>
      <c r="I272" s="27"/>
      <c r="J272" s="27"/>
      <c r="K272" s="27"/>
    </row>
    <row r="273" spans="1:11" ht="18">
      <c r="A273" s="218"/>
      <c r="B273" s="218"/>
      <c r="C273" s="27"/>
      <c r="D273" s="27"/>
      <c r="E273" s="27"/>
      <c r="F273" s="27"/>
      <c r="G273" s="27"/>
      <c r="H273" s="27"/>
      <c r="I273" s="27"/>
      <c r="J273" s="27"/>
      <c r="K273" s="27"/>
    </row>
    <row r="274" spans="1:11" ht="18">
      <c r="A274" s="218"/>
      <c r="B274" s="218"/>
      <c r="C274" s="27"/>
      <c r="D274" s="27"/>
      <c r="E274" s="27"/>
      <c r="F274" s="27"/>
      <c r="G274" s="27"/>
      <c r="H274" s="27"/>
      <c r="I274" s="27"/>
      <c r="J274" s="27"/>
      <c r="K274" s="27"/>
    </row>
    <row r="275" spans="1:11" ht="18">
      <c r="A275" s="218"/>
      <c r="B275" s="218"/>
      <c r="C275" s="27"/>
      <c r="D275" s="27"/>
      <c r="E275" s="27"/>
      <c r="F275" s="27"/>
      <c r="G275" s="27"/>
      <c r="H275" s="27"/>
      <c r="I275" s="27"/>
      <c r="J275" s="27"/>
      <c r="K275" s="27"/>
    </row>
    <row r="276" spans="1:11" ht="18">
      <c r="A276" s="218"/>
      <c r="B276" s="218"/>
      <c r="C276" s="27"/>
      <c r="D276" s="27"/>
      <c r="E276" s="27"/>
      <c r="F276" s="27"/>
      <c r="G276" s="27"/>
      <c r="H276" s="27"/>
      <c r="I276" s="27"/>
      <c r="J276" s="27"/>
      <c r="K276" s="27"/>
    </row>
    <row r="277" spans="1:11" ht="18">
      <c r="A277" s="218"/>
      <c r="B277" s="218"/>
      <c r="C277" s="27"/>
      <c r="D277" s="27"/>
      <c r="E277" s="27"/>
      <c r="F277" s="27"/>
      <c r="G277" s="27"/>
      <c r="H277" s="27"/>
      <c r="I277" s="27"/>
      <c r="J277" s="27"/>
      <c r="K277" s="27"/>
    </row>
    <row r="278" spans="1:11" ht="18">
      <c r="A278" s="218"/>
      <c r="B278" s="218"/>
      <c r="C278" s="27"/>
      <c r="D278" s="27"/>
      <c r="E278" s="27"/>
      <c r="F278" s="27"/>
      <c r="G278" s="27"/>
      <c r="H278" s="27"/>
      <c r="I278" s="27"/>
      <c r="J278" s="27"/>
      <c r="K278" s="27"/>
    </row>
    <row r="279" spans="1:11" ht="18">
      <c r="A279" s="218"/>
      <c r="B279" s="218"/>
      <c r="C279" s="27"/>
      <c r="D279" s="27"/>
      <c r="E279" s="27"/>
      <c r="F279" s="27"/>
      <c r="G279" s="27"/>
      <c r="H279" s="27"/>
      <c r="I279" s="27"/>
      <c r="J279" s="27"/>
      <c r="K279" s="27"/>
    </row>
    <row r="280" spans="1:11" ht="18">
      <c r="A280" s="218"/>
      <c r="B280" s="218"/>
      <c r="C280" s="27"/>
      <c r="D280" s="27"/>
      <c r="E280" s="27"/>
      <c r="F280" s="27"/>
      <c r="G280" s="27"/>
      <c r="H280" s="27"/>
      <c r="I280" s="27"/>
      <c r="J280" s="27"/>
      <c r="K280" s="27"/>
    </row>
    <row r="281" spans="1:11" ht="18">
      <c r="A281" s="218"/>
      <c r="B281" s="218"/>
      <c r="C281" s="27"/>
      <c r="D281" s="27"/>
      <c r="E281" s="27"/>
      <c r="F281" s="27"/>
      <c r="G281" s="27"/>
      <c r="H281" s="27"/>
      <c r="I281" s="27"/>
      <c r="J281" s="27"/>
      <c r="K281" s="27"/>
    </row>
    <row r="282" spans="1:11" ht="18">
      <c r="A282" s="218"/>
      <c r="B282" s="218"/>
      <c r="C282" s="27"/>
      <c r="D282" s="27"/>
      <c r="E282" s="27"/>
      <c r="F282" s="27"/>
      <c r="G282" s="27"/>
      <c r="H282" s="27"/>
      <c r="I282" s="27"/>
      <c r="J282" s="27"/>
      <c r="K282" s="27"/>
    </row>
    <row r="283" spans="1:11" ht="18">
      <c r="A283" s="218"/>
      <c r="B283" s="218"/>
      <c r="C283" s="27"/>
      <c r="D283" s="27"/>
      <c r="E283" s="27"/>
      <c r="F283" s="27"/>
      <c r="G283" s="27"/>
      <c r="H283" s="27"/>
      <c r="I283" s="27"/>
      <c r="J283" s="27"/>
      <c r="K283" s="27"/>
    </row>
    <row r="284" spans="1:11" ht="18">
      <c r="A284" s="218"/>
      <c r="B284" s="218"/>
      <c r="C284" s="27"/>
      <c r="D284" s="27"/>
      <c r="E284" s="27"/>
      <c r="F284" s="27"/>
      <c r="G284" s="27"/>
      <c r="H284" s="27"/>
      <c r="I284" s="27"/>
      <c r="J284" s="27"/>
      <c r="K284" s="27"/>
    </row>
    <row r="285" spans="1:11" ht="18">
      <c r="A285" s="218"/>
      <c r="B285" s="218"/>
      <c r="C285" s="27"/>
      <c r="D285" s="27"/>
      <c r="E285" s="27"/>
      <c r="F285" s="27"/>
      <c r="G285" s="27"/>
      <c r="H285" s="27"/>
      <c r="I285" s="27"/>
      <c r="J285" s="27"/>
      <c r="K285" s="27"/>
    </row>
    <row r="286" spans="1:11" ht="18">
      <c r="A286" s="218"/>
      <c r="B286" s="218"/>
      <c r="C286" s="27"/>
      <c r="D286" s="27"/>
      <c r="E286" s="27"/>
      <c r="F286" s="27"/>
      <c r="G286" s="27"/>
      <c r="H286" s="27"/>
      <c r="I286" s="27"/>
      <c r="J286" s="27"/>
      <c r="K286" s="27"/>
    </row>
    <row r="287" spans="1:11" ht="18">
      <c r="A287" s="218"/>
      <c r="B287" s="218"/>
      <c r="C287" s="27"/>
      <c r="D287" s="27"/>
      <c r="E287" s="27"/>
      <c r="F287" s="27"/>
      <c r="G287" s="27"/>
      <c r="H287" s="27"/>
      <c r="I287" s="27"/>
      <c r="J287" s="27"/>
      <c r="K287" s="27"/>
    </row>
    <row r="288" spans="1:11" ht="18">
      <c r="A288" s="218"/>
      <c r="B288" s="218"/>
      <c r="C288" s="27"/>
      <c r="D288" s="27"/>
      <c r="E288" s="27"/>
      <c r="F288" s="27"/>
      <c r="G288" s="27"/>
      <c r="H288" s="27"/>
      <c r="I288" s="27"/>
      <c r="J288" s="27"/>
      <c r="K288" s="27"/>
    </row>
    <row r="289" spans="1:11" ht="18">
      <c r="A289" s="218"/>
      <c r="B289" s="218"/>
      <c r="C289" s="27"/>
      <c r="D289" s="27"/>
      <c r="E289" s="27"/>
      <c r="F289" s="27"/>
      <c r="G289" s="27"/>
      <c r="H289" s="27"/>
      <c r="I289" s="27"/>
      <c r="J289" s="27"/>
      <c r="K289" s="27"/>
    </row>
    <row r="290" spans="1:11" ht="18">
      <c r="A290" s="218"/>
      <c r="B290" s="218"/>
      <c r="C290" s="27"/>
      <c r="D290" s="27"/>
      <c r="E290" s="27"/>
      <c r="F290" s="27"/>
      <c r="G290" s="27"/>
      <c r="H290" s="27"/>
      <c r="I290" s="27"/>
      <c r="J290" s="27"/>
      <c r="K290" s="27"/>
    </row>
    <row r="291" spans="1:11" ht="18">
      <c r="A291" s="218"/>
      <c r="B291" s="218"/>
      <c r="C291" s="27"/>
      <c r="D291" s="27"/>
      <c r="E291" s="27"/>
      <c r="F291" s="27"/>
      <c r="G291" s="27"/>
      <c r="H291" s="27"/>
      <c r="I291" s="27"/>
      <c r="J291" s="27"/>
      <c r="K291" s="27"/>
    </row>
    <row r="292" spans="1:11" ht="18">
      <c r="A292" s="218"/>
      <c r="B292" s="218"/>
      <c r="C292" s="27"/>
      <c r="D292" s="27"/>
      <c r="E292" s="27"/>
      <c r="F292" s="27"/>
      <c r="G292" s="27"/>
      <c r="H292" s="27"/>
      <c r="I292" s="27"/>
      <c r="J292" s="27"/>
      <c r="K292" s="27"/>
    </row>
    <row r="293" spans="1:11" ht="18">
      <c r="A293" s="218"/>
      <c r="B293" s="218"/>
      <c r="C293" s="27"/>
      <c r="D293" s="27"/>
      <c r="E293" s="27"/>
      <c r="F293" s="27"/>
      <c r="G293" s="27"/>
      <c r="H293" s="27"/>
      <c r="I293" s="27"/>
      <c r="J293" s="27"/>
      <c r="K293" s="27"/>
    </row>
    <row r="294" spans="1:11" ht="18">
      <c r="A294" s="218"/>
      <c r="B294" s="218"/>
      <c r="C294" s="27"/>
      <c r="D294" s="27"/>
      <c r="E294" s="27"/>
      <c r="F294" s="27"/>
      <c r="G294" s="27"/>
      <c r="H294" s="27"/>
      <c r="I294" s="27"/>
      <c r="J294" s="27"/>
      <c r="K294" s="27"/>
    </row>
    <row r="295" spans="1:11" ht="18">
      <c r="A295" s="218"/>
      <c r="B295" s="218"/>
      <c r="C295" s="27"/>
      <c r="D295" s="27"/>
      <c r="E295" s="27"/>
      <c r="F295" s="27"/>
      <c r="G295" s="27"/>
      <c r="H295" s="27"/>
      <c r="I295" s="27"/>
      <c r="J295" s="27"/>
      <c r="K295" s="27"/>
    </row>
    <row r="296" spans="1:11" ht="18">
      <c r="A296" s="218"/>
      <c r="B296" s="218"/>
      <c r="C296" s="27"/>
      <c r="D296" s="27"/>
      <c r="E296" s="27"/>
      <c r="F296" s="27"/>
      <c r="G296" s="27"/>
      <c r="H296" s="27"/>
      <c r="I296" s="27"/>
      <c r="J296" s="27"/>
      <c r="K296" s="27"/>
    </row>
    <row r="297" spans="1:11" ht="18">
      <c r="A297" s="218"/>
      <c r="B297" s="218"/>
      <c r="C297" s="27"/>
      <c r="D297" s="27"/>
      <c r="E297" s="27"/>
      <c r="F297" s="27"/>
      <c r="G297" s="27"/>
      <c r="H297" s="27"/>
      <c r="I297" s="27"/>
      <c r="J297" s="27"/>
      <c r="K297" s="27"/>
    </row>
    <row r="298" spans="1:11" ht="18">
      <c r="A298" s="218"/>
      <c r="B298" s="218"/>
      <c r="C298" s="27"/>
      <c r="D298" s="27"/>
      <c r="E298" s="27"/>
      <c r="F298" s="27"/>
      <c r="G298" s="27"/>
      <c r="H298" s="27"/>
      <c r="I298" s="27"/>
      <c r="J298" s="27"/>
      <c r="K298" s="27"/>
    </row>
    <row r="299" spans="1:11" ht="18">
      <c r="A299" s="218"/>
      <c r="B299" s="218"/>
      <c r="C299" s="27"/>
      <c r="D299" s="27"/>
      <c r="E299" s="27"/>
      <c r="F299" s="27"/>
      <c r="G299" s="27"/>
      <c r="H299" s="27"/>
      <c r="I299" s="27"/>
      <c r="J299" s="27"/>
      <c r="K299" s="27"/>
    </row>
    <row r="300" spans="1:11" ht="18">
      <c r="A300" s="218"/>
      <c r="B300" s="218"/>
      <c r="C300" s="27"/>
      <c r="D300" s="27"/>
      <c r="E300" s="27"/>
      <c r="F300" s="27"/>
      <c r="G300" s="27"/>
      <c r="H300" s="27"/>
      <c r="I300" s="27"/>
      <c r="J300" s="27"/>
      <c r="K300" s="27"/>
    </row>
    <row r="301" spans="1:11" ht="18">
      <c r="A301" s="218"/>
      <c r="B301" s="218"/>
      <c r="C301" s="27"/>
      <c r="D301" s="27"/>
      <c r="E301" s="27"/>
      <c r="F301" s="27"/>
      <c r="G301" s="27"/>
      <c r="H301" s="27"/>
      <c r="I301" s="27"/>
      <c r="J301" s="27"/>
      <c r="K301" s="27"/>
    </row>
    <row r="302" spans="1:11" ht="18">
      <c r="A302" s="218"/>
      <c r="B302" s="218"/>
      <c r="C302" s="27"/>
      <c r="D302" s="27"/>
      <c r="E302" s="27"/>
      <c r="F302" s="27"/>
      <c r="G302" s="27"/>
      <c r="H302" s="27"/>
      <c r="I302" s="27"/>
      <c r="J302" s="27"/>
      <c r="K302" s="27"/>
    </row>
    <row r="303" spans="1:11" ht="18">
      <c r="A303" s="218"/>
      <c r="B303" s="218"/>
      <c r="C303" s="27"/>
      <c r="D303" s="27"/>
      <c r="E303" s="27"/>
      <c r="F303" s="27"/>
      <c r="G303" s="27"/>
      <c r="H303" s="27"/>
      <c r="I303" s="27"/>
      <c r="J303" s="27"/>
      <c r="K303" s="27"/>
    </row>
    <row r="304" spans="1:11" ht="18">
      <c r="A304" s="218"/>
      <c r="B304" s="218"/>
      <c r="C304" s="27"/>
      <c r="D304" s="27"/>
      <c r="E304" s="27"/>
      <c r="F304" s="27"/>
      <c r="G304" s="27"/>
      <c r="H304" s="27"/>
      <c r="I304" s="27"/>
      <c r="J304" s="27"/>
      <c r="K304" s="27"/>
    </row>
    <row r="305" spans="1:11" ht="18">
      <c r="A305" s="218"/>
      <c r="B305" s="218"/>
      <c r="C305" s="27"/>
      <c r="D305" s="27"/>
      <c r="E305" s="27"/>
      <c r="F305" s="27"/>
      <c r="G305" s="27"/>
      <c r="H305" s="27"/>
      <c r="I305" s="27"/>
      <c r="J305" s="27"/>
      <c r="K305" s="27"/>
    </row>
    <row r="306" spans="1:11" ht="18">
      <c r="A306" s="218"/>
      <c r="B306" s="218"/>
      <c r="C306" s="27"/>
      <c r="D306" s="27"/>
      <c r="E306" s="27"/>
      <c r="F306" s="27"/>
      <c r="G306" s="27"/>
      <c r="H306" s="27"/>
      <c r="I306" s="27"/>
      <c r="J306" s="27"/>
      <c r="K306" s="27"/>
    </row>
    <row r="307" spans="1:11" ht="18">
      <c r="A307" s="218"/>
      <c r="B307" s="218"/>
      <c r="C307" s="27"/>
      <c r="D307" s="27"/>
      <c r="E307" s="27"/>
      <c r="F307" s="27"/>
      <c r="G307" s="27"/>
      <c r="H307" s="27"/>
      <c r="I307" s="27"/>
      <c r="J307" s="27"/>
      <c r="K307" s="27"/>
    </row>
    <row r="308" spans="1:11" ht="18">
      <c r="A308" s="218"/>
      <c r="B308" s="218"/>
      <c r="C308" s="27"/>
      <c r="D308" s="27"/>
      <c r="E308" s="27"/>
      <c r="F308" s="27"/>
      <c r="G308" s="27"/>
      <c r="H308" s="27"/>
      <c r="I308" s="27"/>
      <c r="J308" s="27"/>
      <c r="K308" s="27"/>
    </row>
    <row r="309" spans="1:11" ht="18">
      <c r="A309" s="218"/>
      <c r="B309" s="218"/>
      <c r="C309" s="27"/>
      <c r="D309" s="27"/>
      <c r="E309" s="27"/>
      <c r="F309" s="27"/>
      <c r="G309" s="27"/>
      <c r="H309" s="27"/>
      <c r="I309" s="27"/>
      <c r="J309" s="27"/>
      <c r="K309" s="27"/>
    </row>
    <row r="310" spans="1:11" ht="18">
      <c r="A310" s="218"/>
      <c r="B310" s="218"/>
      <c r="C310" s="27"/>
      <c r="D310" s="27"/>
      <c r="E310" s="27"/>
      <c r="F310" s="27"/>
      <c r="G310" s="27"/>
      <c r="H310" s="27"/>
      <c r="I310" s="27"/>
      <c r="J310" s="27"/>
      <c r="K310" s="27"/>
    </row>
    <row r="311" spans="1:11" ht="18">
      <c r="A311" s="218"/>
      <c r="B311" s="218"/>
      <c r="C311" s="27"/>
      <c r="D311" s="27"/>
      <c r="E311" s="27"/>
      <c r="F311" s="27"/>
      <c r="G311" s="27"/>
      <c r="H311" s="27"/>
      <c r="I311" s="27"/>
      <c r="J311" s="27"/>
      <c r="K311" s="27"/>
    </row>
    <row r="312" spans="1:11" ht="18">
      <c r="A312" s="218"/>
      <c r="B312" s="218"/>
      <c r="C312" s="27"/>
      <c r="D312" s="27"/>
      <c r="E312" s="27"/>
      <c r="F312" s="27"/>
      <c r="G312" s="27"/>
      <c r="H312" s="27"/>
      <c r="I312" s="27"/>
      <c r="J312" s="27"/>
      <c r="K312" s="27"/>
    </row>
    <row r="313" spans="1:11" ht="18">
      <c r="A313" s="218"/>
      <c r="B313" s="218"/>
      <c r="C313" s="27"/>
      <c r="D313" s="27"/>
      <c r="E313" s="27"/>
      <c r="F313" s="27"/>
      <c r="G313" s="27"/>
      <c r="H313" s="27"/>
      <c r="I313" s="27"/>
      <c r="J313" s="27"/>
      <c r="K313" s="27"/>
    </row>
    <row r="314" spans="1:11" ht="18">
      <c r="A314" s="218"/>
      <c r="B314" s="218"/>
      <c r="C314" s="27"/>
      <c r="D314" s="27"/>
      <c r="E314" s="27"/>
      <c r="F314" s="27"/>
      <c r="G314" s="27"/>
      <c r="H314" s="27"/>
      <c r="I314" s="27"/>
      <c r="J314" s="27"/>
      <c r="K314" s="27"/>
    </row>
    <row r="315" spans="1:11" ht="18">
      <c r="A315" s="218"/>
      <c r="B315" s="218"/>
      <c r="C315" s="27"/>
      <c r="D315" s="27"/>
      <c r="E315" s="27"/>
      <c r="F315" s="27"/>
      <c r="G315" s="27"/>
      <c r="H315" s="27"/>
      <c r="I315" s="27"/>
      <c r="J315" s="27"/>
      <c r="K315" s="27"/>
    </row>
    <row r="316" spans="1:11" ht="18">
      <c r="A316" s="218"/>
      <c r="B316" s="218"/>
      <c r="C316" s="27"/>
      <c r="D316" s="27"/>
      <c r="E316" s="27"/>
      <c r="F316" s="27"/>
      <c r="G316" s="27"/>
      <c r="H316" s="27"/>
      <c r="I316" s="27"/>
      <c r="J316" s="27"/>
      <c r="K316" s="27"/>
    </row>
    <row r="317" spans="1:11" ht="18">
      <c r="A317" s="218"/>
      <c r="B317" s="218"/>
      <c r="C317" s="27"/>
      <c r="D317" s="27"/>
      <c r="E317" s="27"/>
      <c r="F317" s="27"/>
      <c r="G317" s="27"/>
      <c r="H317" s="27"/>
      <c r="I317" s="27"/>
      <c r="J317" s="27"/>
      <c r="K317" s="27"/>
    </row>
    <row r="318" spans="1:11" ht="18">
      <c r="A318" s="218"/>
      <c r="B318" s="218"/>
      <c r="C318" s="27"/>
      <c r="D318" s="27"/>
      <c r="E318" s="27"/>
      <c r="F318" s="27"/>
      <c r="G318" s="27"/>
      <c r="H318" s="27"/>
      <c r="I318" s="27"/>
      <c r="J318" s="27"/>
      <c r="K318" s="27"/>
    </row>
    <row r="319" spans="1:11" ht="18">
      <c r="A319" s="218"/>
      <c r="B319" s="218"/>
      <c r="C319" s="27"/>
      <c r="D319" s="27"/>
      <c r="E319" s="27"/>
      <c r="F319" s="27"/>
      <c r="G319" s="27"/>
      <c r="H319" s="27"/>
      <c r="I319" s="27"/>
      <c r="J319" s="27"/>
      <c r="K319" s="27"/>
    </row>
    <row r="320" spans="1:11" ht="18">
      <c r="A320" s="218"/>
      <c r="B320" s="218"/>
      <c r="C320" s="27"/>
      <c r="D320" s="27"/>
      <c r="E320" s="27"/>
      <c r="F320" s="27"/>
      <c r="G320" s="27"/>
      <c r="H320" s="27"/>
      <c r="I320" s="27"/>
      <c r="J320" s="27"/>
      <c r="K320" s="27"/>
    </row>
    <row r="321" spans="1:11" ht="18">
      <c r="A321" s="218"/>
      <c r="B321" s="218"/>
      <c r="C321" s="27"/>
      <c r="D321" s="27"/>
      <c r="E321" s="27"/>
      <c r="F321" s="27"/>
      <c r="G321" s="27"/>
      <c r="H321" s="27"/>
      <c r="I321" s="27"/>
      <c r="J321" s="27"/>
      <c r="K321" s="27"/>
    </row>
    <row r="322" spans="1:11" ht="18">
      <c r="A322" s="218"/>
      <c r="B322" s="218"/>
      <c r="C322" s="27"/>
      <c r="D322" s="27"/>
      <c r="E322" s="27"/>
      <c r="F322" s="27"/>
      <c r="G322" s="27"/>
      <c r="H322" s="27"/>
      <c r="I322" s="27"/>
      <c r="J322" s="27"/>
      <c r="K322" s="27"/>
    </row>
    <row r="323" spans="1:11" ht="18">
      <c r="A323" s="218"/>
      <c r="B323" s="218"/>
      <c r="C323" s="27"/>
      <c r="D323" s="27"/>
      <c r="E323" s="27"/>
      <c r="F323" s="27"/>
      <c r="G323" s="27"/>
      <c r="H323" s="27"/>
      <c r="I323" s="27"/>
      <c r="J323" s="27"/>
      <c r="K323" s="27"/>
    </row>
    <row r="324" spans="1:11" ht="18">
      <c r="A324" s="218"/>
      <c r="B324" s="218"/>
      <c r="C324" s="27"/>
      <c r="D324" s="27"/>
      <c r="E324" s="27"/>
      <c r="F324" s="27"/>
      <c r="G324" s="27"/>
      <c r="H324" s="27"/>
      <c r="I324" s="27"/>
      <c r="J324" s="27"/>
      <c r="K324" s="27"/>
    </row>
    <row r="325" spans="1:11" ht="18">
      <c r="A325" s="218"/>
      <c r="B325" s="218"/>
      <c r="C325" s="27"/>
      <c r="D325" s="27"/>
      <c r="E325" s="27"/>
      <c r="F325" s="27"/>
      <c r="G325" s="27"/>
      <c r="H325" s="27"/>
      <c r="I325" s="27"/>
      <c r="J325" s="27"/>
      <c r="K325" s="27"/>
    </row>
    <row r="326" spans="1:11" ht="18">
      <c r="A326" s="218"/>
      <c r="B326" s="218"/>
      <c r="C326" s="27"/>
      <c r="D326" s="27"/>
      <c r="E326" s="27"/>
      <c r="F326" s="27"/>
      <c r="G326" s="27"/>
      <c r="H326" s="27"/>
      <c r="I326" s="27"/>
      <c r="J326" s="27"/>
      <c r="K326" s="27"/>
    </row>
    <row r="327" spans="1:11" ht="18">
      <c r="A327" s="218"/>
      <c r="B327" s="218"/>
      <c r="C327" s="27"/>
      <c r="D327" s="27"/>
      <c r="E327" s="27"/>
      <c r="F327" s="27"/>
      <c r="G327" s="27"/>
      <c r="H327" s="27"/>
      <c r="I327" s="27"/>
      <c r="J327" s="27"/>
      <c r="K327" s="27"/>
    </row>
    <row r="328" spans="1:11" ht="18">
      <c r="A328" s="218"/>
      <c r="B328" s="218"/>
      <c r="C328" s="27"/>
      <c r="D328" s="27"/>
      <c r="E328" s="27"/>
      <c r="F328" s="27"/>
      <c r="G328" s="27"/>
      <c r="H328" s="27"/>
      <c r="I328" s="27"/>
      <c r="J328" s="27"/>
      <c r="K328" s="27"/>
    </row>
    <row r="329" spans="1:11" ht="18">
      <c r="A329" s="218"/>
      <c r="B329" s="218"/>
      <c r="C329" s="27"/>
      <c r="D329" s="27"/>
      <c r="E329" s="27"/>
      <c r="F329" s="27"/>
      <c r="G329" s="27"/>
      <c r="H329" s="27"/>
      <c r="I329" s="27"/>
      <c r="J329" s="27"/>
      <c r="K329" s="27"/>
    </row>
    <row r="330" spans="1:11" ht="18">
      <c r="A330" s="218"/>
      <c r="B330" s="218"/>
      <c r="C330" s="27"/>
      <c r="D330" s="27"/>
      <c r="E330" s="27"/>
      <c r="F330" s="27"/>
      <c r="G330" s="27"/>
      <c r="H330" s="27"/>
      <c r="I330" s="27"/>
      <c r="J330" s="27"/>
      <c r="K330" s="27"/>
    </row>
    <row r="331" spans="1:11" ht="18">
      <c r="A331" s="218"/>
      <c r="B331" s="218"/>
      <c r="C331" s="27"/>
      <c r="D331" s="27"/>
      <c r="E331" s="27"/>
      <c r="F331" s="27"/>
      <c r="G331" s="27"/>
      <c r="H331" s="27"/>
      <c r="I331" s="27"/>
      <c r="J331" s="27"/>
      <c r="K331" s="27"/>
    </row>
    <row r="332" spans="1:11" ht="18">
      <c r="A332" s="218"/>
      <c r="B332" s="218"/>
      <c r="C332" s="27"/>
      <c r="D332" s="27"/>
      <c r="E332" s="27"/>
      <c r="F332" s="27"/>
      <c r="G332" s="27"/>
      <c r="H332" s="27"/>
      <c r="I332" s="27"/>
      <c r="J332" s="27"/>
      <c r="K332" s="27"/>
    </row>
    <row r="333" spans="1:11" ht="18">
      <c r="A333" s="218"/>
      <c r="B333" s="218"/>
      <c r="C333" s="27"/>
      <c r="D333" s="27"/>
      <c r="E333" s="27"/>
      <c r="F333" s="27"/>
      <c r="G333" s="27"/>
      <c r="H333" s="27"/>
      <c r="I333" s="27"/>
      <c r="J333" s="27"/>
      <c r="K333" s="27"/>
    </row>
    <row r="334" spans="1:11" ht="18">
      <c r="A334" s="218"/>
      <c r="B334" s="218"/>
      <c r="C334" s="27"/>
      <c r="D334" s="27"/>
      <c r="E334" s="27"/>
      <c r="F334" s="27"/>
      <c r="G334" s="27"/>
      <c r="H334" s="27"/>
      <c r="I334" s="27"/>
      <c r="J334" s="27"/>
      <c r="K334" s="27"/>
    </row>
    <row r="335" spans="1:11" ht="18">
      <c r="A335" s="218"/>
      <c r="B335" s="218"/>
      <c r="C335" s="27"/>
      <c r="D335" s="27"/>
      <c r="E335" s="27"/>
      <c r="F335" s="27"/>
      <c r="G335" s="27"/>
      <c r="H335" s="27"/>
      <c r="I335" s="27"/>
      <c r="J335" s="27"/>
      <c r="K335" s="27"/>
    </row>
    <row r="336" spans="1:11" ht="18">
      <c r="A336" s="218"/>
      <c r="B336" s="218"/>
      <c r="C336" s="27"/>
      <c r="D336" s="27"/>
      <c r="E336" s="27"/>
      <c r="F336" s="27"/>
      <c r="G336" s="27"/>
      <c r="H336" s="27"/>
      <c r="I336" s="27"/>
      <c r="J336" s="27"/>
      <c r="K336" s="27"/>
    </row>
    <row r="337" spans="1:11" ht="18">
      <c r="A337" s="218"/>
      <c r="B337" s="218"/>
      <c r="C337" s="27"/>
      <c r="D337" s="27"/>
      <c r="E337" s="27"/>
      <c r="F337" s="27"/>
      <c r="G337" s="27"/>
      <c r="H337" s="27"/>
      <c r="I337" s="27"/>
      <c r="J337" s="27"/>
      <c r="K337" s="27"/>
    </row>
    <row r="338" spans="1:11" ht="18">
      <c r="A338" s="218"/>
      <c r="B338" s="218"/>
      <c r="C338" s="27"/>
      <c r="D338" s="27"/>
      <c r="E338" s="27"/>
      <c r="F338" s="27"/>
      <c r="G338" s="27"/>
      <c r="H338" s="27"/>
      <c r="I338" s="27"/>
      <c r="J338" s="27"/>
      <c r="K338" s="27"/>
    </row>
    <row r="339" spans="1:11" ht="18">
      <c r="A339" s="218"/>
      <c r="B339" s="218"/>
      <c r="C339" s="27"/>
      <c r="D339" s="27"/>
      <c r="E339" s="27"/>
      <c r="F339" s="27"/>
      <c r="G339" s="27"/>
      <c r="H339" s="27"/>
      <c r="I339" s="27"/>
      <c r="J339" s="27"/>
      <c r="K339" s="27"/>
    </row>
    <row r="340" spans="1:11" ht="18">
      <c r="A340" s="218"/>
      <c r="B340" s="218"/>
      <c r="C340" s="27"/>
      <c r="D340" s="27"/>
      <c r="E340" s="27"/>
      <c r="F340" s="27"/>
      <c r="G340" s="27"/>
      <c r="H340" s="27"/>
      <c r="I340" s="27"/>
      <c r="J340" s="27"/>
      <c r="K340" s="27"/>
    </row>
    <row r="341" spans="1:11" ht="18">
      <c r="A341" s="218"/>
      <c r="B341" s="218"/>
      <c r="C341" s="27"/>
      <c r="D341" s="27"/>
      <c r="E341" s="27"/>
      <c r="F341" s="27"/>
      <c r="G341" s="27"/>
      <c r="H341" s="27"/>
      <c r="I341" s="27"/>
      <c r="J341" s="27"/>
      <c r="K341" s="27"/>
    </row>
    <row r="342" spans="1:11" ht="18">
      <c r="A342" s="218"/>
      <c r="B342" s="218"/>
      <c r="C342" s="27"/>
      <c r="D342" s="27"/>
      <c r="E342" s="27"/>
      <c r="F342" s="27"/>
      <c r="G342" s="27"/>
      <c r="H342" s="27"/>
      <c r="I342" s="27"/>
      <c r="J342" s="27"/>
      <c r="K342" s="27"/>
    </row>
    <row r="343" spans="1:11" ht="18">
      <c r="A343" s="218"/>
      <c r="B343" s="218"/>
      <c r="C343" s="27"/>
      <c r="D343" s="27"/>
      <c r="E343" s="27"/>
      <c r="F343" s="27"/>
      <c r="G343" s="27"/>
      <c r="H343" s="27"/>
      <c r="I343" s="27"/>
      <c r="J343" s="27"/>
      <c r="K343" s="27"/>
    </row>
    <row r="344" spans="1:11" ht="18">
      <c r="A344" s="218"/>
      <c r="B344" s="218"/>
      <c r="C344" s="27"/>
      <c r="D344" s="27"/>
      <c r="E344" s="27"/>
      <c r="F344" s="27"/>
      <c r="G344" s="27"/>
      <c r="H344" s="27"/>
      <c r="I344" s="27"/>
      <c r="J344" s="27"/>
      <c r="K344" s="27"/>
    </row>
    <row r="345" spans="1:11" ht="18">
      <c r="A345" s="218"/>
      <c r="B345" s="218"/>
      <c r="C345" s="27"/>
      <c r="D345" s="27"/>
      <c r="E345" s="27"/>
      <c r="F345" s="27"/>
      <c r="G345" s="27"/>
      <c r="H345" s="27"/>
      <c r="I345" s="27"/>
      <c r="J345" s="27"/>
      <c r="K345" s="27"/>
    </row>
    <row r="346" spans="1:11" ht="18">
      <c r="A346" s="218"/>
      <c r="B346" s="218"/>
      <c r="C346" s="27"/>
      <c r="D346" s="27"/>
      <c r="E346" s="27"/>
      <c r="F346" s="27"/>
      <c r="G346" s="27"/>
      <c r="H346" s="27"/>
      <c r="I346" s="27"/>
      <c r="J346" s="27"/>
      <c r="K346" s="27"/>
    </row>
    <row r="347" spans="1:11" ht="18">
      <c r="A347" s="218"/>
      <c r="B347" s="218"/>
      <c r="C347" s="27"/>
      <c r="D347" s="27"/>
      <c r="E347" s="27"/>
      <c r="F347" s="27"/>
      <c r="G347" s="27"/>
      <c r="H347" s="27"/>
      <c r="I347" s="27"/>
      <c r="J347" s="27"/>
      <c r="K347" s="27"/>
    </row>
    <row r="348" spans="1:11" ht="18">
      <c r="A348" s="218"/>
      <c r="B348" s="218"/>
      <c r="C348" s="27"/>
      <c r="D348" s="27"/>
      <c r="E348" s="27"/>
      <c r="F348" s="27"/>
      <c r="G348" s="27"/>
      <c r="H348" s="27"/>
      <c r="I348" s="27"/>
      <c r="J348" s="27"/>
      <c r="K348" s="27"/>
    </row>
    <row r="349" spans="1:11" ht="18">
      <c r="A349" s="218"/>
      <c r="B349" s="218"/>
      <c r="C349" s="27"/>
      <c r="D349" s="27"/>
      <c r="E349" s="27"/>
      <c r="F349" s="27"/>
      <c r="G349" s="27"/>
      <c r="H349" s="27"/>
      <c r="I349" s="27"/>
      <c r="J349" s="27"/>
      <c r="K349" s="27"/>
    </row>
    <row r="350" spans="1:11" ht="18">
      <c r="A350" s="218"/>
      <c r="B350" s="218"/>
      <c r="C350" s="27"/>
      <c r="D350" s="27"/>
      <c r="E350" s="27"/>
      <c r="F350" s="27"/>
      <c r="G350" s="27"/>
      <c r="H350" s="27"/>
      <c r="I350" s="27"/>
      <c r="J350" s="27"/>
      <c r="K350" s="27"/>
    </row>
    <row r="351" spans="1:11" ht="18">
      <c r="A351" s="218"/>
      <c r="B351" s="218"/>
      <c r="C351" s="27"/>
      <c r="D351" s="27"/>
      <c r="E351" s="27"/>
      <c r="F351" s="27"/>
      <c r="G351" s="27"/>
      <c r="H351" s="27"/>
      <c r="I351" s="27"/>
      <c r="J351" s="27"/>
      <c r="K351" s="27"/>
    </row>
    <row r="352" spans="1:11" ht="18">
      <c r="A352" s="218"/>
      <c r="B352" s="218"/>
      <c r="C352" s="27"/>
      <c r="D352" s="27"/>
      <c r="E352" s="27"/>
      <c r="F352" s="27"/>
      <c r="G352" s="27"/>
      <c r="H352" s="27"/>
      <c r="I352" s="27"/>
      <c r="J352" s="27"/>
      <c r="K352" s="27"/>
    </row>
    <row r="353" spans="1:11" ht="18">
      <c r="A353" s="218"/>
      <c r="B353" s="218"/>
      <c r="C353" s="27"/>
      <c r="D353" s="27"/>
      <c r="E353" s="27"/>
      <c r="F353" s="27"/>
      <c r="G353" s="27"/>
      <c r="H353" s="27"/>
      <c r="I353" s="27"/>
      <c r="J353" s="27"/>
      <c r="K353" s="27"/>
    </row>
    <row r="354" spans="1:11" ht="18">
      <c r="A354" s="218"/>
      <c r="B354" s="218"/>
      <c r="C354" s="27"/>
      <c r="D354" s="27"/>
      <c r="E354" s="27"/>
      <c r="F354" s="27"/>
      <c r="G354" s="27"/>
      <c r="H354" s="27"/>
      <c r="I354" s="27"/>
      <c r="J354" s="27"/>
      <c r="K354" s="27"/>
    </row>
    <row r="355" spans="1:11" ht="18">
      <c r="A355" s="218"/>
      <c r="B355" s="218"/>
      <c r="C355" s="27"/>
      <c r="D355" s="27"/>
      <c r="E355" s="27"/>
      <c r="F355" s="27"/>
      <c r="G355" s="27"/>
      <c r="H355" s="27"/>
      <c r="I355" s="27"/>
      <c r="J355" s="27"/>
      <c r="K355" s="27"/>
    </row>
    <row r="356" spans="1:11" ht="18">
      <c r="A356" s="218"/>
      <c r="B356" s="218"/>
      <c r="C356" s="27"/>
      <c r="D356" s="27"/>
      <c r="E356" s="27"/>
      <c r="F356" s="27"/>
      <c r="G356" s="27"/>
      <c r="H356" s="27"/>
      <c r="I356" s="27"/>
      <c r="J356" s="27"/>
      <c r="K356" s="27"/>
    </row>
    <row r="357" spans="1:11" ht="18">
      <c r="A357" s="218"/>
      <c r="B357" s="218"/>
      <c r="C357" s="27"/>
      <c r="D357" s="27"/>
      <c r="E357" s="27"/>
      <c r="F357" s="27"/>
      <c r="G357" s="27"/>
      <c r="H357" s="27"/>
      <c r="I357" s="27"/>
      <c r="J357" s="27"/>
      <c r="K357" s="27"/>
    </row>
    <row r="358" spans="1:11" ht="18">
      <c r="A358" s="218"/>
      <c r="B358" s="218"/>
      <c r="C358" s="27"/>
      <c r="D358" s="27"/>
      <c r="E358" s="27"/>
      <c r="F358" s="27"/>
      <c r="G358" s="27"/>
      <c r="H358" s="27"/>
      <c r="I358" s="27"/>
      <c r="J358" s="27"/>
      <c r="K358" s="27"/>
    </row>
    <row r="359" spans="1:11" ht="18">
      <c r="A359" s="218"/>
      <c r="B359" s="218"/>
      <c r="C359" s="27"/>
      <c r="D359" s="27"/>
      <c r="E359" s="27"/>
      <c r="F359" s="27"/>
      <c r="G359" s="27"/>
      <c r="H359" s="27"/>
      <c r="I359" s="27"/>
      <c r="J359" s="27"/>
      <c r="K359" s="27"/>
    </row>
    <row r="360" spans="1:11" ht="18">
      <c r="A360" s="218"/>
      <c r="B360" s="218"/>
      <c r="C360" s="27"/>
      <c r="D360" s="27"/>
      <c r="E360" s="27"/>
      <c r="F360" s="27"/>
      <c r="G360" s="27"/>
      <c r="H360" s="27"/>
      <c r="I360" s="27"/>
      <c r="J360" s="27"/>
      <c r="K360" s="27"/>
    </row>
    <row r="361" spans="1:11" ht="18">
      <c r="A361" s="218"/>
      <c r="B361" s="218"/>
      <c r="C361" s="27"/>
      <c r="D361" s="27"/>
      <c r="E361" s="27"/>
      <c r="F361" s="27"/>
      <c r="G361" s="27"/>
      <c r="H361" s="27"/>
      <c r="I361" s="27"/>
      <c r="J361" s="27"/>
      <c r="K361" s="27"/>
    </row>
    <row r="362" spans="1:11" ht="18">
      <c r="A362" s="218"/>
      <c r="B362" s="218"/>
      <c r="C362" s="27"/>
      <c r="D362" s="27"/>
      <c r="E362" s="27"/>
      <c r="F362" s="27"/>
      <c r="G362" s="27"/>
      <c r="H362" s="27"/>
      <c r="I362" s="27"/>
      <c r="J362" s="27"/>
      <c r="K362" s="27"/>
    </row>
    <row r="363" spans="1:11" ht="18">
      <c r="A363" s="218"/>
      <c r="B363" s="218"/>
      <c r="C363" s="27"/>
      <c r="D363" s="27"/>
      <c r="E363" s="27"/>
      <c r="F363" s="27"/>
      <c r="G363" s="27"/>
      <c r="H363" s="27"/>
      <c r="I363" s="27"/>
      <c r="J363" s="27"/>
      <c r="K363" s="27"/>
    </row>
    <row r="364" spans="1:11" ht="18">
      <c r="A364" s="218"/>
      <c r="B364" s="218"/>
      <c r="C364" s="27"/>
      <c r="D364" s="27"/>
      <c r="E364" s="27"/>
      <c r="F364" s="27"/>
      <c r="G364" s="27"/>
      <c r="H364" s="27"/>
      <c r="I364" s="27"/>
      <c r="J364" s="27"/>
      <c r="K364" s="27"/>
    </row>
    <row r="365" spans="1:11" ht="18">
      <c r="A365" s="218"/>
      <c r="B365" s="218"/>
      <c r="C365" s="27"/>
      <c r="D365" s="27"/>
      <c r="E365" s="27"/>
      <c r="F365" s="27"/>
      <c r="G365" s="27"/>
      <c r="H365" s="27"/>
      <c r="I365" s="27"/>
      <c r="J365" s="27"/>
      <c r="K365" s="27"/>
    </row>
    <row r="366" spans="1:11" ht="18">
      <c r="A366" s="218"/>
      <c r="B366" s="218"/>
      <c r="C366" s="27"/>
      <c r="D366" s="27"/>
      <c r="E366" s="27"/>
      <c r="F366" s="27"/>
      <c r="G366" s="27"/>
      <c r="H366" s="27"/>
      <c r="I366" s="27"/>
      <c r="J366" s="27"/>
      <c r="K366" s="27"/>
    </row>
    <row r="367" spans="1:11" ht="18">
      <c r="A367" s="218"/>
      <c r="B367" s="218"/>
      <c r="C367" s="27"/>
      <c r="D367" s="27"/>
      <c r="E367" s="27"/>
      <c r="F367" s="27"/>
      <c r="G367" s="27"/>
      <c r="H367" s="27"/>
      <c r="I367" s="27"/>
      <c r="J367" s="27"/>
      <c r="K367" s="27"/>
    </row>
    <row r="368" spans="1:11" ht="18">
      <c r="A368" s="218"/>
      <c r="B368" s="218"/>
      <c r="C368" s="27"/>
      <c r="D368" s="27"/>
      <c r="E368" s="27"/>
      <c r="F368" s="27"/>
      <c r="G368" s="27"/>
      <c r="H368" s="27"/>
      <c r="I368" s="27"/>
      <c r="J368" s="27"/>
      <c r="K368" s="27"/>
    </row>
    <row r="369" spans="1:11" ht="18">
      <c r="A369" s="218"/>
      <c r="B369" s="218"/>
      <c r="C369" s="27"/>
      <c r="D369" s="27"/>
      <c r="E369" s="27"/>
      <c r="F369" s="27"/>
      <c r="G369" s="27"/>
      <c r="H369" s="27"/>
      <c r="I369" s="27"/>
      <c r="J369" s="27"/>
      <c r="K369" s="27"/>
    </row>
    <row r="370" spans="1:11" ht="18">
      <c r="A370" s="218"/>
      <c r="B370" s="218"/>
      <c r="C370" s="27"/>
      <c r="D370" s="27"/>
      <c r="E370" s="27"/>
      <c r="F370" s="27"/>
      <c r="G370" s="27"/>
      <c r="H370" s="27"/>
      <c r="I370" s="27"/>
      <c r="J370" s="27"/>
      <c r="K370" s="27"/>
    </row>
    <row r="371" spans="1:11" ht="18">
      <c r="A371" s="218"/>
      <c r="B371" s="218"/>
      <c r="C371" s="27"/>
      <c r="D371" s="27"/>
      <c r="E371" s="27"/>
      <c r="F371" s="27"/>
      <c r="G371" s="27"/>
      <c r="H371" s="27"/>
      <c r="I371" s="27"/>
      <c r="J371" s="27"/>
      <c r="K371" s="27"/>
    </row>
    <row r="372" spans="1:11" ht="18">
      <c r="A372" s="218"/>
      <c r="B372" s="218"/>
      <c r="C372" s="27"/>
      <c r="D372" s="27"/>
      <c r="E372" s="27"/>
      <c r="F372" s="27"/>
      <c r="G372" s="27"/>
      <c r="H372" s="27"/>
      <c r="I372" s="27"/>
      <c r="J372" s="27"/>
      <c r="K372" s="27"/>
    </row>
    <row r="373" spans="1:11" ht="18">
      <c r="A373" s="218"/>
      <c r="B373" s="218"/>
      <c r="C373" s="27"/>
      <c r="D373" s="27"/>
      <c r="E373" s="27"/>
      <c r="F373" s="27"/>
      <c r="G373" s="27"/>
      <c r="H373" s="27"/>
      <c r="I373" s="27"/>
      <c r="J373" s="27"/>
      <c r="K373" s="27"/>
    </row>
    <row r="374" spans="1:11" ht="18">
      <c r="A374" s="218"/>
      <c r="B374" s="218"/>
      <c r="C374" s="27"/>
      <c r="D374" s="27"/>
      <c r="E374" s="27"/>
      <c r="F374" s="27"/>
      <c r="G374" s="27"/>
      <c r="H374" s="27"/>
      <c r="I374" s="27"/>
      <c r="J374" s="27"/>
      <c r="K374" s="27"/>
    </row>
    <row r="375" spans="1:11" ht="18">
      <c r="A375" s="218"/>
      <c r="B375" s="218"/>
      <c r="C375" s="27"/>
      <c r="D375" s="27"/>
      <c r="E375" s="27"/>
      <c r="F375" s="27"/>
      <c r="G375" s="27"/>
      <c r="H375" s="27"/>
      <c r="I375" s="27"/>
      <c r="J375" s="27"/>
      <c r="K375" s="27"/>
    </row>
    <row r="376" spans="1:11" ht="18">
      <c r="A376" s="218"/>
      <c r="B376" s="218"/>
      <c r="C376" s="27"/>
      <c r="D376" s="27"/>
      <c r="E376" s="27"/>
      <c r="F376" s="27"/>
      <c r="G376" s="27"/>
      <c r="H376" s="27"/>
      <c r="I376" s="27"/>
      <c r="J376" s="27"/>
      <c r="K376" s="27"/>
    </row>
    <row r="377" spans="1:11" ht="18">
      <c r="A377" s="218"/>
      <c r="B377" s="218"/>
      <c r="C377" s="27"/>
      <c r="D377" s="27"/>
      <c r="E377" s="27"/>
      <c r="F377" s="27"/>
      <c r="G377" s="27"/>
      <c r="H377" s="27"/>
      <c r="I377" s="27"/>
      <c r="J377" s="27"/>
      <c r="K377" s="27"/>
    </row>
    <row r="378" spans="1:11" ht="18">
      <c r="A378" s="218"/>
      <c r="B378" s="218"/>
      <c r="C378" s="27"/>
      <c r="D378" s="27"/>
      <c r="E378" s="27"/>
      <c r="F378" s="27"/>
      <c r="G378" s="27"/>
      <c r="H378" s="27"/>
      <c r="I378" s="27"/>
      <c r="J378" s="27"/>
      <c r="K378" s="27"/>
    </row>
    <row r="379" spans="1:11" ht="18">
      <c r="A379" s="218"/>
      <c r="B379" s="218"/>
      <c r="C379" s="27"/>
      <c r="D379" s="27"/>
      <c r="E379" s="27"/>
      <c r="F379" s="27"/>
      <c r="G379" s="27"/>
      <c r="H379" s="27"/>
      <c r="I379" s="27"/>
      <c r="J379" s="27"/>
      <c r="K379" s="27"/>
    </row>
    <row r="380" spans="1:11" ht="18">
      <c r="A380" s="218"/>
      <c r="B380" s="218"/>
      <c r="C380" s="27"/>
      <c r="D380" s="27"/>
      <c r="E380" s="27"/>
      <c r="F380" s="27"/>
      <c r="G380" s="27"/>
      <c r="H380" s="27"/>
      <c r="I380" s="27"/>
      <c r="J380" s="27"/>
      <c r="K380" s="27"/>
    </row>
    <row r="381" spans="1:11" ht="18">
      <c r="A381" s="218"/>
      <c r="B381" s="218"/>
      <c r="C381" s="27"/>
      <c r="D381" s="27"/>
      <c r="E381" s="27"/>
      <c r="F381" s="27"/>
      <c r="G381" s="27"/>
      <c r="H381" s="27"/>
      <c r="I381" s="27"/>
      <c r="J381" s="27"/>
      <c r="K381" s="27"/>
    </row>
    <row r="382" spans="1:11" ht="18">
      <c r="A382" s="218"/>
      <c r="B382" s="218"/>
      <c r="C382" s="27"/>
      <c r="D382" s="27"/>
      <c r="E382" s="27"/>
      <c r="F382" s="27"/>
      <c r="G382" s="27"/>
      <c r="H382" s="27"/>
      <c r="I382" s="27"/>
      <c r="J382" s="27"/>
      <c r="K382" s="27"/>
    </row>
    <row r="383" spans="1:11" ht="18">
      <c r="A383" s="218"/>
      <c r="B383" s="218"/>
      <c r="C383" s="27"/>
      <c r="D383" s="27"/>
      <c r="E383" s="27"/>
      <c r="F383" s="27"/>
      <c r="G383" s="27"/>
      <c r="H383" s="27"/>
      <c r="I383" s="27"/>
      <c r="J383" s="27"/>
      <c r="K383" s="27"/>
    </row>
    <row r="384" spans="1:11" ht="18">
      <c r="A384" s="218"/>
      <c r="B384" s="218"/>
      <c r="C384" s="27"/>
      <c r="D384" s="27"/>
      <c r="E384" s="27"/>
      <c r="F384" s="27"/>
      <c r="G384" s="27"/>
      <c r="H384" s="27"/>
      <c r="I384" s="27"/>
      <c r="J384" s="27"/>
      <c r="K384" s="27"/>
    </row>
    <row r="385" spans="1:11" ht="18">
      <c r="A385" s="218"/>
      <c r="B385" s="218"/>
      <c r="C385" s="27"/>
      <c r="D385" s="27"/>
      <c r="E385" s="27"/>
      <c r="F385" s="27"/>
      <c r="G385" s="27"/>
      <c r="H385" s="27"/>
      <c r="I385" s="27"/>
      <c r="J385" s="27"/>
      <c r="K385" s="27"/>
    </row>
    <row r="386" spans="1:11" ht="18">
      <c r="A386" s="218"/>
      <c r="B386" s="218"/>
      <c r="C386" s="27"/>
      <c r="D386" s="27"/>
      <c r="E386" s="27"/>
      <c r="F386" s="27"/>
      <c r="G386" s="27"/>
      <c r="H386" s="27"/>
      <c r="I386" s="27"/>
      <c r="J386" s="27"/>
      <c r="K386" s="27"/>
    </row>
    <row r="387" spans="1:11" ht="18">
      <c r="A387" s="218"/>
      <c r="B387" s="218"/>
      <c r="C387" s="27"/>
      <c r="D387" s="27"/>
      <c r="E387" s="27"/>
      <c r="F387" s="27"/>
      <c r="G387" s="27"/>
      <c r="H387" s="27"/>
      <c r="I387" s="27"/>
      <c r="J387" s="27"/>
      <c r="K387" s="27"/>
    </row>
    <row r="388" spans="1:11" ht="18">
      <c r="A388" s="218"/>
      <c r="B388" s="218"/>
      <c r="C388" s="27"/>
      <c r="D388" s="27"/>
      <c r="E388" s="27"/>
      <c r="F388" s="27"/>
      <c r="G388" s="27"/>
      <c r="H388" s="27"/>
      <c r="I388" s="27"/>
      <c r="J388" s="27"/>
      <c r="K388" s="27"/>
    </row>
    <row r="389" spans="1:11" ht="18">
      <c r="A389" s="218"/>
      <c r="B389" s="218"/>
      <c r="C389" s="27"/>
      <c r="D389" s="27"/>
      <c r="E389" s="27"/>
      <c r="F389" s="27"/>
      <c r="G389" s="27"/>
      <c r="H389" s="27"/>
      <c r="I389" s="27"/>
      <c r="J389" s="27"/>
      <c r="K389" s="27"/>
    </row>
    <row r="390" spans="1:11" ht="18">
      <c r="A390" s="218"/>
      <c r="B390" s="218"/>
      <c r="C390" s="27"/>
      <c r="D390" s="27"/>
      <c r="E390" s="27"/>
      <c r="F390" s="27"/>
      <c r="G390" s="27"/>
      <c r="H390" s="27"/>
      <c r="I390" s="27"/>
      <c r="J390" s="27"/>
      <c r="K390" s="27"/>
    </row>
    <row r="391" spans="1:11" ht="18">
      <c r="A391" s="218"/>
      <c r="B391" s="218"/>
      <c r="C391" s="27"/>
      <c r="D391" s="27"/>
      <c r="E391" s="27"/>
      <c r="F391" s="27"/>
      <c r="G391" s="27"/>
      <c r="H391" s="27"/>
      <c r="I391" s="27"/>
      <c r="J391" s="27"/>
      <c r="K391" s="27"/>
    </row>
    <row r="392" spans="1:11" ht="18">
      <c r="A392" s="218"/>
      <c r="B392" s="218"/>
      <c r="C392" s="27"/>
      <c r="D392" s="27"/>
      <c r="E392" s="27"/>
      <c r="F392" s="27"/>
      <c r="G392" s="27"/>
      <c r="H392" s="27"/>
      <c r="I392" s="27"/>
      <c r="J392" s="27"/>
      <c r="K392" s="27"/>
    </row>
    <row r="393" spans="1:11" ht="18">
      <c r="A393" s="218"/>
      <c r="B393" s="218"/>
      <c r="C393" s="27"/>
      <c r="D393" s="27"/>
      <c r="E393" s="27"/>
      <c r="F393" s="27"/>
      <c r="G393" s="27"/>
      <c r="H393" s="27"/>
      <c r="I393" s="27"/>
      <c r="J393" s="27"/>
      <c r="K393" s="27"/>
    </row>
    <row r="394" spans="1:11" ht="18">
      <c r="A394" s="218"/>
      <c r="B394" s="218"/>
      <c r="C394" s="27"/>
      <c r="D394" s="27"/>
      <c r="E394" s="27"/>
      <c r="F394" s="27"/>
      <c r="G394" s="27"/>
      <c r="H394" s="27"/>
      <c r="I394" s="27"/>
      <c r="J394" s="27"/>
      <c r="K394" s="27"/>
    </row>
    <row r="395" spans="1:11" ht="18">
      <c r="A395" s="218"/>
      <c r="B395" s="218"/>
      <c r="C395" s="27"/>
      <c r="D395" s="27"/>
      <c r="E395" s="27"/>
      <c r="F395" s="27"/>
      <c r="G395" s="27"/>
      <c r="H395" s="27"/>
      <c r="I395" s="27"/>
      <c r="J395" s="27"/>
      <c r="K395" s="27"/>
    </row>
    <row r="396" spans="1:11" ht="18">
      <c r="A396" s="218"/>
      <c r="B396" s="218"/>
      <c r="C396" s="27"/>
      <c r="D396" s="27"/>
      <c r="E396" s="27"/>
      <c r="F396" s="27"/>
      <c r="G396" s="27"/>
      <c r="H396" s="27"/>
      <c r="I396" s="27"/>
      <c r="J396" s="27"/>
      <c r="K396" s="27"/>
    </row>
    <row r="397" spans="1:11" ht="18">
      <c r="A397" s="218"/>
      <c r="B397" s="218"/>
      <c r="C397" s="27"/>
      <c r="D397" s="27"/>
      <c r="E397" s="27"/>
      <c r="F397" s="27"/>
      <c r="G397" s="27"/>
      <c r="H397" s="27"/>
      <c r="I397" s="27"/>
      <c r="J397" s="27"/>
      <c r="K397" s="27"/>
    </row>
    <row r="398" spans="1:11" ht="18">
      <c r="A398" s="218"/>
      <c r="B398" s="218"/>
      <c r="C398" s="27"/>
      <c r="D398" s="27"/>
      <c r="E398" s="27"/>
      <c r="F398" s="27"/>
      <c r="G398" s="27"/>
      <c r="H398" s="27"/>
      <c r="I398" s="27"/>
      <c r="J398" s="27"/>
      <c r="K398" s="27"/>
    </row>
    <row r="399" spans="1:11" ht="18">
      <c r="A399" s="218"/>
      <c r="B399" s="218"/>
      <c r="C399" s="27"/>
      <c r="D399" s="27"/>
      <c r="E399" s="27"/>
      <c r="F399" s="27"/>
      <c r="G399" s="27"/>
      <c r="H399" s="27"/>
      <c r="I399" s="27"/>
      <c r="J399" s="27"/>
      <c r="K399" s="27"/>
    </row>
    <row r="400" spans="1:11" ht="18">
      <c r="A400" s="218"/>
      <c r="B400" s="218"/>
      <c r="C400" s="27"/>
      <c r="D400" s="27"/>
      <c r="E400" s="27"/>
      <c r="F400" s="27"/>
      <c r="G400" s="27"/>
      <c r="H400" s="27"/>
      <c r="I400" s="27"/>
      <c r="J400" s="27"/>
      <c r="K400" s="27"/>
    </row>
    <row r="401" spans="1:11" ht="18">
      <c r="A401" s="218"/>
      <c r="B401" s="218"/>
      <c r="C401" s="27"/>
      <c r="D401" s="27"/>
      <c r="E401" s="27"/>
      <c r="F401" s="27"/>
      <c r="G401" s="27"/>
      <c r="H401" s="27"/>
      <c r="I401" s="27"/>
      <c r="J401" s="27"/>
      <c r="K401" s="27"/>
    </row>
    <row r="402" spans="1:11" ht="18">
      <c r="A402" s="218"/>
      <c r="B402" s="218"/>
      <c r="C402" s="27"/>
      <c r="D402" s="27"/>
      <c r="E402" s="27"/>
      <c r="F402" s="27"/>
      <c r="G402" s="27"/>
      <c r="H402" s="27"/>
      <c r="I402" s="27"/>
      <c r="J402" s="27"/>
      <c r="K402" s="27"/>
    </row>
    <row r="403" spans="1:11" ht="18">
      <c r="A403" s="218"/>
      <c r="B403" s="218"/>
      <c r="C403" s="27"/>
      <c r="D403" s="27"/>
      <c r="E403" s="27"/>
      <c r="F403" s="27"/>
      <c r="G403" s="27"/>
      <c r="H403" s="27"/>
      <c r="I403" s="27"/>
      <c r="J403" s="27"/>
      <c r="K403" s="27"/>
    </row>
    <row r="404" spans="1:11" ht="18">
      <c r="A404" s="218"/>
      <c r="B404" s="218"/>
      <c r="C404" s="27"/>
      <c r="D404" s="27"/>
      <c r="E404" s="27"/>
      <c r="F404" s="27"/>
      <c r="G404" s="27"/>
      <c r="H404" s="27"/>
      <c r="I404" s="27"/>
      <c r="J404" s="27"/>
      <c r="K404" s="27"/>
    </row>
    <row r="405" spans="1:11" ht="18">
      <c r="A405" s="218"/>
      <c r="B405" s="218"/>
      <c r="C405" s="27"/>
      <c r="D405" s="27"/>
      <c r="E405" s="27"/>
      <c r="F405" s="27"/>
      <c r="G405" s="27"/>
      <c r="H405" s="27"/>
      <c r="I405" s="27"/>
      <c r="J405" s="27"/>
      <c r="K405" s="27"/>
    </row>
    <row r="406" spans="1:11" ht="18">
      <c r="A406" s="218"/>
      <c r="B406" s="218"/>
      <c r="C406" s="27"/>
      <c r="D406" s="27"/>
      <c r="E406" s="27"/>
      <c r="F406" s="27"/>
      <c r="G406" s="27"/>
      <c r="H406" s="27"/>
      <c r="I406" s="27"/>
      <c r="J406" s="27"/>
      <c r="K406" s="27"/>
    </row>
    <row r="407" spans="1:11" ht="18">
      <c r="A407" s="218"/>
      <c r="B407" s="218"/>
      <c r="C407" s="27"/>
      <c r="D407" s="27"/>
      <c r="E407" s="27"/>
      <c r="F407" s="27"/>
      <c r="G407" s="27"/>
      <c r="H407" s="27"/>
      <c r="I407" s="27"/>
      <c r="J407" s="27"/>
      <c r="K407" s="27"/>
    </row>
    <row r="408" spans="1:11" ht="18">
      <c r="A408" s="218"/>
      <c r="B408" s="218"/>
      <c r="C408" s="27"/>
      <c r="D408" s="27"/>
      <c r="E408" s="27"/>
      <c r="F408" s="27"/>
      <c r="G408" s="27"/>
      <c r="H408" s="27"/>
      <c r="I408" s="27"/>
      <c r="J408" s="27"/>
      <c r="K408" s="27"/>
    </row>
    <row r="409" spans="1:11" ht="18">
      <c r="A409" s="218"/>
      <c r="B409" s="218"/>
      <c r="C409" s="27"/>
      <c r="D409" s="27"/>
      <c r="E409" s="27"/>
      <c r="F409" s="27"/>
      <c r="G409" s="27"/>
      <c r="H409" s="27"/>
      <c r="I409" s="27"/>
      <c r="J409" s="27"/>
      <c r="K409" s="27"/>
    </row>
    <row r="410" spans="1:11" ht="18">
      <c r="A410" s="218"/>
      <c r="B410" s="218"/>
      <c r="C410" s="27"/>
      <c r="D410" s="27"/>
      <c r="E410" s="27"/>
      <c r="F410" s="27"/>
      <c r="G410" s="27"/>
      <c r="H410" s="27"/>
      <c r="I410" s="27"/>
      <c r="J410" s="27"/>
      <c r="K410" s="27"/>
    </row>
    <row r="411" spans="1:11" ht="18">
      <c r="A411" s="218"/>
      <c r="B411" s="218"/>
      <c r="C411" s="27"/>
      <c r="D411" s="27"/>
      <c r="E411" s="27"/>
      <c r="F411" s="27"/>
      <c r="G411" s="27"/>
      <c r="H411" s="27"/>
      <c r="I411" s="27"/>
      <c r="J411" s="27"/>
      <c r="K411" s="27"/>
    </row>
    <row r="412" spans="1:11" ht="18">
      <c r="A412" s="218"/>
      <c r="B412" s="218"/>
      <c r="C412" s="27"/>
      <c r="D412" s="27"/>
      <c r="E412" s="27"/>
      <c r="F412" s="27"/>
      <c r="G412" s="27"/>
      <c r="H412" s="27"/>
      <c r="I412" s="27"/>
      <c r="J412" s="27"/>
      <c r="K412" s="27"/>
    </row>
    <row r="413" spans="1:11" ht="18">
      <c r="A413" s="218"/>
      <c r="B413" s="218"/>
      <c r="C413" s="27"/>
      <c r="D413" s="27"/>
      <c r="E413" s="27"/>
      <c r="F413" s="27"/>
      <c r="G413" s="27"/>
      <c r="H413" s="27"/>
      <c r="I413" s="27"/>
      <c r="J413" s="27"/>
      <c r="K413" s="27"/>
    </row>
    <row r="414" spans="1:11" ht="18">
      <c r="A414" s="218"/>
      <c r="B414" s="218"/>
      <c r="C414" s="27"/>
      <c r="D414" s="27"/>
      <c r="E414" s="27"/>
      <c r="F414" s="27"/>
      <c r="G414" s="27"/>
      <c r="H414" s="27"/>
      <c r="I414" s="27"/>
      <c r="J414" s="27"/>
      <c r="K414" s="27"/>
    </row>
    <row r="415" spans="1:11" ht="18">
      <c r="A415" s="218"/>
      <c r="B415" s="218"/>
      <c r="C415" s="27"/>
      <c r="D415" s="27"/>
      <c r="E415" s="27"/>
      <c r="F415" s="27"/>
      <c r="G415" s="27"/>
      <c r="H415" s="27"/>
      <c r="I415" s="27"/>
      <c r="J415" s="27"/>
      <c r="K415" s="27"/>
    </row>
    <row r="416" spans="1:11" ht="18">
      <c r="A416" s="218"/>
      <c r="B416" s="218"/>
      <c r="C416" s="27"/>
      <c r="D416" s="27"/>
      <c r="E416" s="27"/>
      <c r="F416" s="27"/>
      <c r="G416" s="27"/>
      <c r="H416" s="27"/>
      <c r="I416" s="27"/>
      <c r="J416" s="27"/>
      <c r="K416" s="27"/>
    </row>
    <row r="417" spans="1:11" ht="18">
      <c r="A417" s="218"/>
      <c r="B417" s="218"/>
      <c r="C417" s="27"/>
      <c r="D417" s="27"/>
      <c r="E417" s="27"/>
      <c r="F417" s="27"/>
      <c r="G417" s="27"/>
      <c r="H417" s="27"/>
      <c r="I417" s="27"/>
      <c r="J417" s="27"/>
      <c r="K417" s="27"/>
    </row>
    <row r="418" spans="1:11" ht="18">
      <c r="A418" s="218"/>
      <c r="B418" s="218"/>
      <c r="C418" s="27"/>
      <c r="D418" s="27"/>
      <c r="E418" s="27"/>
      <c r="F418" s="27"/>
      <c r="G418" s="27"/>
      <c r="H418" s="27"/>
      <c r="I418" s="27"/>
      <c r="J418" s="27"/>
      <c r="K418" s="27"/>
    </row>
    <row r="419" spans="1:11" ht="18">
      <c r="A419" s="218"/>
      <c r="B419" s="218"/>
      <c r="C419" s="27"/>
      <c r="D419" s="27"/>
      <c r="E419" s="27"/>
      <c r="F419" s="27"/>
      <c r="G419" s="27"/>
      <c r="H419" s="27"/>
      <c r="I419" s="27"/>
      <c r="J419" s="27"/>
      <c r="K419" s="27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</sheetPr>
  <dimension ref="A1:AA419"/>
  <sheetViews>
    <sheetView showGridLines="0" zoomScale="85" zoomScaleNormal="85" workbookViewId="0">
      <pane ySplit="2" topLeftCell="A3" activePane="bottomLeft" state="frozen"/>
      <selection pane="bottomLeft" activeCell="X10" sqref="X10"/>
    </sheetView>
  </sheetViews>
  <sheetFormatPr defaultColWidth="9.140625" defaultRowHeight="15"/>
  <cols>
    <col min="1" max="1" width="33.140625" style="219" customWidth="1"/>
    <col min="2" max="2" width="33.140625" style="219" hidden="1" customWidth="1"/>
    <col min="3" max="10" width="14.140625" style="220" hidden="1" customWidth="1"/>
    <col min="11" max="11" width="18.28515625" style="220" hidden="1" customWidth="1"/>
    <col min="12" max="12" width="18.28515625" style="220" customWidth="1"/>
    <col min="13" max="13" width="14.140625" style="5" customWidth="1"/>
    <col min="14" max="14" width="15.28515625" style="5" customWidth="1"/>
    <col min="15" max="15" width="9" style="3" hidden="1" customWidth="1"/>
    <col min="16" max="16" width="10.85546875" hidden="1" customWidth="1"/>
    <col min="17" max="17" width="9.140625" style="1"/>
    <col min="18" max="18" width="18.140625" style="1" customWidth="1"/>
    <col min="19" max="20" width="16.28515625" style="1" customWidth="1"/>
    <col min="21" max="21" width="11.28515625" style="1" bestFit="1" customWidth="1"/>
    <col min="22" max="24" width="12.7109375" style="1" bestFit="1" customWidth="1"/>
    <col min="25" max="25" width="14.28515625" style="1" bestFit="1" customWidth="1"/>
    <col min="26" max="16384" width="9.140625" style="1"/>
  </cols>
  <sheetData>
    <row r="1" spans="1:25">
      <c r="A1" s="404" t="s">
        <v>222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14"/>
      <c r="P1" s="15"/>
      <c r="R1" s="383"/>
      <c r="S1" s="383"/>
      <c r="T1" s="383"/>
      <c r="U1" s="383"/>
      <c r="V1" s="383"/>
      <c r="W1" s="383"/>
      <c r="X1" s="383"/>
    </row>
    <row r="2" spans="1:25" ht="15" customHeight="1">
      <c r="A2" s="404" t="s">
        <v>223</v>
      </c>
      <c r="B2" s="383" t="s">
        <v>369</v>
      </c>
      <c r="C2" s="383" t="s">
        <v>78</v>
      </c>
      <c r="D2" s="383" t="s">
        <v>79</v>
      </c>
      <c r="E2" s="383" t="s">
        <v>161</v>
      </c>
      <c r="F2" s="383" t="s">
        <v>194</v>
      </c>
      <c r="G2" s="383" t="s">
        <v>196</v>
      </c>
      <c r="H2" s="383" t="s">
        <v>197</v>
      </c>
      <c r="I2" s="383">
        <v>42186</v>
      </c>
      <c r="J2" s="383">
        <v>42217</v>
      </c>
      <c r="K2" s="383">
        <v>42248</v>
      </c>
      <c r="L2" s="383">
        <v>42278</v>
      </c>
      <c r="M2" s="383">
        <v>42309</v>
      </c>
      <c r="N2" s="383">
        <v>42339</v>
      </c>
      <c r="O2" s="17" t="s">
        <v>63</v>
      </c>
      <c r="P2" s="18" t="s">
        <v>64</v>
      </c>
      <c r="R2" s="383" t="s">
        <v>365</v>
      </c>
      <c r="S2" s="383" t="s">
        <v>366</v>
      </c>
      <c r="T2" s="383" t="s">
        <v>397</v>
      </c>
      <c r="U2" s="383" t="s">
        <v>453</v>
      </c>
      <c r="V2" s="383" t="s">
        <v>485</v>
      </c>
      <c r="W2" s="383" t="s">
        <v>492</v>
      </c>
      <c r="X2" s="383" t="s">
        <v>496</v>
      </c>
    </row>
    <row r="3" spans="1:25">
      <c r="A3" s="6" t="s">
        <v>313</v>
      </c>
      <c r="B3" s="362" t="s">
        <v>402</v>
      </c>
      <c r="C3" s="28">
        <v>2553</v>
      </c>
      <c r="D3" s="28">
        <v>2466</v>
      </c>
      <c r="E3" s="28">
        <v>2910</v>
      </c>
      <c r="F3" s="28">
        <v>2902</v>
      </c>
      <c r="G3" s="28">
        <v>2977.2955200000015</v>
      </c>
      <c r="H3" s="28">
        <v>2558.4770499999972</v>
      </c>
      <c r="I3" s="205">
        <f>'Income by product'!J21/1000</f>
        <v>4237.1268100000098</v>
      </c>
      <c r="J3" s="205">
        <f>'Income by product'!K21/1000</f>
        <v>4834.0000669999645</v>
      </c>
      <c r="K3" s="205">
        <f>'Income by product'!L21/1000</f>
        <v>5205.7191200000379</v>
      </c>
      <c r="L3" s="205">
        <f>'Income by product'!M21/1000</f>
        <v>6365.0638469999994</v>
      </c>
      <c r="M3" s="205">
        <f>'Income by product'!N21/1000</f>
        <v>5970.2109449999853</v>
      </c>
      <c r="N3" s="205">
        <f>'Income by product'!O21/1000-N5</f>
        <v>7222.2430499999973</v>
      </c>
      <c r="O3" s="206"/>
      <c r="P3" s="207"/>
      <c r="R3" s="205">
        <f>7493636.82/1000</f>
        <v>7493.6368200000006</v>
      </c>
      <c r="S3" s="205">
        <f>7381921.02/1000</f>
        <v>7381.9210199999998</v>
      </c>
      <c r="T3" s="205">
        <f>8433499.12/1000</f>
        <v>8433.4991199999986</v>
      </c>
      <c r="U3" s="25">
        <f>8564661.62/1000</f>
        <v>8564.6616199999989</v>
      </c>
      <c r="V3" s="25">
        <f>9397568.11/10^3</f>
        <v>9397.5681100000002</v>
      </c>
      <c r="W3" s="25">
        <f>9494968.15/1000</f>
        <v>9494.9681500000006</v>
      </c>
      <c r="X3" s="25">
        <f>10176859/10^3</f>
        <v>10176.859</v>
      </c>
    </row>
    <row r="4" spans="1:25">
      <c r="A4" s="6" t="s">
        <v>314</v>
      </c>
      <c r="B4" s="362" t="s">
        <v>403</v>
      </c>
      <c r="C4" s="28"/>
      <c r="D4" s="28"/>
      <c r="E4" s="28"/>
      <c r="F4" s="28"/>
      <c r="G4" s="28">
        <v>336.70181000000002</v>
      </c>
      <c r="H4" s="28">
        <v>1004.9380699999998</v>
      </c>
      <c r="I4" s="205">
        <f>'Income by product'!J31/1000</f>
        <v>64.735150000000019</v>
      </c>
      <c r="J4" s="205">
        <f>'Income by product'!K31/1000</f>
        <v>202.55850999999996</v>
      </c>
      <c r="K4" s="205">
        <f>'Income by product'!L31/1000</f>
        <v>353.67773000000045</v>
      </c>
      <c r="L4" s="205">
        <f>'Income by product'!M31/1000</f>
        <v>240.69733000000053</v>
      </c>
      <c r="M4" s="205">
        <f>'Income by product'!N31/1000</f>
        <v>768.63804999999911</v>
      </c>
      <c r="N4" s="205">
        <f>'Income by product'!O31/1000</f>
        <v>808.20612999999992</v>
      </c>
      <c r="O4" s="206"/>
      <c r="P4" s="207"/>
      <c r="R4" s="205">
        <f>843678.95/1000</f>
        <v>843.67894999999999</v>
      </c>
      <c r="S4" s="205">
        <f>961441.39/1000</f>
        <v>961.44139000000007</v>
      </c>
      <c r="T4" s="205">
        <f>1149630.23/1000</f>
        <v>1149.63023</v>
      </c>
      <c r="U4" s="25">
        <f>1299809.66/1000</f>
        <v>1299.8096599999999</v>
      </c>
      <c r="V4" s="25">
        <f>1606094.35/10^3</f>
        <v>1606.0943500000001</v>
      </c>
      <c r="W4" s="25">
        <f>1831963.41/1000</f>
        <v>1831.9634099999998</v>
      </c>
      <c r="X4" s="25">
        <f>1995157/10^3</f>
        <v>1995.1569999999999</v>
      </c>
    </row>
    <row r="5" spans="1:25">
      <c r="A5" s="6" t="s">
        <v>422</v>
      </c>
      <c r="B5" s="362"/>
      <c r="C5" s="28"/>
      <c r="D5" s="28"/>
      <c r="E5" s="28"/>
      <c r="F5" s="28"/>
      <c r="G5" s="28"/>
      <c r="H5" s="28"/>
      <c r="I5" s="205"/>
      <c r="J5" s="205"/>
      <c r="K5" s="205"/>
      <c r="L5" s="205"/>
      <c r="M5" s="205"/>
      <c r="N5" s="205">
        <f>945/1000</f>
        <v>0.94499999999999995</v>
      </c>
      <c r="O5" s="206"/>
      <c r="P5" s="26"/>
      <c r="R5" s="205">
        <f>15469.91/1000</f>
        <v>15.46991</v>
      </c>
      <c r="S5" s="205">
        <f>36621/1000</f>
        <v>36.621000000000002</v>
      </c>
      <c r="T5" s="205">
        <f>58398/1000</f>
        <v>58.398000000000003</v>
      </c>
      <c r="U5" s="25">
        <f>80285.24/1000</f>
        <v>80.285240000000002</v>
      </c>
      <c r="V5" s="25">
        <f>133809.86/10^3</f>
        <v>133.80985999999999</v>
      </c>
      <c r="W5" s="25">
        <f>131520.96/1000</f>
        <v>131.52096</v>
      </c>
      <c r="X5" s="25">
        <f>198175/10^3</f>
        <v>198.17500000000001</v>
      </c>
    </row>
    <row r="6" spans="1:25">
      <c r="A6" s="6" t="s">
        <v>454</v>
      </c>
      <c r="B6" s="362"/>
      <c r="C6" s="28"/>
      <c r="D6" s="28"/>
      <c r="E6" s="28"/>
      <c r="F6" s="28"/>
      <c r="G6" s="28"/>
      <c r="H6" s="28"/>
      <c r="I6" s="205"/>
      <c r="J6" s="205"/>
      <c r="K6" s="205"/>
      <c r="L6" s="205"/>
      <c r="M6" s="205"/>
      <c r="N6" s="205">
        <f>6512544/1000</f>
        <v>6512.5439999999999</v>
      </c>
      <c r="O6" s="206"/>
      <c r="P6" s="26"/>
      <c r="R6" s="205">
        <f>5676731.11/1000</f>
        <v>5676.7311100000006</v>
      </c>
      <c r="S6" s="205">
        <f>4704429.51/1000</f>
        <v>4704.4295099999999</v>
      </c>
      <c r="T6" s="205">
        <f>4375894.18/1000</f>
        <v>4375.8941799999993</v>
      </c>
      <c r="U6" s="25">
        <f>3483821.54/1000</f>
        <v>3483.8215399999999</v>
      </c>
      <c r="V6" s="25">
        <f>3211050.88/10^3</f>
        <v>3211.0508799999998</v>
      </c>
      <c r="W6" s="25">
        <f>2637714.9/1000</f>
        <v>2637.7148999999999</v>
      </c>
      <c r="X6" s="25">
        <f>2271758/10^3</f>
        <v>2271.7579999999998</v>
      </c>
    </row>
    <row r="7" spans="1:25">
      <c r="A7" s="7" t="s">
        <v>202</v>
      </c>
      <c r="B7" s="363" t="s">
        <v>370</v>
      </c>
      <c r="C7" s="9"/>
      <c r="D7" s="9"/>
      <c r="E7" s="9"/>
      <c r="F7" s="9"/>
      <c r="G7" s="9">
        <f t="shared" ref="G7:P7" si="0">G3+G4</f>
        <v>3313.9973300000015</v>
      </c>
      <c r="H7" s="9">
        <f t="shared" si="0"/>
        <v>3563.4151199999969</v>
      </c>
      <c r="I7" s="189">
        <f t="shared" si="0"/>
        <v>4301.8619600000102</v>
      </c>
      <c r="J7" s="189">
        <f t="shared" si="0"/>
        <v>5036.5585769999643</v>
      </c>
      <c r="K7" s="189">
        <f t="shared" si="0"/>
        <v>5559.3968500000383</v>
      </c>
      <c r="L7" s="189">
        <f t="shared" si="0"/>
        <v>6605.7611770000003</v>
      </c>
      <c r="M7" s="189">
        <f t="shared" si="0"/>
        <v>6738.8489949999839</v>
      </c>
      <c r="N7" s="189">
        <f>N3+N4+N6+N5</f>
        <v>14543.938179999997</v>
      </c>
      <c r="O7" s="189">
        <f t="shared" si="0"/>
        <v>0</v>
      </c>
      <c r="P7" s="189">
        <f t="shared" si="0"/>
        <v>0</v>
      </c>
      <c r="R7" s="189">
        <f>R3+R4+R5+R6</f>
        <v>14029.516790000001</v>
      </c>
      <c r="S7" s="189">
        <f>S3+S4+S5+S6</f>
        <v>13084.412919999999</v>
      </c>
      <c r="T7" s="189">
        <f>T3+T4+T5+T6</f>
        <v>14017.421529999998</v>
      </c>
      <c r="U7" s="189">
        <f>U3+U4+U5+U6</f>
        <v>13428.578059999996</v>
      </c>
      <c r="V7" s="189">
        <f>V3+V4+V5+V6</f>
        <v>14348.5232</v>
      </c>
      <c r="W7" s="189">
        <v>14096</v>
      </c>
      <c r="X7" s="189">
        <f>X3+X4+X5+X6</f>
        <v>14641.948999999999</v>
      </c>
    </row>
    <row r="8" spans="1:25">
      <c r="A8" s="384" t="s">
        <v>292</v>
      </c>
      <c r="B8" s="385" t="s">
        <v>371</v>
      </c>
      <c r="C8" s="386">
        <f t="shared" ref="C8:R8" si="1">(C40*C31)/1000</f>
        <v>166.04515409700724</v>
      </c>
      <c r="D8" s="386">
        <f t="shared" si="1"/>
        <v>139.09419345132741</v>
      </c>
      <c r="E8" s="386">
        <f t="shared" si="1"/>
        <v>143.82425264394831</v>
      </c>
      <c r="F8" s="386">
        <f t="shared" si="1"/>
        <v>125.34542571785268</v>
      </c>
      <c r="G8" s="386">
        <f t="shared" si="1"/>
        <v>119.78655233122359</v>
      </c>
      <c r="H8" s="386">
        <f t="shared" si="1"/>
        <v>100.20614049250092</v>
      </c>
      <c r="I8" s="387">
        <f t="shared" si="1"/>
        <v>90.12596727607027</v>
      </c>
      <c r="J8" s="387">
        <f t="shared" si="1"/>
        <v>72.425835980666392</v>
      </c>
      <c r="K8" s="387">
        <f t="shared" si="1"/>
        <v>39.560161263494479</v>
      </c>
      <c r="L8" s="387">
        <f t="shared" si="1"/>
        <v>3.8711555453771695</v>
      </c>
      <c r="M8" s="387">
        <f t="shared" si="1"/>
        <v>0</v>
      </c>
      <c r="N8" s="387">
        <f t="shared" si="1"/>
        <v>0</v>
      </c>
      <c r="O8" s="187" t="e">
        <f t="shared" si="1"/>
        <v>#DIV/0!</v>
      </c>
      <c r="P8" s="187" t="e">
        <f t="shared" si="1"/>
        <v>#DIV/0!</v>
      </c>
      <c r="Q8" s="188">
        <f t="shared" si="1"/>
        <v>0</v>
      </c>
      <c r="R8" s="387">
        <f t="shared" si="1"/>
        <v>0</v>
      </c>
      <c r="S8" s="387">
        <f t="shared" ref="S8:U8" si="2">(S40*S31)/1000</f>
        <v>0</v>
      </c>
      <c r="T8" s="387">
        <f t="shared" si="2"/>
        <v>0</v>
      </c>
      <c r="U8" s="387">
        <f t="shared" si="2"/>
        <v>0</v>
      </c>
      <c r="V8" s="387">
        <f>(V40*V31)/1000</f>
        <v>0</v>
      </c>
      <c r="W8" s="387">
        <f>W40/1000</f>
        <v>21.478999999999999</v>
      </c>
      <c r="X8" s="387">
        <f>X40/1000</f>
        <v>397.44754</v>
      </c>
    </row>
    <row r="9" spans="1:25">
      <c r="A9" s="208" t="s">
        <v>58</v>
      </c>
      <c r="B9" s="363" t="s">
        <v>372</v>
      </c>
      <c r="C9" s="209">
        <f>+C3-C8</f>
        <v>2386.9548459029929</v>
      </c>
      <c r="D9" s="209">
        <f>+D3-D8</f>
        <v>2326.9058065486724</v>
      </c>
      <c r="E9" s="209">
        <f>+E3-E8</f>
        <v>2766.1757473560515</v>
      </c>
      <c r="F9" s="209">
        <f>+F3-F8</f>
        <v>2776.6545742821472</v>
      </c>
      <c r="G9" s="209">
        <f>G7-G8</f>
        <v>3194.2107776687781</v>
      </c>
      <c r="H9" s="209">
        <f>H7-H8</f>
        <v>3463.2089795074962</v>
      </c>
      <c r="I9" s="210">
        <f>I7-I8</f>
        <v>4211.7359927239395</v>
      </c>
      <c r="J9" s="210">
        <f t="shared" ref="J9:P9" si="3">J7-J8</f>
        <v>4964.132741019298</v>
      </c>
      <c r="K9" s="210">
        <f t="shared" si="3"/>
        <v>5519.8366887365437</v>
      </c>
      <c r="L9" s="210">
        <f t="shared" si="3"/>
        <v>6601.8900214546229</v>
      </c>
      <c r="M9" s="209">
        <f>M7-M8</f>
        <v>6738.8489949999839</v>
      </c>
      <c r="N9" s="209">
        <f>N7-N8</f>
        <v>14543.938179999997</v>
      </c>
      <c r="O9" s="209" t="e">
        <f t="shared" si="3"/>
        <v>#DIV/0!</v>
      </c>
      <c r="P9" s="209" t="e">
        <f t="shared" si="3"/>
        <v>#DIV/0!</v>
      </c>
      <c r="R9" s="209">
        <f t="shared" ref="R9:U9" si="4">R7-R8</f>
        <v>14029.516790000001</v>
      </c>
      <c r="S9" s="209">
        <f t="shared" si="4"/>
        <v>13084.412919999999</v>
      </c>
      <c r="T9" s="209">
        <f t="shared" si="4"/>
        <v>14017.421529999998</v>
      </c>
      <c r="U9" s="209">
        <f t="shared" si="4"/>
        <v>13428.578059999996</v>
      </c>
      <c r="V9" s="209">
        <f>V7-V8</f>
        <v>14348.5232</v>
      </c>
      <c r="W9" s="209">
        <f>W7-W8</f>
        <v>14074.521000000001</v>
      </c>
      <c r="X9" s="209">
        <f>X7-X8</f>
        <v>14244.501459999999</v>
      </c>
      <c r="Y9" s="338"/>
    </row>
    <row r="10" spans="1:25">
      <c r="A10" s="384" t="s">
        <v>291</v>
      </c>
      <c r="B10" s="385" t="s">
        <v>373</v>
      </c>
      <c r="C10" s="388">
        <v>495</v>
      </c>
      <c r="D10" s="388">
        <v>550</v>
      </c>
      <c r="E10" s="388">
        <v>618.53009557702319</v>
      </c>
      <c r="F10" s="388" t="e">
        <f>#REF!/1000</f>
        <v>#REF!</v>
      </c>
      <c r="G10" s="388">
        <v>580.62350737631698</v>
      </c>
      <c r="H10" s="388">
        <v>-228.95036304052965</v>
      </c>
      <c r="I10" s="389">
        <f>'Other Income_FS'!J66/1000</f>
        <v>995.22420809799939</v>
      </c>
      <c r="J10" s="389">
        <f>'Other Income_FS'!K66/1000</f>
        <v>640.27282971000045</v>
      </c>
      <c r="K10" s="389">
        <f>'Other Income_FS'!L66/1000</f>
        <v>731.1705440029998</v>
      </c>
      <c r="L10" s="389">
        <f>'Other Income_FS'!M66/1000</f>
        <v>879.0519366530001</v>
      </c>
      <c r="M10" s="389">
        <f>'Other Income_FS'!N66/1000</f>
        <v>843.03783360199952</v>
      </c>
      <c r="N10" s="389">
        <f>'Other Income_FS'!O66/1000</f>
        <v>704.52552502100002</v>
      </c>
      <c r="O10" s="19" t="e">
        <f>#REF!/#REF!</f>
        <v>#REF!</v>
      </c>
      <c r="P10" s="19" t="e">
        <f>#REF!/(#REF!*1000)*12</f>
        <v>#REF!</v>
      </c>
      <c r="R10" s="389">
        <f>('Other Income_FS'!P66)/1000</f>
        <v>767.460644</v>
      </c>
      <c r="S10" s="389">
        <f>('Other Income_FS'!Q66)/1000</f>
        <v>809.71316890000003</v>
      </c>
      <c r="T10" s="389">
        <f>('Other Income_FS'!R66)/1000</f>
        <v>940.94363960000021</v>
      </c>
      <c r="U10" s="389">
        <f>('Other Income_FS'!S66)/1000</f>
        <v>841.78518009999982</v>
      </c>
      <c r="V10" s="389">
        <f>('Other Income_FS'!T66)/1000</f>
        <v>1171.3898422000002</v>
      </c>
      <c r="W10" s="389">
        <f>('Other Income_FS'!U66)/1000</f>
        <v>1776.0255176000003</v>
      </c>
      <c r="X10" s="389">
        <f>('Other Income_FS'!V66)/1000</f>
        <v>2937.8086215999992</v>
      </c>
    </row>
    <row r="11" spans="1:25">
      <c r="A11" s="384" t="s">
        <v>424</v>
      </c>
      <c r="B11" s="385"/>
      <c r="C11" s="388"/>
      <c r="D11" s="388"/>
      <c r="E11" s="388"/>
      <c r="F11" s="388"/>
      <c r="G11" s="388"/>
      <c r="H11" s="388"/>
      <c r="I11" s="389"/>
      <c r="J11" s="389"/>
      <c r="K11" s="389"/>
      <c r="L11" s="389"/>
      <c r="M11" s="389"/>
      <c r="N11" s="389">
        <f>5467257/1000</f>
        <v>5467.2569999999996</v>
      </c>
      <c r="O11" s="19"/>
      <c r="P11" s="19"/>
      <c r="R11" s="389">
        <f>3128759.98/1000</f>
        <v>3128.7599799999998</v>
      </c>
      <c r="S11" s="389">
        <f>3147922.35/1000</f>
        <v>3147.9223500000003</v>
      </c>
      <c r="T11" s="389">
        <f>3146596.94/1000</f>
        <v>3146.5969399999999</v>
      </c>
      <c r="U11" s="389">
        <f>(3138827.34/10^3)-U10</f>
        <v>2297.0421599000001</v>
      </c>
      <c r="V11" s="389">
        <f>(3924053.73/10^3)-V10</f>
        <v>2752.6638877999999</v>
      </c>
      <c r="W11" s="505">
        <f>(4293567/10^3)-W10</f>
        <v>2517.5414823999999</v>
      </c>
      <c r="X11" s="505">
        <f>(4285045/10^3)-X10</f>
        <v>1347.2363784000008</v>
      </c>
    </row>
    <row r="12" spans="1:25">
      <c r="A12" s="7" t="s">
        <v>294</v>
      </c>
      <c r="B12" s="363" t="s">
        <v>374</v>
      </c>
      <c r="C12" s="9"/>
      <c r="D12" s="9"/>
      <c r="E12" s="9"/>
      <c r="F12" s="9"/>
      <c r="G12" s="9"/>
      <c r="H12" s="9"/>
      <c r="I12" s="189">
        <f t="shared" ref="I12:M12" si="5">I9+I10</f>
        <v>5206.960200821939</v>
      </c>
      <c r="J12" s="189">
        <f t="shared" si="5"/>
        <v>5604.4055707292982</v>
      </c>
      <c r="K12" s="189">
        <f t="shared" si="5"/>
        <v>6251.0072327395437</v>
      </c>
      <c r="L12" s="189">
        <f t="shared" si="5"/>
        <v>7480.9419581076227</v>
      </c>
      <c r="M12" s="189">
        <f t="shared" si="5"/>
        <v>7581.8868286019833</v>
      </c>
      <c r="N12" s="337">
        <f>N9+N10+N11</f>
        <v>20715.720705020998</v>
      </c>
      <c r="O12" s="19"/>
      <c r="P12" s="19"/>
      <c r="R12" s="337">
        <f t="shared" ref="R12:V12" si="6">R9+R10+R11</f>
        <v>17925.737414000003</v>
      </c>
      <c r="S12" s="337">
        <f t="shared" si="6"/>
        <v>17042.048438899998</v>
      </c>
      <c r="T12" s="337">
        <f t="shared" si="6"/>
        <v>18104.962109599997</v>
      </c>
      <c r="U12" s="337">
        <f t="shared" si="6"/>
        <v>16567.405399999996</v>
      </c>
      <c r="V12" s="337">
        <f t="shared" si="6"/>
        <v>18272.576929999999</v>
      </c>
      <c r="W12" s="337">
        <f>W9+W10+W11</f>
        <v>18368.088000000003</v>
      </c>
      <c r="X12" s="337">
        <f>X9+X10+X11</f>
        <v>18529.546460000001</v>
      </c>
    </row>
    <row r="13" spans="1:25">
      <c r="A13" s="6" t="s">
        <v>425</v>
      </c>
      <c r="B13" s="362" t="s">
        <v>375</v>
      </c>
      <c r="C13" s="8" t="e">
        <f>'OPEX MFC'!#REF!/1000</f>
        <v>#REF!</v>
      </c>
      <c r="D13" s="8" t="e">
        <f>'OPEX MFC'!#REF!/1000</f>
        <v>#REF!</v>
      </c>
      <c r="E13" s="8" t="e">
        <f>'OPEX MFC'!#REF!/1000</f>
        <v>#REF!</v>
      </c>
      <c r="F13" s="8" t="e">
        <f>'OPEX MFC'!#REF!/1000</f>
        <v>#REF!</v>
      </c>
      <c r="G13" s="8">
        <v>1251.2249844981627</v>
      </c>
      <c r="H13" s="8">
        <v>1297.4517714694096</v>
      </c>
      <c r="I13" s="188">
        <f>'OPEX MFC'!F82/1000</f>
        <v>7024.0884897976857</v>
      </c>
      <c r="J13" s="188">
        <f>'OPEX MFC'!G82/1000</f>
        <v>5942.4586613632828</v>
      </c>
      <c r="K13" s="188">
        <f>'OPEX MFC'!H82/1000</f>
        <v>6962.2565573488009</v>
      </c>
      <c r="L13" s="188">
        <f>'OPEX MFC'!I82/1000</f>
        <v>6979.4892112759744</v>
      </c>
      <c r="M13" s="8">
        <f>'OPEX MFC'!J82/1000</f>
        <v>7497.9759949146892</v>
      </c>
      <c r="N13" s="8">
        <f>7288997.60154804/1000</f>
        <v>7288.9976015480406</v>
      </c>
      <c r="O13" s="12" t="e">
        <f>#REF!/#REF!</f>
        <v>#REF!</v>
      </c>
      <c r="P13" s="12" t="e">
        <f>#REF!/(#REF!*1000)*12</f>
        <v>#REF!</v>
      </c>
      <c r="R13" s="8">
        <f>('OPEX MFC'!L82)/1000</f>
        <v>8426.2165010401059</v>
      </c>
      <c r="S13" s="8">
        <f>('OPEX MFC'!M82)/1000</f>
        <v>9030.512912924989</v>
      </c>
      <c r="T13" s="8">
        <f>('OPEX MFC'!N82)/1000</f>
        <v>10276.000496928529</v>
      </c>
      <c r="U13" s="8">
        <f>('OPEX MFC'!O82)/1000</f>
        <v>9527.4555437689578</v>
      </c>
      <c r="V13" s="8">
        <f>('OPEX MFC'!P82)/1000</f>
        <v>10230.737151619356</v>
      </c>
      <c r="W13" s="8">
        <f>('OPEX MFC'!Q82)/1000</f>
        <v>10515.395891966602</v>
      </c>
      <c r="X13" s="8">
        <f>('OPEX MFC'!R82)/1000</f>
        <v>10548.78461230107</v>
      </c>
    </row>
    <row r="14" spans="1:25">
      <c r="A14" s="6" t="s">
        <v>426</v>
      </c>
      <c r="B14" s="362"/>
      <c r="C14" s="8"/>
      <c r="D14" s="8"/>
      <c r="E14" s="8"/>
      <c r="F14" s="8"/>
      <c r="G14" s="8"/>
      <c r="H14" s="8"/>
      <c r="I14" s="188"/>
      <c r="J14" s="188"/>
      <c r="K14" s="188"/>
      <c r="L14" s="188"/>
      <c r="M14" s="8"/>
      <c r="N14" s="8">
        <f>5410693.32/1000</f>
        <v>5410.6933200000003</v>
      </c>
      <c r="O14" s="382"/>
      <c r="P14" s="382"/>
      <c r="R14" s="8">
        <f>('OPEX MFC'!Z82-'OPEX MFC'!L82)/1000</f>
        <v>3562.3605689598935</v>
      </c>
      <c r="S14" s="8">
        <f>('OPEX MFC'!AA82-'OPEX MFC'!M82)/1000</f>
        <v>3324.2562270750104</v>
      </c>
      <c r="T14" s="8">
        <f>('OPEX MFC'!AB82-'OPEX MFC'!N82)/1000</f>
        <v>3909.5113930714706</v>
      </c>
      <c r="U14" s="8">
        <f>('OPEX MFC'!AC82-'OPEX MFC'!O82)/1000</f>
        <v>2988.6125762310398</v>
      </c>
      <c r="V14" s="8">
        <f>('OPEX MFC'!AD82-'OPEX MFC'!P82)/1000</f>
        <v>2751.5218083806431</v>
      </c>
      <c r="W14" s="8">
        <f>('OPEX MFC'!AE82-'OPEX MFC'!Q82)/1000</f>
        <v>2621.325778033402</v>
      </c>
      <c r="X14" s="8">
        <f>('OPEX MFC'!AF82-'OPEX MFC'!R82)/1000</f>
        <v>2160.463347698927</v>
      </c>
    </row>
    <row r="15" spans="1:25" ht="30">
      <c r="A15" s="390" t="s">
        <v>59</v>
      </c>
      <c r="B15" s="391" t="s">
        <v>376</v>
      </c>
      <c r="C15" s="392" t="e">
        <f>+C9+C10-C13</f>
        <v>#REF!</v>
      </c>
      <c r="D15" s="392" t="e">
        <f>+D9+D10-D13</f>
        <v>#REF!</v>
      </c>
      <c r="E15" s="392" t="e">
        <f t="shared" ref="E15:P15" si="7">+E9+E10-E13</f>
        <v>#REF!</v>
      </c>
      <c r="F15" s="392" t="e">
        <f t="shared" si="7"/>
        <v>#REF!</v>
      </c>
      <c r="G15" s="392">
        <f t="shared" si="7"/>
        <v>2523.609300546932</v>
      </c>
      <c r="H15" s="392">
        <f t="shared" si="7"/>
        <v>1936.8068449975569</v>
      </c>
      <c r="I15" s="393">
        <f>I12-I13</f>
        <v>-1817.1282889757467</v>
      </c>
      <c r="J15" s="393">
        <f>J12-J13</f>
        <v>-338.05309063398454</v>
      </c>
      <c r="K15" s="393">
        <f>K12-K13</f>
        <v>-711.2493246092572</v>
      </c>
      <c r="L15" s="393">
        <f>L12-L13</f>
        <v>501.45274683164826</v>
      </c>
      <c r="M15" s="392">
        <f>+M9+M10-M13</f>
        <v>83.910833687294144</v>
      </c>
      <c r="N15" s="392">
        <f>+N9+N10+N11-N13-N14</f>
        <v>8016.0297834729572</v>
      </c>
      <c r="O15" s="20" t="e">
        <f t="shared" si="7"/>
        <v>#DIV/0!</v>
      </c>
      <c r="P15" s="20" t="e">
        <f t="shared" si="7"/>
        <v>#DIV/0!</v>
      </c>
      <c r="R15" s="392">
        <f t="shared" ref="R15:U15" si="8">+R9+R10+R11-R13-R14</f>
        <v>5937.1603440000035</v>
      </c>
      <c r="S15" s="392">
        <f t="shared" si="8"/>
        <v>4687.2792988999981</v>
      </c>
      <c r="T15" s="392">
        <f t="shared" si="8"/>
        <v>3919.4502195999976</v>
      </c>
      <c r="U15" s="392">
        <f t="shared" si="8"/>
        <v>4051.3372799999984</v>
      </c>
      <c r="V15" s="392">
        <f>+V9+V10+V11-V13-V14</f>
        <v>5290.3179700000001</v>
      </c>
      <c r="W15" s="392">
        <f>+W9+W10+W11-W13-W14</f>
        <v>5231.3663299999989</v>
      </c>
      <c r="X15" s="392">
        <f>+X9+X10+X11-X13-X14</f>
        <v>5820.2985000000044</v>
      </c>
    </row>
    <row r="16" spans="1:25">
      <c r="A16" s="7" t="s">
        <v>293</v>
      </c>
      <c r="B16" s="363" t="s">
        <v>377</v>
      </c>
      <c r="C16" s="9">
        <f>SUM(C17:C19)</f>
        <v>258</v>
      </c>
      <c r="D16" s="9">
        <f>SUM(D17:D19)</f>
        <v>346</v>
      </c>
      <c r="E16" s="9">
        <f>SUM(E17:E19)</f>
        <v>293</v>
      </c>
      <c r="F16" s="9">
        <f>SUM(F17:F19)</f>
        <v>578</v>
      </c>
      <c r="G16" s="9">
        <f t="shared" ref="G16:N16" si="9">SUM(G17:G19)</f>
        <v>489.80579999999992</v>
      </c>
      <c r="H16" s="9">
        <f t="shared" si="9"/>
        <v>884.55489999999998</v>
      </c>
      <c r="I16" s="189">
        <f t="shared" si="9"/>
        <v>1036.918749999988</v>
      </c>
      <c r="J16" s="189">
        <f t="shared" si="9"/>
        <v>822.08292700000368</v>
      </c>
      <c r="K16" s="189">
        <f t="shared" si="9"/>
        <v>978.05465999998751</v>
      </c>
      <c r="L16" s="189">
        <f t="shared" si="9"/>
        <v>998.73230699999817</v>
      </c>
      <c r="M16" s="189">
        <f t="shared" si="9"/>
        <v>1191.4889300000059</v>
      </c>
      <c r="N16" s="189">
        <f t="shared" si="9"/>
        <v>2541.2190200000114</v>
      </c>
      <c r="O16" s="13" t="e">
        <f>#REF!/#REF!</f>
        <v>#REF!</v>
      </c>
      <c r="P16" s="13" t="e">
        <f>#REF!/(#REF!*1000)*12</f>
        <v>#REF!</v>
      </c>
      <c r="R16" s="189">
        <f t="shared" ref="R16:V16" si="10">SUM(R17:R19)</f>
        <v>2246.5554000000002</v>
      </c>
      <c r="S16" s="189">
        <f t="shared" si="10"/>
        <v>1360.6124399999999</v>
      </c>
      <c r="T16" s="189">
        <f t="shared" si="10"/>
        <v>1106.0500000000002</v>
      </c>
      <c r="U16" s="189">
        <f t="shared" si="10"/>
        <v>1739.5511799999995</v>
      </c>
      <c r="V16" s="189">
        <f t="shared" si="10"/>
        <v>808.64695000000256</v>
      </c>
      <c r="W16" s="189">
        <f>SUM(W17:W19)</f>
        <v>1209.0055200000002</v>
      </c>
      <c r="X16" s="189">
        <f>SUM(X17:X19)</f>
        <v>963.45276000000558</v>
      </c>
    </row>
    <row r="17" spans="1:27">
      <c r="A17" s="394" t="s">
        <v>451</v>
      </c>
      <c r="B17" s="395" t="s">
        <v>378</v>
      </c>
      <c r="C17" s="396">
        <v>117</v>
      </c>
      <c r="D17" s="396">
        <v>94</v>
      </c>
      <c r="E17" s="396">
        <v>190</v>
      </c>
      <c r="F17" s="396">
        <v>219</v>
      </c>
      <c r="G17" s="388">
        <v>144.73400000000001</v>
      </c>
      <c r="H17" s="388">
        <v>395.12837000000002</v>
      </c>
      <c r="I17" s="397">
        <f>'Credit Cost'!E6/1000</f>
        <v>450.87508000000008</v>
      </c>
      <c r="J17" s="397">
        <f>'Credit Cost'!F6/1000</f>
        <v>450.09001000000001</v>
      </c>
      <c r="K17" s="397">
        <f>'Credit Cost'!G6/1000</f>
        <v>354.41596999999996</v>
      </c>
      <c r="L17" s="397">
        <f>'Credit Cost'!H6/1000</f>
        <v>487.45567</v>
      </c>
      <c r="M17" s="397">
        <f>'Credit Cost'!I6/1000</f>
        <v>472.19832000000002</v>
      </c>
      <c r="N17" s="397">
        <f>728354.53/1000</f>
        <v>728.35453000000007</v>
      </c>
      <c r="O17" s="19" t="e">
        <f>#REF!/#REF!</f>
        <v>#REF!</v>
      </c>
      <c r="P17" s="19" t="e">
        <f>#REF!/(#REF!*1000)*12</f>
        <v>#REF!</v>
      </c>
      <c r="R17" s="397">
        <f>680506.97/1000</f>
        <v>680.50697000000002</v>
      </c>
      <c r="S17" s="397">
        <f>250099.77/1000</f>
        <v>250.09976999999998</v>
      </c>
      <c r="T17" s="397">
        <f>('Credit Cost'!M3+'Credit Cost'!M4)/1000+('Credit Cost'!M5)/1000</f>
        <v>1026.9350000000002</v>
      </c>
      <c r="U17" s="397">
        <f>('Credit Cost'!N3+'Credit Cost'!N4)/1000+('Credit Cost'!N5)/1000</f>
        <v>401.26535000000001</v>
      </c>
      <c r="V17" s="397">
        <f>('Credit Cost'!O3+'Credit Cost'!O4)/1000+('Credit Cost'!O5)/1000</f>
        <v>291.50230999999997</v>
      </c>
      <c r="W17" s="397">
        <f>('Credit Cost'!P3+'Credit Cost'!P4)/1000+('Credit Cost'!P5)/1000</f>
        <v>280.74</v>
      </c>
      <c r="X17" s="397">
        <f>('Credit Cost'!Q3+'Credit Cost'!Q4)/1000+('Credit Cost'!Q5)/1000</f>
        <v>58.770340000000033</v>
      </c>
    </row>
    <row r="18" spans="1:27">
      <c r="A18" s="211" t="s">
        <v>65</v>
      </c>
      <c r="B18" s="364" t="s">
        <v>379</v>
      </c>
      <c r="C18" s="212">
        <v>157</v>
      </c>
      <c r="D18" s="212">
        <v>109</v>
      </c>
      <c r="E18" s="212">
        <v>43</v>
      </c>
      <c r="F18" s="212">
        <v>93</v>
      </c>
      <c r="G18" s="28">
        <v>307.03373999999997</v>
      </c>
      <c r="H18" s="28">
        <v>188.63614999999999</v>
      </c>
      <c r="I18" s="233">
        <f>'Credit Cost'!E10/1000</f>
        <v>227.04163</v>
      </c>
      <c r="J18" s="233">
        <f>'Credit Cost'!F10/1000</f>
        <v>100.15639999999998</v>
      </c>
      <c r="K18" s="233">
        <f>'Credit Cost'!G10/1000</f>
        <v>154.81179999999998</v>
      </c>
      <c r="L18" s="233">
        <f>'Credit Cost'!H10/1000</f>
        <v>243.85900000000001</v>
      </c>
      <c r="M18" s="233">
        <f>'Credit Cost'!I10/1000</f>
        <v>220.68600000000001</v>
      </c>
      <c r="N18" s="233">
        <f>6003828.53/1000</f>
        <v>6003.8285300000007</v>
      </c>
      <c r="O18" s="12" t="e">
        <f>#REF!/#REF!</f>
        <v>#REF!</v>
      </c>
      <c r="P18" s="12" t="e">
        <f>#REF!/(#REF!*1000)*12</f>
        <v>#REF!</v>
      </c>
      <c r="R18" s="233">
        <f>5121605.43/1000</f>
        <v>5121.6054299999996</v>
      </c>
      <c r="S18" s="233">
        <f>311.3815+(5174416.15/1000)</f>
        <v>5485.7976500000004</v>
      </c>
      <c r="T18" s="233">
        <f>('Credit Cost'!M10)/1000</f>
        <v>4261.6456500000004</v>
      </c>
      <c r="U18" s="233">
        <f>('Credit Cost'!N10)/1000</f>
        <v>3957.9429799999998</v>
      </c>
      <c r="V18" s="233">
        <f>('Credit Cost'!O10)/1000</f>
        <v>3264.6684000000023</v>
      </c>
      <c r="W18" s="233">
        <f>('Credit Cost'!P10)/1000</f>
        <v>3260.5781000000002</v>
      </c>
      <c r="X18" s="233">
        <f>('Credit Cost'!Q10)/1000</f>
        <v>3286.1130399999993</v>
      </c>
    </row>
    <row r="19" spans="1:27">
      <c r="A19" s="394" t="s">
        <v>60</v>
      </c>
      <c r="B19" s="395" t="s">
        <v>276</v>
      </c>
      <c r="C19" s="396">
        <v>-16</v>
      </c>
      <c r="D19" s="396">
        <v>143</v>
      </c>
      <c r="E19" s="396">
        <v>60</v>
      </c>
      <c r="F19" s="396">
        <v>266</v>
      </c>
      <c r="G19" s="388">
        <v>38.038059999999916</v>
      </c>
      <c r="H19" s="388">
        <v>300.79038000000003</v>
      </c>
      <c r="I19" s="397">
        <f>'Credit Cost'!E16/1000</f>
        <v>359.00203999998791</v>
      </c>
      <c r="J19" s="397">
        <f>'Credit Cost'!F16/1000</f>
        <v>271.83651700000371</v>
      </c>
      <c r="K19" s="397">
        <f>'Credit Cost'!G16/1000</f>
        <v>468.82688999998754</v>
      </c>
      <c r="L19" s="397">
        <f>'Credit Cost'!H16/1000</f>
        <v>267.41763699999825</v>
      </c>
      <c r="M19" s="397">
        <f>'Credit Cost'!I16/1000</f>
        <v>498.60461000000595</v>
      </c>
      <c r="N19" s="397">
        <f>-4190964.03999999/1000</f>
        <v>-4190.9640399999898</v>
      </c>
      <c r="O19" s="19" t="e">
        <f>#REF!/#REF!</f>
        <v>#REF!</v>
      </c>
      <c r="P19" s="19" t="e">
        <f>#REF!/(#REF!*1000)*12</f>
        <v>#REF!</v>
      </c>
      <c r="R19" s="397">
        <f>-3555557/1000</f>
        <v>-3555.5569999999998</v>
      </c>
      <c r="S19" s="397">
        <f>-4375284.98/1000</f>
        <v>-4375.2849800000004</v>
      </c>
      <c r="T19" s="397">
        <f>'Credit Cost'!M15/1000</f>
        <v>-4182.5306500000006</v>
      </c>
      <c r="U19" s="397">
        <f>'Credit Cost'!N15/1000</f>
        <v>-2619.65715</v>
      </c>
      <c r="V19" s="397">
        <f>'Credit Cost'!O15/1000</f>
        <v>-2747.5237599999996</v>
      </c>
      <c r="W19" s="397">
        <f>'Credit Cost'!P15/1000</f>
        <v>-2332.3125800000003</v>
      </c>
      <c r="X19" s="397">
        <f>'Credit Cost'!Q15/1000</f>
        <v>-2381.4306199999937</v>
      </c>
    </row>
    <row r="20" spans="1:27">
      <c r="A20" s="208" t="s">
        <v>61</v>
      </c>
      <c r="B20" s="363" t="s">
        <v>380</v>
      </c>
      <c r="C20" s="209" t="e">
        <f>+C15-C16</f>
        <v>#REF!</v>
      </c>
      <c r="D20" s="209" t="e">
        <f>+D15-D16</f>
        <v>#REF!</v>
      </c>
      <c r="E20" s="209" t="e">
        <f t="shared" ref="E20:N20" si="11">+E15-E16</f>
        <v>#REF!</v>
      </c>
      <c r="F20" s="209" t="e">
        <f t="shared" si="11"/>
        <v>#REF!</v>
      </c>
      <c r="G20" s="209">
        <f t="shared" si="11"/>
        <v>2033.8035005469321</v>
      </c>
      <c r="H20" s="209">
        <f t="shared" si="11"/>
        <v>1052.2519449975571</v>
      </c>
      <c r="I20" s="210">
        <f t="shared" si="11"/>
        <v>-2854.0470389757347</v>
      </c>
      <c r="J20" s="210">
        <f t="shared" si="11"/>
        <v>-1160.1360176339881</v>
      </c>
      <c r="K20" s="210">
        <f t="shared" si="11"/>
        <v>-1689.3039846092447</v>
      </c>
      <c r="L20" s="210">
        <f t="shared" si="11"/>
        <v>-497.27956016834992</v>
      </c>
      <c r="M20" s="210">
        <f t="shared" si="11"/>
        <v>-1107.5780963127118</v>
      </c>
      <c r="N20" s="210">
        <f t="shared" si="11"/>
        <v>5474.8107634729458</v>
      </c>
      <c r="O20" s="213" t="e">
        <f>#REF!/#REF!</f>
        <v>#REF!</v>
      </c>
      <c r="P20" s="213" t="e">
        <f>#REF!/(#REF!*1000)*12</f>
        <v>#REF!</v>
      </c>
      <c r="R20" s="217">
        <f t="shared" ref="R20:X20" si="12">+R15-R16</f>
        <v>3690.6049440000033</v>
      </c>
      <c r="S20" s="217">
        <f t="shared" si="12"/>
        <v>3326.6668588999983</v>
      </c>
      <c r="T20" s="217">
        <f t="shared" si="12"/>
        <v>2813.4002195999974</v>
      </c>
      <c r="U20" s="217">
        <f t="shared" si="12"/>
        <v>2311.7860999999989</v>
      </c>
      <c r="V20" s="217">
        <f t="shared" si="12"/>
        <v>4481.671019999998</v>
      </c>
      <c r="W20" s="217">
        <f t="shared" si="12"/>
        <v>4022.3608099999988</v>
      </c>
      <c r="X20" s="217">
        <f t="shared" si="12"/>
        <v>4856.8457399999988</v>
      </c>
    </row>
    <row r="21" spans="1:27" ht="28.5">
      <c r="A21" s="398" t="s">
        <v>427</v>
      </c>
      <c r="B21" s="385" t="s">
        <v>381</v>
      </c>
      <c r="C21" s="388">
        <v>0</v>
      </c>
      <c r="D21" s="388">
        <v>0</v>
      </c>
      <c r="E21" s="388">
        <v>0</v>
      </c>
      <c r="F21" s="388">
        <v>0</v>
      </c>
      <c r="G21" s="399">
        <v>0</v>
      </c>
      <c r="H21" s="399">
        <v>0</v>
      </c>
      <c r="I21" s="400">
        <v>0</v>
      </c>
      <c r="J21" s="400">
        <v>0</v>
      </c>
      <c r="K21" s="400">
        <v>0</v>
      </c>
      <c r="L21" s="400">
        <v>0</v>
      </c>
      <c r="M21" s="400">
        <v>0</v>
      </c>
      <c r="N21" s="400">
        <f>948549.492000002/1000</f>
        <v>948.54949200000192</v>
      </c>
      <c r="O21" s="21" t="e">
        <f>#REF!/#REF!</f>
        <v>#REF!</v>
      </c>
      <c r="P21" s="21" t="e">
        <f>#REF!/(#REF!*1000)*12</f>
        <v>#REF!</v>
      </c>
      <c r="R21" s="400">
        <f>838876.308/1000</f>
        <v>838.87630799999999</v>
      </c>
      <c r="S21" s="400">
        <f>1057906.466/1000</f>
        <v>1057.9064659999999</v>
      </c>
      <c r="T21" s="400">
        <f>847472.180000001/1000</f>
        <v>847.472180000001</v>
      </c>
      <c r="U21" s="400">
        <f>581769/10^3</f>
        <v>581.76900000000001</v>
      </c>
      <c r="V21" s="400">
        <f>644841.360000001/10^3</f>
        <v>644.84136000000103</v>
      </c>
      <c r="W21" s="400">
        <v>520</v>
      </c>
      <c r="X21" s="400">
        <f>548033/10^3</f>
        <v>548.03300000000002</v>
      </c>
    </row>
    <row r="22" spans="1:27">
      <c r="A22" s="398" t="s">
        <v>502</v>
      </c>
      <c r="B22" s="385"/>
      <c r="C22" s="388"/>
      <c r="D22" s="388"/>
      <c r="E22" s="388"/>
      <c r="F22" s="388"/>
      <c r="G22" s="518"/>
      <c r="H22" s="518"/>
      <c r="I22" s="519"/>
      <c r="J22" s="519"/>
      <c r="K22" s="519"/>
      <c r="L22" s="519"/>
      <c r="M22" s="519"/>
      <c r="N22" s="519"/>
      <c r="O22" s="520"/>
      <c r="P22" s="520"/>
      <c r="R22" s="519"/>
      <c r="S22" s="519"/>
      <c r="T22" s="519"/>
      <c r="U22" s="519"/>
      <c r="V22" s="519"/>
      <c r="W22" s="519"/>
      <c r="X22" s="519">
        <f>71584.8279999981/10^3</f>
        <v>71.584827999998097</v>
      </c>
    </row>
    <row r="23" spans="1:27">
      <c r="A23" s="214" t="s">
        <v>62</v>
      </c>
      <c r="B23" s="365" t="s">
        <v>382</v>
      </c>
      <c r="C23" s="215" t="e">
        <f>+C20-C21</f>
        <v>#REF!</v>
      </c>
      <c r="D23" s="215" t="e">
        <f>+D20-D21</f>
        <v>#REF!</v>
      </c>
      <c r="E23" s="215" t="e">
        <f t="shared" ref="E23:R23" si="13">+E20-E21</f>
        <v>#REF!</v>
      </c>
      <c r="F23" s="215" t="e">
        <f t="shared" si="13"/>
        <v>#REF!</v>
      </c>
      <c r="G23" s="216">
        <f t="shared" si="13"/>
        <v>2033.8035005469321</v>
      </c>
      <c r="H23" s="216">
        <f t="shared" si="13"/>
        <v>1052.2519449975571</v>
      </c>
      <c r="I23" s="217">
        <f t="shared" si="13"/>
        <v>-2854.0470389757347</v>
      </c>
      <c r="J23" s="217">
        <f t="shared" si="13"/>
        <v>-1160.1360176339881</v>
      </c>
      <c r="K23" s="217">
        <f t="shared" si="13"/>
        <v>-1689.3039846092447</v>
      </c>
      <c r="L23" s="217">
        <f t="shared" si="13"/>
        <v>-497.27956016834992</v>
      </c>
      <c r="M23" s="217">
        <f t="shared" si="13"/>
        <v>-1107.5780963127118</v>
      </c>
      <c r="N23" s="217">
        <f t="shared" si="13"/>
        <v>4526.2612714729439</v>
      </c>
      <c r="O23" s="217" t="e">
        <f t="shared" si="13"/>
        <v>#REF!</v>
      </c>
      <c r="P23" s="217" t="e">
        <f t="shared" si="13"/>
        <v>#REF!</v>
      </c>
      <c r="R23" s="217">
        <f t="shared" si="13"/>
        <v>2851.7286360000035</v>
      </c>
      <c r="S23" s="217">
        <f>+S20-S21</f>
        <v>2268.7603928999984</v>
      </c>
      <c r="T23" s="217">
        <f>+T20-T21</f>
        <v>1965.9280395999963</v>
      </c>
      <c r="U23" s="217">
        <f>+U20-U21</f>
        <v>1730.0170999999989</v>
      </c>
      <c r="V23" s="217">
        <f>+V20-V21</f>
        <v>3836.8296599999967</v>
      </c>
      <c r="W23" s="406">
        <f>+W20-W21</f>
        <v>3502.3608099999988</v>
      </c>
      <c r="X23" s="406">
        <f>+X20-X21-X22</f>
        <v>4237.2279120000003</v>
      </c>
    </row>
    <row r="24" spans="1:27" ht="18">
      <c r="A24" s="218"/>
      <c r="B24" s="21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1"/>
      <c r="P24" s="1"/>
    </row>
    <row r="25" spans="1:27" ht="18">
      <c r="A25" s="242" t="s">
        <v>289</v>
      </c>
      <c r="B25" s="371" t="s">
        <v>369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1"/>
      <c r="P25" s="1"/>
    </row>
    <row r="26" spans="1:27">
      <c r="A26" s="6" t="s">
        <v>285</v>
      </c>
      <c r="B26" s="372" t="s">
        <v>383</v>
      </c>
      <c r="C26" s="8">
        <v>86</v>
      </c>
      <c r="D26" s="8">
        <v>89</v>
      </c>
      <c r="E26" s="8">
        <v>94</v>
      </c>
      <c r="F26" s="8">
        <v>98</v>
      </c>
      <c r="G26" s="8">
        <f>91351694/10^6</f>
        <v>91.351693999999995</v>
      </c>
      <c r="H26" s="8">
        <f>82634195.65/10^6</f>
        <v>82.634195650000009</v>
      </c>
      <c r="I26" s="8">
        <f>76361955.8679998/1000</f>
        <v>76361.955867999801</v>
      </c>
      <c r="J26" s="8">
        <f>73847311.4400001/1000</f>
        <v>73847.311440000107</v>
      </c>
      <c r="K26" s="8">
        <f>66355104.0349997/1000</f>
        <v>66355.104034999706</v>
      </c>
      <c r="L26" s="8">
        <f>61574664.6919999/1000</f>
        <v>61574.664691999897</v>
      </c>
      <c r="M26" s="8">
        <f>(42012859/10^3)+(16532058/10^3)</f>
        <v>58544.917000000001</v>
      </c>
      <c r="N26" s="8">
        <f>(35304758.89+23136697.7)/10^3</f>
        <v>58441.456590000002</v>
      </c>
      <c r="O26" s="26"/>
      <c r="P26" s="26"/>
      <c r="R26" s="8">
        <f>(29704615.78+24897408.13)/1000</f>
        <v>54602.023909999996</v>
      </c>
      <c r="S26" s="8">
        <f>(25010396.81+24481103.59)/1000</f>
        <v>49491.500399999997</v>
      </c>
      <c r="T26" s="8">
        <f>(20441733.07+32055606.2)/10^3</f>
        <v>52497.339269999997</v>
      </c>
      <c r="U26" s="8">
        <f>(16573115.2+36644947.52)/10^3</f>
        <v>53218.062720000002</v>
      </c>
      <c r="V26" s="8">
        <f>(13715898.65+43603227.54)/10^3</f>
        <v>57319.126189999995</v>
      </c>
      <c r="W26" s="8">
        <f>(11259467+51354519)/10^3</f>
        <v>62613.985999999997</v>
      </c>
      <c r="X26" s="8">
        <f>(9216030+55338911)/10^3</f>
        <v>64554.940999999999</v>
      </c>
      <c r="Z26" s="521">
        <v>1135</v>
      </c>
      <c r="AA26" s="521">
        <v>1824</v>
      </c>
    </row>
    <row r="27" spans="1:27" ht="32.25" customHeight="1">
      <c r="A27" s="236" t="s">
        <v>224</v>
      </c>
      <c r="B27" s="372" t="s">
        <v>384</v>
      </c>
      <c r="C27" s="237"/>
      <c r="D27" s="237"/>
      <c r="E27" s="237"/>
      <c r="F27" s="237"/>
      <c r="G27" s="238">
        <f>15996489.39/10^6</f>
        <v>15.996489390000001</v>
      </c>
      <c r="H27" s="238">
        <f>32600370.23/10^6</f>
        <v>32.600370230000003</v>
      </c>
      <c r="I27" s="239">
        <f>53191274.78/1000</f>
        <v>53191.27478</v>
      </c>
      <c r="J27" s="239">
        <f>70859730.5349997/1000</f>
        <v>70859.730534999704</v>
      </c>
      <c r="K27" s="239">
        <f>92835325.4800001/1000</f>
        <v>92835.325480000087</v>
      </c>
      <c r="L27" s="239">
        <f>110666969.69/1000</f>
        <v>110666.96969</v>
      </c>
      <c r="M27" s="239">
        <f>127081538.46/10^3</f>
        <v>127081.53846</v>
      </c>
      <c r="N27" s="239">
        <f>144378634/10^3</f>
        <v>144378.63399999999</v>
      </c>
      <c r="O27" s="11"/>
      <c r="P27" s="11"/>
      <c r="R27" s="239">
        <v>153913.81290000002</v>
      </c>
      <c r="S27" s="239">
        <f>166715040/10^3</f>
        <v>166715.04</v>
      </c>
      <c r="T27" s="239">
        <f>(182520479.84+3107559.63)/10^3</f>
        <v>185628.03946999999</v>
      </c>
      <c r="U27" s="239">
        <f>(194037405+3922348)/10^3</f>
        <v>197959.753</v>
      </c>
      <c r="V27" s="239">
        <f>(206647879.64+4623552.94)/10^3</f>
        <v>211271.43257999999</v>
      </c>
      <c r="W27" s="239">
        <f>(215599555+6616510)/10^3</f>
        <v>222216.065</v>
      </c>
      <c r="X27" s="239">
        <f>(224588319+8152108)/10^3</f>
        <v>232740.427</v>
      </c>
      <c r="Z27" s="521">
        <v>14980</v>
      </c>
      <c r="AA27" s="521">
        <v>86</v>
      </c>
    </row>
    <row r="28" spans="1:27" ht="30">
      <c r="A28" s="234" t="s">
        <v>286</v>
      </c>
      <c r="B28" s="373" t="s">
        <v>385</v>
      </c>
      <c r="C28" s="235">
        <f t="shared" ref="C28:H28" si="14">C26+C27</f>
        <v>86</v>
      </c>
      <c r="D28" s="235">
        <f t="shared" si="14"/>
        <v>89</v>
      </c>
      <c r="E28" s="235">
        <f t="shared" si="14"/>
        <v>94</v>
      </c>
      <c r="F28" s="235">
        <f t="shared" si="14"/>
        <v>98</v>
      </c>
      <c r="G28" s="235">
        <f t="shared" si="14"/>
        <v>107.34818339</v>
      </c>
      <c r="H28" s="235">
        <f t="shared" si="14"/>
        <v>115.23456588000002</v>
      </c>
      <c r="I28" s="235">
        <f t="shared" ref="I28:T28" si="15">I26+I27</f>
        <v>129553.23064799979</v>
      </c>
      <c r="J28" s="235">
        <f t="shared" si="15"/>
        <v>144707.04197499983</v>
      </c>
      <c r="K28" s="235">
        <f>K26+K27</f>
        <v>159190.42951499979</v>
      </c>
      <c r="L28" s="235">
        <f t="shared" si="15"/>
        <v>172241.6343819999</v>
      </c>
      <c r="M28" s="235">
        <f t="shared" si="15"/>
        <v>185626.45546</v>
      </c>
      <c r="N28" s="235">
        <f t="shared" si="15"/>
        <v>202820.09058999998</v>
      </c>
      <c r="O28" s="42">
        <f t="shared" si="15"/>
        <v>0</v>
      </c>
      <c r="P28" s="42">
        <f t="shared" si="15"/>
        <v>0</v>
      </c>
      <c r="R28" s="235">
        <f t="shared" si="15"/>
        <v>208515.83681000001</v>
      </c>
      <c r="S28" s="235">
        <f t="shared" si="15"/>
        <v>216206.5404</v>
      </c>
      <c r="T28" s="235">
        <f t="shared" si="15"/>
        <v>238125.37873999999</v>
      </c>
      <c r="U28" s="235">
        <f>U26+U27</f>
        <v>251177.81572000001</v>
      </c>
      <c r="V28" s="235">
        <f>V26+V27</f>
        <v>268590.55877</v>
      </c>
      <c r="W28" s="235">
        <f>W26+W27</f>
        <v>284830.05099999998</v>
      </c>
      <c r="X28" s="235">
        <f>X26+X27</f>
        <v>297295.36800000002</v>
      </c>
      <c r="Z28" s="521"/>
      <c r="AA28" s="521"/>
    </row>
    <row r="29" spans="1:27">
      <c r="A29" s="236" t="s">
        <v>230</v>
      </c>
      <c r="B29" s="372" t="s">
        <v>386</v>
      </c>
      <c r="C29" s="241"/>
      <c r="D29" s="241"/>
      <c r="E29" s="241"/>
      <c r="F29" s="241"/>
      <c r="G29" s="241"/>
      <c r="H29" s="241"/>
      <c r="I29" s="241">
        <f>519394828.6944/1000</f>
        <v>519394.82869440003</v>
      </c>
      <c r="J29" s="241">
        <f>463753321.662899/1000</f>
        <v>463753.32166289899</v>
      </c>
      <c r="K29" s="241">
        <f>415030086.1598/1000</f>
        <v>415030.0861598</v>
      </c>
      <c r="L29" s="241">
        <f>370824072.7367/1000</f>
        <v>370824.07273670001</v>
      </c>
      <c r="M29" s="241">
        <f>330175348.99/10^3</f>
        <v>330175.34899000003</v>
      </c>
      <c r="N29" s="42">
        <f>291438152/10^3</f>
        <v>291438.152</v>
      </c>
      <c r="O29" s="42"/>
      <c r="P29" s="42"/>
      <c r="R29" s="8">
        <v>257259.041</v>
      </c>
      <c r="S29" s="8">
        <f>225359862/1000</f>
        <v>225359.86199999999</v>
      </c>
      <c r="T29" s="8">
        <f>195705939.26/10^3</f>
        <v>195705.93925999998</v>
      </c>
      <c r="U29" s="8">
        <f>170114554/10^3</f>
        <v>170114.554</v>
      </c>
      <c r="V29" s="8">
        <f>146787161.33/10^3</f>
        <v>146787.16133</v>
      </c>
      <c r="W29" s="8">
        <f>125847478/10^3</f>
        <v>125847.478</v>
      </c>
      <c r="X29" s="8">
        <f>106575362/10^3</f>
        <v>106575.36199999999</v>
      </c>
      <c r="Z29" s="521">
        <v>7208</v>
      </c>
      <c r="AA29" s="521"/>
    </row>
    <row r="30" spans="1:27">
      <c r="A30" s="234" t="s">
        <v>287</v>
      </c>
      <c r="B30" s="373" t="s">
        <v>387</v>
      </c>
      <c r="C30" s="235">
        <v>969</v>
      </c>
      <c r="D30" s="235">
        <v>904</v>
      </c>
      <c r="E30" s="235">
        <v>851</v>
      </c>
      <c r="F30" s="235">
        <v>801</v>
      </c>
      <c r="G30" s="235">
        <f>(729683968/10^6)+(15996489.39/10^6)</f>
        <v>745.68045739000002</v>
      </c>
      <c r="H30" s="235">
        <f>(661228443.71/10^6)+(32600370.23/10^6)</f>
        <v>693.82881394000003</v>
      </c>
      <c r="I30" s="235">
        <f t="shared" ref="I30:N30" si="16">I28+I29</f>
        <v>648948.05934239982</v>
      </c>
      <c r="J30" s="235">
        <f t="shared" si="16"/>
        <v>608460.36363789882</v>
      </c>
      <c r="K30" s="235">
        <f t="shared" si="16"/>
        <v>574220.5156747998</v>
      </c>
      <c r="L30" s="235">
        <f t="shared" si="16"/>
        <v>543065.70711869991</v>
      </c>
      <c r="M30" s="235">
        <f t="shared" si="16"/>
        <v>515801.80445000005</v>
      </c>
      <c r="N30" s="235">
        <f t="shared" si="16"/>
        <v>494258.24258999998</v>
      </c>
      <c r="O30" s="26"/>
      <c r="P30" s="26"/>
      <c r="R30" s="235">
        <f t="shared" ref="R30:X30" si="17">R28+R29</f>
        <v>465774.87780999998</v>
      </c>
      <c r="S30" s="235">
        <f t="shared" si="17"/>
        <v>441566.40240000002</v>
      </c>
      <c r="T30" s="235">
        <f t="shared" si="17"/>
        <v>433831.31799999997</v>
      </c>
      <c r="U30" s="235">
        <f t="shared" si="17"/>
        <v>421292.36972000002</v>
      </c>
      <c r="V30" s="235">
        <f t="shared" si="17"/>
        <v>415377.72010000004</v>
      </c>
      <c r="W30" s="235">
        <f t="shared" si="17"/>
        <v>410677.52899999998</v>
      </c>
      <c r="X30" s="235">
        <f t="shared" si="17"/>
        <v>403870.73</v>
      </c>
    </row>
    <row r="31" spans="1:27" ht="28.5">
      <c r="A31" s="236" t="s">
        <v>72</v>
      </c>
      <c r="B31" s="372" t="s">
        <v>388</v>
      </c>
      <c r="C31" s="240">
        <f>C26/C30</f>
        <v>8.8751289989680085E-2</v>
      </c>
      <c r="D31" s="240">
        <f>D26/D30</f>
        <v>9.8451327433628319E-2</v>
      </c>
      <c r="E31" s="240">
        <f>E26/E30</f>
        <v>0.11045828437132785</v>
      </c>
      <c r="F31" s="240">
        <f>F26/F30</f>
        <v>0.12234706616729088</v>
      </c>
      <c r="G31" s="240">
        <f t="shared" ref="G31:U31" si="18">G28/G30</f>
        <v>0.14396003318329634</v>
      </c>
      <c r="H31" s="240">
        <f t="shared" si="18"/>
        <v>0.16608501054550484</v>
      </c>
      <c r="I31" s="240">
        <f t="shared" si="18"/>
        <v>0.19963574708780282</v>
      </c>
      <c r="J31" s="240">
        <f t="shared" si="18"/>
        <v>0.23782492767452723</v>
      </c>
      <c r="K31" s="240">
        <f t="shared" si="18"/>
        <v>0.27722873908105827</v>
      </c>
      <c r="L31" s="240">
        <f t="shared" si="18"/>
        <v>0.31716536714470245</v>
      </c>
      <c r="M31" s="240">
        <f t="shared" si="18"/>
        <v>0.35987942240321097</v>
      </c>
      <c r="N31" s="240">
        <f t="shared" si="18"/>
        <v>0.41035246984893381</v>
      </c>
      <c r="O31" s="240" t="e">
        <f t="shared" si="18"/>
        <v>#DIV/0!</v>
      </c>
      <c r="P31" s="240" t="e">
        <f t="shared" si="18"/>
        <v>#DIV/0!</v>
      </c>
      <c r="R31" s="240">
        <f t="shared" si="18"/>
        <v>0.44767514682287846</v>
      </c>
      <c r="S31" s="240">
        <f t="shared" si="18"/>
        <v>0.48963539622778146</v>
      </c>
      <c r="T31" s="240">
        <f t="shared" si="18"/>
        <v>0.54888932370714649</v>
      </c>
      <c r="U31" s="240">
        <f t="shared" si="18"/>
        <v>0.59620784465414889</v>
      </c>
      <c r="V31" s="240">
        <f>V28/V30</f>
        <v>0.64661763443965703</v>
      </c>
      <c r="W31" s="240">
        <f>W28/W30</f>
        <v>0.69356132460804787</v>
      </c>
      <c r="X31" s="240">
        <f>X28/X30</f>
        <v>0.73611516239366992</v>
      </c>
    </row>
    <row r="32" spans="1:27">
      <c r="A32" s="236"/>
      <c r="B32" s="372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11"/>
      <c r="N32" s="11"/>
      <c r="O32" s="11"/>
      <c r="P32" s="11"/>
      <c r="R32" s="26"/>
      <c r="S32" s="26"/>
      <c r="T32" s="26"/>
      <c r="U32" s="26"/>
      <c r="V32" s="26"/>
      <c r="W32" s="26"/>
      <c r="X32" s="26"/>
    </row>
    <row r="33" spans="1:24" ht="30">
      <c r="A33" s="242" t="s">
        <v>307</v>
      </c>
      <c r="B33" s="371" t="s">
        <v>389</v>
      </c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11"/>
      <c r="N33" s="11"/>
      <c r="O33" s="11"/>
      <c r="P33" s="11"/>
      <c r="R33" s="26"/>
      <c r="S33" s="26"/>
      <c r="T33" s="26"/>
      <c r="U33" s="26"/>
      <c r="V33" s="26"/>
      <c r="W33" s="26"/>
      <c r="X33" s="26"/>
    </row>
    <row r="34" spans="1:24" ht="27" customHeight="1">
      <c r="A34" s="236" t="s">
        <v>288</v>
      </c>
      <c r="B34" s="372" t="s">
        <v>390</v>
      </c>
      <c r="C34" s="241">
        <v>6830</v>
      </c>
      <c r="D34" s="241">
        <v>6996</v>
      </c>
      <c r="E34" s="241">
        <v>7290</v>
      </c>
      <c r="F34" s="241">
        <v>7534</v>
      </c>
      <c r="G34" s="241">
        <f>7219</f>
        <v>7219</v>
      </c>
      <c r="H34" s="241">
        <v>6813</v>
      </c>
      <c r="I34" s="241">
        <v>6380</v>
      </c>
      <c r="J34" s="241">
        <f>6086</f>
        <v>6086</v>
      </c>
      <c r="K34" s="241">
        <f>5394+294</f>
        <v>5688</v>
      </c>
      <c r="L34" s="241">
        <f>Movement!R8</f>
        <v>4803</v>
      </c>
      <c r="M34" s="10">
        <f>4285+514</f>
        <v>4799</v>
      </c>
      <c r="N34" s="10">
        <f>3708+722</f>
        <v>4430</v>
      </c>
      <c r="O34" s="11"/>
      <c r="P34" s="11"/>
      <c r="R34" s="8">
        <f>3241+783</f>
        <v>4024</v>
      </c>
      <c r="S34" s="8">
        <f>2819+907</f>
        <v>3726</v>
      </c>
      <c r="T34" s="8">
        <f>2314+1034</f>
        <v>3348</v>
      </c>
      <c r="U34" s="8">
        <f>1851+1188</f>
        <v>3039</v>
      </c>
      <c r="V34" s="8">
        <f>1568+1420</f>
        <v>2988</v>
      </c>
      <c r="W34" s="8">
        <f>1341+1676</f>
        <v>3017</v>
      </c>
      <c r="X34" s="8">
        <f>1135+1824</f>
        <v>2959</v>
      </c>
    </row>
    <row r="35" spans="1:24" ht="35.25" customHeight="1">
      <c r="A35" s="236" t="s">
        <v>201</v>
      </c>
      <c r="B35" s="372" t="s">
        <v>391</v>
      </c>
      <c r="C35" s="241"/>
      <c r="D35" s="241"/>
      <c r="E35" s="241"/>
      <c r="F35" s="241"/>
      <c r="G35" s="241">
        <v>793</v>
      </c>
      <c r="H35" s="241">
        <v>1641</v>
      </c>
      <c r="I35" s="241">
        <v>2694</v>
      </c>
      <c r="J35" s="241">
        <v>3794</v>
      </c>
      <c r="K35" s="241">
        <v>4922</v>
      </c>
      <c r="L35" s="241">
        <f>Movement!R46</f>
        <v>6061</v>
      </c>
      <c r="M35" s="8">
        <v>7189</v>
      </c>
      <c r="N35" s="8">
        <v>8401</v>
      </c>
      <c r="O35" s="26"/>
      <c r="P35" s="26"/>
      <c r="R35" s="8">
        <v>9256</v>
      </c>
      <c r="S35" s="8">
        <v>10252</v>
      </c>
      <c r="T35" s="8">
        <f>11553+32</f>
        <v>11585</v>
      </c>
      <c r="U35" s="8">
        <f>12567+44</f>
        <v>12611</v>
      </c>
      <c r="V35" s="8">
        <f>13538+53</f>
        <v>13591</v>
      </c>
      <c r="W35" s="8">
        <f>14277+72</f>
        <v>14349</v>
      </c>
      <c r="X35" s="8">
        <f>14980+86</f>
        <v>15066</v>
      </c>
    </row>
    <row r="36" spans="1:24" ht="21.75" customHeight="1">
      <c r="A36" s="234" t="s">
        <v>324</v>
      </c>
      <c r="B36" s="373" t="s">
        <v>392</v>
      </c>
      <c r="C36" s="235">
        <f t="shared" ref="C36:I36" si="19">C34+C35</f>
        <v>6830</v>
      </c>
      <c r="D36" s="235">
        <f t="shared" si="19"/>
        <v>6996</v>
      </c>
      <c r="E36" s="235">
        <f t="shared" si="19"/>
        <v>7290</v>
      </c>
      <c r="F36" s="235">
        <f t="shared" si="19"/>
        <v>7534</v>
      </c>
      <c r="G36" s="235">
        <f t="shared" si="19"/>
        <v>8012</v>
      </c>
      <c r="H36" s="235">
        <f t="shared" si="19"/>
        <v>8454</v>
      </c>
      <c r="I36" s="235">
        <f t="shared" si="19"/>
        <v>9074</v>
      </c>
      <c r="J36" s="235">
        <f t="shared" ref="J36:S36" si="20">J34+J35</f>
        <v>9880</v>
      </c>
      <c r="K36" s="235">
        <f>K34+K35</f>
        <v>10610</v>
      </c>
      <c r="L36" s="235">
        <f t="shared" si="20"/>
        <v>10864</v>
      </c>
      <c r="M36" s="235">
        <f t="shared" si="20"/>
        <v>11988</v>
      </c>
      <c r="N36" s="235">
        <f t="shared" si="20"/>
        <v>12831</v>
      </c>
      <c r="O36" s="235">
        <f t="shared" si="20"/>
        <v>0</v>
      </c>
      <c r="P36" s="235">
        <f t="shared" si="20"/>
        <v>0</v>
      </c>
      <c r="R36" s="235">
        <f t="shared" si="20"/>
        <v>13280</v>
      </c>
      <c r="S36" s="235">
        <f t="shared" si="20"/>
        <v>13978</v>
      </c>
      <c r="T36" s="235">
        <f>T34+T35</f>
        <v>14933</v>
      </c>
      <c r="U36" s="235">
        <f>U34+U35</f>
        <v>15650</v>
      </c>
      <c r="V36" s="235">
        <f>V34+V35</f>
        <v>16579</v>
      </c>
      <c r="W36" s="235">
        <f>W34+W35</f>
        <v>17366</v>
      </c>
      <c r="X36" s="235">
        <f>X34+X35</f>
        <v>18025</v>
      </c>
    </row>
    <row r="37" spans="1:24">
      <c r="A37" s="236" t="s">
        <v>56</v>
      </c>
      <c r="B37" s="372" t="s">
        <v>393</v>
      </c>
      <c r="C37" s="241">
        <v>36708</v>
      </c>
      <c r="D37" s="241">
        <v>35501</v>
      </c>
      <c r="E37" s="241">
        <v>34569</v>
      </c>
      <c r="F37" s="241">
        <v>33676</v>
      </c>
      <c r="G37" s="241">
        <f>31887+G35</f>
        <v>32680</v>
      </c>
      <c r="H37" s="241">
        <f>29993+H35</f>
        <v>31634</v>
      </c>
      <c r="I37" s="241">
        <f>28070+I35</f>
        <v>30764</v>
      </c>
      <c r="J37" s="241">
        <f>26126+J35</f>
        <v>29920</v>
      </c>
      <c r="K37" s="241">
        <f>24303+K35</f>
        <v>29225</v>
      </c>
      <c r="L37" s="241">
        <f>22615+L35</f>
        <v>28676</v>
      </c>
      <c r="M37" s="8">
        <f>20993+M35</f>
        <v>28182</v>
      </c>
      <c r="N37" s="8">
        <f>19311+N35</f>
        <v>27712</v>
      </c>
      <c r="O37" s="26"/>
      <c r="P37" s="26"/>
      <c r="R37" s="8">
        <f>17734+R35</f>
        <v>26990</v>
      </c>
      <c r="S37" s="8">
        <f>16145+S35</f>
        <v>26397</v>
      </c>
      <c r="T37" s="8">
        <f>14580+T35</f>
        <v>26165</v>
      </c>
      <c r="U37" s="8">
        <f>10198+U35</f>
        <v>22809</v>
      </c>
      <c r="V37" s="8">
        <f>12129+V35</f>
        <v>25720</v>
      </c>
      <c r="W37" s="8">
        <f>14349+11119</f>
        <v>25468</v>
      </c>
      <c r="X37" s="8">
        <f>1135+1824+14980+86+7208</f>
        <v>25233</v>
      </c>
    </row>
    <row r="38" spans="1:24" ht="28.5">
      <c r="A38" s="236" t="s">
        <v>71</v>
      </c>
      <c r="B38" s="372" t="s">
        <v>394</v>
      </c>
      <c r="C38" s="240">
        <f>C34/C37</f>
        <v>0.18606298354582107</v>
      </c>
      <c r="D38" s="240">
        <f>D34/D37</f>
        <v>0.19706487141207291</v>
      </c>
      <c r="E38" s="240">
        <f>E34/E37</f>
        <v>0.21088258266076543</v>
      </c>
      <c r="F38" s="240">
        <f>F34/F37</f>
        <v>0.22372015678821713</v>
      </c>
      <c r="G38" s="240">
        <f t="shared" ref="G38:U38" si="21">G36/G37</f>
        <v>0.24516523867809056</v>
      </c>
      <c r="H38" s="240">
        <f t="shared" si="21"/>
        <v>0.26724410444458496</v>
      </c>
      <c r="I38" s="240">
        <f t="shared" si="21"/>
        <v>0.29495514237420362</v>
      </c>
      <c r="J38" s="240">
        <f t="shared" si="21"/>
        <v>0.3302139037433155</v>
      </c>
      <c r="K38" s="240">
        <f t="shared" si="21"/>
        <v>0.36304533789563731</v>
      </c>
      <c r="L38" s="240">
        <f t="shared" si="21"/>
        <v>0.3788533965685591</v>
      </c>
      <c r="M38" s="240">
        <f t="shared" si="21"/>
        <v>0.42537790078773685</v>
      </c>
      <c r="N38" s="240">
        <f t="shared" si="21"/>
        <v>0.46301241339491916</v>
      </c>
      <c r="O38" s="240" t="e">
        <f t="shared" si="21"/>
        <v>#DIV/0!</v>
      </c>
      <c r="P38" s="240" t="e">
        <f t="shared" si="21"/>
        <v>#DIV/0!</v>
      </c>
      <c r="R38" s="240">
        <f t="shared" si="21"/>
        <v>0.49203408669877735</v>
      </c>
      <c r="S38" s="240">
        <f t="shared" si="21"/>
        <v>0.52952987081865366</v>
      </c>
      <c r="T38" s="240">
        <f t="shared" si="21"/>
        <v>0.57072424995222626</v>
      </c>
      <c r="U38" s="240">
        <f t="shared" si="21"/>
        <v>0.68613266692972075</v>
      </c>
      <c r="V38" s="240">
        <f>V36/V37</f>
        <v>0.64459564541213066</v>
      </c>
      <c r="W38" s="240">
        <f>W36/W37</f>
        <v>0.68187529448719963</v>
      </c>
      <c r="X38" s="240">
        <f>X36/X37</f>
        <v>0.71434232948916099</v>
      </c>
    </row>
    <row r="39" spans="1:24" ht="18">
      <c r="A39" s="218"/>
      <c r="B39" s="37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1"/>
      <c r="P39" s="1"/>
      <c r="R39" s="27"/>
      <c r="S39" s="27"/>
      <c r="T39" s="27"/>
      <c r="U39" s="27"/>
      <c r="V39" s="27"/>
      <c r="W39" s="27"/>
      <c r="X39" s="27"/>
    </row>
    <row r="40" spans="1:24">
      <c r="A40" s="236" t="s">
        <v>70</v>
      </c>
      <c r="B40" s="372" t="s">
        <v>395</v>
      </c>
      <c r="C40" s="241">
        <v>1870904.12</v>
      </c>
      <c r="D40" s="241">
        <v>1412821.92</v>
      </c>
      <c r="E40" s="241">
        <v>1302068.5</v>
      </c>
      <c r="F40" s="241">
        <v>1024507</v>
      </c>
      <c r="G40" s="241">
        <v>832082</v>
      </c>
      <c r="H40" s="241">
        <v>603342.47</v>
      </c>
      <c r="I40" s="241">
        <v>451452.05000000075</v>
      </c>
      <c r="J40" s="241">
        <v>304534.25</v>
      </c>
      <c r="K40" s="241">
        <v>142698.63</v>
      </c>
      <c r="L40" s="241">
        <v>12205.479999999516</v>
      </c>
      <c r="M40" s="10">
        <v>0</v>
      </c>
      <c r="N40" s="10">
        <v>0</v>
      </c>
      <c r="O40" s="11"/>
      <c r="P40" s="11"/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f>21479</f>
        <v>21479</v>
      </c>
      <c r="X40" s="8">
        <v>397447.54</v>
      </c>
    </row>
    <row r="41" spans="1:24" ht="18">
      <c r="A41" s="218"/>
      <c r="B41" s="374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1"/>
      <c r="P41" s="1"/>
      <c r="R41" s="27"/>
      <c r="S41" s="27"/>
      <c r="T41" s="27"/>
      <c r="U41" s="27"/>
      <c r="V41" s="27"/>
      <c r="W41" s="27"/>
      <c r="X41" s="27"/>
    </row>
    <row r="42" spans="1:24" ht="28.5">
      <c r="A42" s="236" t="s">
        <v>73</v>
      </c>
      <c r="B42" s="372" t="s">
        <v>396</v>
      </c>
      <c r="C42" s="241">
        <f>(C3*1000)/C34</f>
        <v>373.79209370424599</v>
      </c>
      <c r="D42" s="241">
        <f>(D3*1000)/D34</f>
        <v>352.48713550600343</v>
      </c>
      <c r="E42" s="241">
        <f>(E3*1000)/E34</f>
        <v>399.1769547325103</v>
      </c>
      <c r="F42" s="241">
        <f>(F3*1000)/F34</f>
        <v>385.18715157950624</v>
      </c>
      <c r="G42" s="241">
        <f t="shared" ref="G42:P42" si="22">(G3+G4)*1000/G36</f>
        <v>413.62922241637563</v>
      </c>
      <c r="H42" s="241">
        <f t="shared" si="22"/>
        <v>421.50640170333531</v>
      </c>
      <c r="I42" s="241">
        <f t="shared" si="22"/>
        <v>474.0866167070763</v>
      </c>
      <c r="J42" s="241">
        <f t="shared" si="22"/>
        <v>509.77313532388303</v>
      </c>
      <c r="K42" s="241">
        <f t="shared" si="22"/>
        <v>523.97708294062568</v>
      </c>
      <c r="L42" s="241">
        <f t="shared" si="22"/>
        <v>608.04134545287184</v>
      </c>
      <c r="M42" s="8">
        <f t="shared" si="22"/>
        <v>562.13288246579782</v>
      </c>
      <c r="N42" s="8">
        <f>(N3+N4)*1000/N36</f>
        <v>625.8630800405266</v>
      </c>
      <c r="O42" s="8" t="e">
        <f t="shared" si="22"/>
        <v>#DIV/0!</v>
      </c>
      <c r="P42" s="8" t="e">
        <f t="shared" si="22"/>
        <v>#DIV/0!</v>
      </c>
      <c r="R42" s="8">
        <f t="shared" ref="R42:V42" si="23">(R3+R4)*1000/R36</f>
        <v>627.80992243975913</v>
      </c>
      <c r="S42" s="8">
        <f t="shared" si="23"/>
        <v>596.89243167835173</v>
      </c>
      <c r="T42" s="8">
        <f t="shared" si="23"/>
        <v>641.74173642268795</v>
      </c>
      <c r="U42" s="8">
        <f t="shared" si="23"/>
        <v>630.31765367412129</v>
      </c>
      <c r="V42" s="8">
        <f t="shared" si="23"/>
        <v>663.71086675915308</v>
      </c>
      <c r="W42" s="8">
        <f>(W3+W4)*1000/W36</f>
        <v>652.24758493608203</v>
      </c>
      <c r="X42" s="8">
        <f>(X3+X4)*1000/X36</f>
        <v>675.28521497919553</v>
      </c>
    </row>
    <row r="43" spans="1:24" ht="18">
      <c r="A43" s="218"/>
      <c r="B43" s="21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4"/>
      <c r="N43" s="4"/>
    </row>
    <row r="44" spans="1:24" ht="18">
      <c r="A44" s="218"/>
      <c r="B44" s="21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4"/>
      <c r="N44" s="4"/>
    </row>
    <row r="45" spans="1:24" ht="18">
      <c r="A45" s="218"/>
      <c r="B45" s="21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4"/>
      <c r="N45" s="4"/>
    </row>
    <row r="46" spans="1:24" ht="18">
      <c r="A46" s="218"/>
      <c r="B46" s="21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4"/>
      <c r="N46" s="4"/>
    </row>
    <row r="47" spans="1:24" ht="18">
      <c r="A47" s="218"/>
      <c r="B47" s="21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4"/>
      <c r="N47" s="4"/>
    </row>
    <row r="48" spans="1:24" ht="18">
      <c r="A48" s="218"/>
      <c r="B48" s="21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4"/>
      <c r="N48" s="4"/>
    </row>
    <row r="49" spans="1:14" ht="18">
      <c r="A49" s="218"/>
      <c r="B49" s="21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4"/>
      <c r="N49" s="4"/>
    </row>
    <row r="50" spans="1:14" ht="18">
      <c r="A50" s="218"/>
      <c r="B50" s="21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4"/>
      <c r="N50" s="4"/>
    </row>
    <row r="51" spans="1:14" ht="18">
      <c r="A51" s="218"/>
      <c r="B51" s="21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4"/>
      <c r="N51" s="4"/>
    </row>
    <row r="52" spans="1:14" ht="18">
      <c r="A52" s="218"/>
      <c r="B52" s="21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4"/>
      <c r="N52" s="4"/>
    </row>
    <row r="53" spans="1:14" ht="18">
      <c r="A53" s="218"/>
      <c r="B53" s="21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4"/>
      <c r="N53" s="4"/>
    </row>
    <row r="54" spans="1:14" ht="18">
      <c r="A54" s="218"/>
      <c r="B54" s="21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4"/>
      <c r="N54" s="4"/>
    </row>
    <row r="55" spans="1:14" ht="18">
      <c r="A55" s="218"/>
      <c r="B55" s="21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4"/>
      <c r="N55" s="4"/>
    </row>
    <row r="56" spans="1:14" ht="18">
      <c r="A56" s="218"/>
      <c r="B56" s="21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4"/>
      <c r="N56" s="4"/>
    </row>
    <row r="57" spans="1:14" ht="18">
      <c r="A57" s="218"/>
      <c r="B57" s="21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4"/>
      <c r="N57" s="4"/>
    </row>
    <row r="58" spans="1:14" ht="18">
      <c r="A58" s="218"/>
      <c r="B58" s="21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4"/>
      <c r="N58" s="4"/>
    </row>
    <row r="59" spans="1:14" ht="18">
      <c r="A59" s="218"/>
      <c r="B59" s="21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4"/>
      <c r="N59" s="4"/>
    </row>
    <row r="60" spans="1:14" ht="18">
      <c r="A60" s="218"/>
      <c r="B60" s="218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4"/>
      <c r="N60" s="4"/>
    </row>
    <row r="61" spans="1:14" ht="18">
      <c r="A61" s="218"/>
      <c r="B61" s="21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4"/>
      <c r="N61" s="4"/>
    </row>
    <row r="62" spans="1:14" ht="18">
      <c r="A62" s="218"/>
      <c r="B62" s="21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4"/>
      <c r="N62" s="4"/>
    </row>
    <row r="63" spans="1:14" ht="18">
      <c r="A63" s="218"/>
      <c r="B63" s="21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4"/>
      <c r="N63" s="4"/>
    </row>
    <row r="64" spans="1:14" ht="18">
      <c r="A64" s="218"/>
      <c r="B64" s="21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4"/>
      <c r="N64" s="4"/>
    </row>
    <row r="65" spans="1:14" ht="18">
      <c r="A65" s="218"/>
      <c r="B65" s="21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4"/>
      <c r="N65" s="4"/>
    </row>
    <row r="66" spans="1:14" ht="18">
      <c r="A66" s="218"/>
      <c r="B66" s="218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4"/>
      <c r="N66" s="4"/>
    </row>
    <row r="67" spans="1:14" ht="18">
      <c r="A67" s="218"/>
      <c r="B67" s="21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4"/>
      <c r="N67" s="4"/>
    </row>
    <row r="68" spans="1:14" ht="18">
      <c r="A68" s="218"/>
      <c r="B68" s="21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4"/>
      <c r="N68" s="4"/>
    </row>
    <row r="69" spans="1:14" ht="18">
      <c r="A69" s="218"/>
      <c r="B69" s="21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4"/>
      <c r="N69" s="4"/>
    </row>
    <row r="70" spans="1:14" ht="18">
      <c r="A70" s="218"/>
      <c r="B70" s="21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4"/>
      <c r="N70" s="4"/>
    </row>
    <row r="71" spans="1:14" ht="18">
      <c r="A71" s="218"/>
      <c r="B71" s="218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4"/>
      <c r="N71" s="4"/>
    </row>
    <row r="72" spans="1:14" ht="18">
      <c r="A72" s="218"/>
      <c r="B72" s="218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4"/>
      <c r="N72" s="4"/>
    </row>
    <row r="73" spans="1:14" ht="18">
      <c r="A73" s="218"/>
      <c r="B73" s="21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4"/>
      <c r="N73" s="4"/>
    </row>
    <row r="74" spans="1:14" ht="18">
      <c r="A74" s="218"/>
      <c r="B74" s="218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4"/>
      <c r="N74" s="4"/>
    </row>
    <row r="75" spans="1:14" ht="18">
      <c r="A75" s="218"/>
      <c r="B75" s="218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4"/>
      <c r="N75" s="4"/>
    </row>
    <row r="76" spans="1:14" ht="18">
      <c r="A76" s="218"/>
      <c r="B76" s="218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4"/>
      <c r="N76" s="4"/>
    </row>
    <row r="77" spans="1:14" ht="18">
      <c r="A77" s="218"/>
      <c r="B77" s="21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4"/>
      <c r="N77" s="4"/>
    </row>
    <row r="78" spans="1:14" ht="18">
      <c r="A78" s="218"/>
      <c r="B78" s="21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4"/>
      <c r="N78" s="4"/>
    </row>
    <row r="79" spans="1:14" ht="18">
      <c r="A79" s="218"/>
      <c r="B79" s="21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4"/>
      <c r="N79" s="4"/>
    </row>
    <row r="80" spans="1:14" ht="18">
      <c r="A80" s="218"/>
      <c r="B80" s="21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4"/>
      <c r="N80" s="4"/>
    </row>
    <row r="81" spans="1:14" ht="18">
      <c r="A81" s="218"/>
      <c r="B81" s="21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4"/>
      <c r="N81" s="4"/>
    </row>
    <row r="82" spans="1:14" ht="18">
      <c r="A82" s="218"/>
      <c r="B82" s="21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4"/>
      <c r="N82" s="4"/>
    </row>
    <row r="83" spans="1:14" ht="18">
      <c r="A83" s="218"/>
      <c r="B83" s="21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4"/>
      <c r="N83" s="4"/>
    </row>
    <row r="84" spans="1:14" ht="18">
      <c r="A84" s="218"/>
      <c r="B84" s="218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4"/>
      <c r="N84" s="4"/>
    </row>
    <row r="85" spans="1:14" ht="18">
      <c r="A85" s="218"/>
      <c r="B85" s="21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4"/>
      <c r="N85" s="4"/>
    </row>
    <row r="86" spans="1:14" ht="18">
      <c r="A86" s="218"/>
      <c r="B86" s="21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4"/>
      <c r="N86" s="4"/>
    </row>
    <row r="87" spans="1:14" ht="18">
      <c r="A87" s="218"/>
      <c r="B87" s="21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4"/>
      <c r="N87" s="4"/>
    </row>
    <row r="88" spans="1:14" ht="18">
      <c r="A88" s="218"/>
      <c r="B88" s="218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4"/>
      <c r="N88" s="4"/>
    </row>
    <row r="89" spans="1:14" ht="18">
      <c r="A89" s="218"/>
      <c r="B89" s="21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4"/>
      <c r="N89" s="4"/>
    </row>
    <row r="90" spans="1:14" ht="18">
      <c r="A90" s="218"/>
      <c r="B90" s="218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4"/>
      <c r="N90" s="4"/>
    </row>
    <row r="91" spans="1:14" ht="18">
      <c r="A91" s="218"/>
      <c r="B91" s="21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4"/>
      <c r="N91" s="4"/>
    </row>
    <row r="92" spans="1:14" ht="18">
      <c r="A92" s="218"/>
      <c r="B92" s="218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4"/>
      <c r="N92" s="4"/>
    </row>
    <row r="93" spans="1:14" ht="18">
      <c r="A93" s="218"/>
      <c r="B93" s="21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4"/>
      <c r="N93" s="4"/>
    </row>
    <row r="94" spans="1:14" ht="18">
      <c r="A94" s="218"/>
      <c r="B94" s="218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4"/>
      <c r="N94" s="4"/>
    </row>
    <row r="95" spans="1:14" ht="18">
      <c r="A95" s="218"/>
      <c r="B95" s="21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4"/>
      <c r="N95" s="4"/>
    </row>
    <row r="96" spans="1:14" ht="18">
      <c r="A96" s="218"/>
      <c r="B96" s="218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4"/>
      <c r="N96" s="4"/>
    </row>
    <row r="97" spans="1:14" ht="18">
      <c r="A97" s="218"/>
      <c r="B97" s="21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4"/>
      <c r="N97" s="4"/>
    </row>
    <row r="98" spans="1:14" ht="18">
      <c r="A98" s="218"/>
      <c r="B98" s="218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4"/>
      <c r="N98" s="4"/>
    </row>
    <row r="99" spans="1:14" ht="18">
      <c r="A99" s="218"/>
      <c r="B99" s="21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4"/>
      <c r="N99" s="4"/>
    </row>
    <row r="100" spans="1:14" ht="18">
      <c r="A100" s="218"/>
      <c r="B100" s="218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4"/>
      <c r="N100" s="4"/>
    </row>
    <row r="101" spans="1:14" ht="18">
      <c r="A101" s="218"/>
      <c r="B101" s="218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4"/>
      <c r="N101" s="4"/>
    </row>
    <row r="102" spans="1:14" ht="18">
      <c r="A102" s="218"/>
      <c r="B102" s="218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4"/>
      <c r="N102" s="4"/>
    </row>
    <row r="103" spans="1:14" ht="18">
      <c r="A103" s="218"/>
      <c r="B103" s="21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4"/>
      <c r="N103" s="4"/>
    </row>
    <row r="104" spans="1:14" ht="18">
      <c r="A104" s="218"/>
      <c r="B104" s="218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4"/>
      <c r="N104" s="4"/>
    </row>
    <row r="105" spans="1:14" ht="18">
      <c r="A105" s="218"/>
      <c r="B105" s="218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4"/>
      <c r="N105" s="4"/>
    </row>
    <row r="106" spans="1:14" ht="18">
      <c r="A106" s="218"/>
      <c r="B106" s="218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4"/>
      <c r="N106" s="4"/>
    </row>
    <row r="107" spans="1:14" ht="18">
      <c r="A107" s="218"/>
      <c r="B107" s="218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4"/>
      <c r="N107" s="4"/>
    </row>
    <row r="108" spans="1:14" ht="18">
      <c r="A108" s="218"/>
      <c r="B108" s="218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4"/>
      <c r="N108" s="4"/>
    </row>
    <row r="109" spans="1:14" ht="18">
      <c r="A109" s="218"/>
      <c r="B109" s="218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4"/>
      <c r="N109" s="4"/>
    </row>
    <row r="110" spans="1:14" ht="18">
      <c r="A110" s="218"/>
      <c r="B110" s="218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4"/>
      <c r="N110" s="4"/>
    </row>
    <row r="111" spans="1:14" ht="18">
      <c r="A111" s="218"/>
      <c r="B111" s="218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4"/>
      <c r="N111" s="4"/>
    </row>
    <row r="112" spans="1:14" ht="18">
      <c r="A112" s="218"/>
      <c r="B112" s="218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4"/>
      <c r="N112" s="4"/>
    </row>
    <row r="113" spans="1:14" ht="18">
      <c r="A113" s="218"/>
      <c r="B113" s="218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4"/>
      <c r="N113" s="4"/>
    </row>
    <row r="114" spans="1:14" ht="18">
      <c r="A114" s="218"/>
      <c r="B114" s="218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4"/>
      <c r="N114" s="4"/>
    </row>
    <row r="115" spans="1:14" ht="18">
      <c r="A115" s="218"/>
      <c r="B115" s="218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4"/>
      <c r="N115" s="4"/>
    </row>
    <row r="116" spans="1:14" ht="18">
      <c r="A116" s="218"/>
      <c r="B116" s="218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4"/>
      <c r="N116" s="4"/>
    </row>
    <row r="117" spans="1:14" ht="18">
      <c r="A117" s="218"/>
      <c r="B117" s="21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4"/>
      <c r="N117" s="4"/>
    </row>
    <row r="118" spans="1:14" ht="18">
      <c r="A118" s="218"/>
      <c r="B118" s="218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4"/>
      <c r="N118" s="4"/>
    </row>
    <row r="119" spans="1:14" ht="18">
      <c r="A119" s="218"/>
      <c r="B119" s="218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4"/>
      <c r="N119" s="4"/>
    </row>
    <row r="120" spans="1:14" ht="18">
      <c r="A120" s="218"/>
      <c r="B120" s="21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4"/>
      <c r="N120" s="4"/>
    </row>
    <row r="121" spans="1:14" ht="18">
      <c r="A121" s="218"/>
      <c r="B121" s="218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4"/>
      <c r="N121" s="4"/>
    </row>
    <row r="122" spans="1:14" ht="18">
      <c r="A122" s="218"/>
      <c r="B122" s="21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4"/>
      <c r="N122" s="4"/>
    </row>
    <row r="123" spans="1:14" ht="18">
      <c r="A123" s="218"/>
      <c r="B123" s="21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4"/>
      <c r="N123" s="4"/>
    </row>
    <row r="124" spans="1:14" ht="18">
      <c r="A124" s="218"/>
      <c r="B124" s="218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4"/>
      <c r="N124" s="4"/>
    </row>
    <row r="125" spans="1:14" ht="18">
      <c r="A125" s="218"/>
      <c r="B125" s="218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4"/>
      <c r="N125" s="4"/>
    </row>
    <row r="126" spans="1:14" ht="18">
      <c r="A126" s="218"/>
      <c r="B126" s="218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4"/>
      <c r="N126" s="4"/>
    </row>
    <row r="127" spans="1:14" ht="18">
      <c r="A127" s="218"/>
      <c r="B127" s="218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4"/>
      <c r="N127" s="4"/>
    </row>
    <row r="128" spans="1:14" ht="18">
      <c r="A128" s="218"/>
      <c r="B128" s="218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4"/>
      <c r="N128" s="4"/>
    </row>
    <row r="129" spans="1:14" ht="18">
      <c r="A129" s="218"/>
      <c r="B129" s="218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4"/>
      <c r="N129" s="4"/>
    </row>
    <row r="130" spans="1:14" ht="18">
      <c r="A130" s="218"/>
      <c r="B130" s="218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4"/>
      <c r="N130" s="4"/>
    </row>
    <row r="131" spans="1:14" ht="18">
      <c r="A131" s="218"/>
      <c r="B131" s="218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4"/>
      <c r="N131" s="4"/>
    </row>
    <row r="132" spans="1:14" ht="18">
      <c r="A132" s="218"/>
      <c r="B132" s="218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4"/>
      <c r="N132" s="4"/>
    </row>
    <row r="133" spans="1:14" ht="18">
      <c r="A133" s="218"/>
      <c r="B133" s="218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4"/>
      <c r="N133" s="4"/>
    </row>
    <row r="134" spans="1:14" ht="18">
      <c r="A134" s="218"/>
      <c r="B134" s="218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4"/>
      <c r="N134" s="4"/>
    </row>
    <row r="135" spans="1:14" ht="18">
      <c r="A135" s="218"/>
      <c r="B135" s="218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4"/>
      <c r="N135" s="4"/>
    </row>
    <row r="136" spans="1:14" ht="18">
      <c r="A136" s="218"/>
      <c r="B136" s="218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4"/>
      <c r="N136" s="4"/>
    </row>
    <row r="137" spans="1:14" ht="18">
      <c r="A137" s="218"/>
      <c r="B137" s="218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4"/>
      <c r="N137" s="4"/>
    </row>
    <row r="138" spans="1:14" ht="18">
      <c r="A138" s="218"/>
      <c r="B138" s="218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4"/>
      <c r="N138" s="4"/>
    </row>
    <row r="139" spans="1:14" ht="18">
      <c r="A139" s="218"/>
      <c r="B139" s="218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4"/>
      <c r="N139" s="4"/>
    </row>
    <row r="140" spans="1:14" ht="18">
      <c r="A140" s="218"/>
      <c r="B140" s="218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4"/>
      <c r="N140" s="4"/>
    </row>
    <row r="141" spans="1:14" ht="18">
      <c r="A141" s="218"/>
      <c r="B141" s="218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4"/>
      <c r="N141" s="4"/>
    </row>
    <row r="142" spans="1:14" ht="18">
      <c r="A142" s="218"/>
      <c r="B142" s="218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4"/>
      <c r="N142" s="4"/>
    </row>
    <row r="143" spans="1:14" ht="18">
      <c r="A143" s="218"/>
      <c r="B143" s="218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4"/>
      <c r="N143" s="4"/>
    </row>
    <row r="144" spans="1:14" ht="18">
      <c r="A144" s="218"/>
      <c r="B144" s="218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4"/>
      <c r="N144" s="4"/>
    </row>
    <row r="145" spans="1:14" ht="18">
      <c r="A145" s="218"/>
      <c r="B145" s="218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4"/>
      <c r="N145" s="4"/>
    </row>
    <row r="146" spans="1:14" ht="18">
      <c r="A146" s="218"/>
      <c r="B146" s="21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4"/>
      <c r="N146" s="4"/>
    </row>
    <row r="147" spans="1:14" ht="18">
      <c r="A147" s="218"/>
      <c r="B147" s="218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4"/>
      <c r="N147" s="4"/>
    </row>
    <row r="148" spans="1:14" ht="18">
      <c r="A148" s="218"/>
      <c r="B148" s="218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4"/>
      <c r="N148" s="4"/>
    </row>
    <row r="149" spans="1:14" ht="18">
      <c r="A149" s="218"/>
      <c r="B149" s="218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4"/>
      <c r="N149" s="4"/>
    </row>
    <row r="150" spans="1:14" ht="18">
      <c r="A150" s="218"/>
      <c r="B150" s="218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4"/>
      <c r="N150" s="4"/>
    </row>
    <row r="151" spans="1:14" ht="18">
      <c r="A151" s="218"/>
      <c r="B151" s="21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4"/>
      <c r="N151" s="4"/>
    </row>
    <row r="152" spans="1:14" ht="18">
      <c r="A152" s="218"/>
      <c r="B152" s="218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4"/>
      <c r="N152" s="4"/>
    </row>
    <row r="153" spans="1:14" ht="18">
      <c r="A153" s="218"/>
      <c r="B153" s="218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4"/>
      <c r="N153" s="4"/>
    </row>
    <row r="154" spans="1:14" ht="18">
      <c r="A154" s="218"/>
      <c r="B154" s="218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4"/>
      <c r="N154" s="4"/>
    </row>
    <row r="155" spans="1:14" ht="18">
      <c r="A155" s="218"/>
      <c r="B155" s="218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4"/>
      <c r="N155" s="4"/>
    </row>
    <row r="156" spans="1:14" ht="18">
      <c r="A156" s="218"/>
      <c r="B156" s="218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4"/>
      <c r="N156" s="4"/>
    </row>
    <row r="157" spans="1:14" ht="18">
      <c r="A157" s="218"/>
      <c r="B157" s="21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4"/>
      <c r="N157" s="4"/>
    </row>
    <row r="158" spans="1:14" ht="18">
      <c r="A158" s="218"/>
      <c r="B158" s="218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4"/>
      <c r="N158" s="4"/>
    </row>
    <row r="159" spans="1:14" ht="18">
      <c r="A159" s="218"/>
      <c r="B159" s="218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4"/>
      <c r="N159" s="4"/>
    </row>
    <row r="160" spans="1:14" ht="18">
      <c r="A160" s="218"/>
      <c r="B160" s="218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4"/>
      <c r="N160" s="4"/>
    </row>
    <row r="161" spans="1:14" ht="18">
      <c r="A161" s="218"/>
      <c r="B161" s="218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4"/>
      <c r="N161" s="4"/>
    </row>
    <row r="162" spans="1:14" ht="18">
      <c r="A162" s="218"/>
      <c r="B162" s="218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4"/>
      <c r="N162" s="4"/>
    </row>
    <row r="163" spans="1:14" ht="18">
      <c r="A163" s="218"/>
      <c r="B163" s="218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4"/>
      <c r="N163" s="4"/>
    </row>
    <row r="164" spans="1:14" ht="18">
      <c r="A164" s="218"/>
      <c r="B164" s="218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4"/>
      <c r="N164" s="4"/>
    </row>
    <row r="165" spans="1:14" ht="18">
      <c r="A165" s="218"/>
      <c r="B165" s="218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4"/>
      <c r="N165" s="4"/>
    </row>
    <row r="166" spans="1:14" ht="18">
      <c r="A166" s="218"/>
      <c r="B166" s="218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4"/>
      <c r="N166" s="4"/>
    </row>
    <row r="167" spans="1:14" ht="18">
      <c r="A167" s="218"/>
      <c r="B167" s="218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4"/>
      <c r="N167" s="4"/>
    </row>
    <row r="168" spans="1:14" ht="18">
      <c r="A168" s="218"/>
      <c r="B168" s="218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4"/>
      <c r="N168" s="4"/>
    </row>
    <row r="169" spans="1:14" ht="18">
      <c r="A169" s="218"/>
      <c r="B169" s="218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4"/>
      <c r="N169" s="4"/>
    </row>
    <row r="170" spans="1:14" ht="18">
      <c r="A170" s="218"/>
      <c r="B170" s="218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4"/>
      <c r="N170" s="4"/>
    </row>
    <row r="171" spans="1:14" ht="18">
      <c r="A171" s="218"/>
      <c r="B171" s="218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4"/>
      <c r="N171" s="4"/>
    </row>
    <row r="172" spans="1:14" ht="18">
      <c r="A172" s="218"/>
      <c r="B172" s="218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4"/>
      <c r="N172" s="4"/>
    </row>
    <row r="173" spans="1:14" ht="18">
      <c r="A173" s="218"/>
      <c r="B173" s="218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4"/>
      <c r="N173" s="4"/>
    </row>
    <row r="174" spans="1:14" ht="18">
      <c r="A174" s="218"/>
      <c r="B174" s="218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4"/>
      <c r="N174" s="4"/>
    </row>
    <row r="175" spans="1:14" ht="18">
      <c r="A175" s="218"/>
      <c r="B175" s="218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4"/>
      <c r="N175" s="4"/>
    </row>
    <row r="176" spans="1:14" ht="18">
      <c r="A176" s="218"/>
      <c r="B176" s="218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4"/>
      <c r="N176" s="4"/>
    </row>
    <row r="177" spans="1:14" ht="18">
      <c r="A177" s="218"/>
      <c r="B177" s="218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4"/>
      <c r="N177" s="4"/>
    </row>
    <row r="178" spans="1:14" ht="18">
      <c r="A178" s="218"/>
      <c r="B178" s="218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4"/>
      <c r="N178" s="4"/>
    </row>
    <row r="179" spans="1:14" ht="18">
      <c r="A179" s="218"/>
      <c r="B179" s="21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4"/>
      <c r="N179" s="4"/>
    </row>
    <row r="180" spans="1:14" ht="18">
      <c r="A180" s="218"/>
      <c r="B180" s="218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4"/>
      <c r="N180" s="4"/>
    </row>
    <row r="181" spans="1:14" ht="18">
      <c r="A181" s="218"/>
      <c r="B181" s="218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4"/>
      <c r="N181" s="4"/>
    </row>
    <row r="182" spans="1:14" ht="18">
      <c r="A182" s="218"/>
      <c r="B182" s="218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4"/>
      <c r="N182" s="4"/>
    </row>
    <row r="183" spans="1:14" ht="18">
      <c r="A183" s="218"/>
      <c r="B183" s="218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4"/>
      <c r="N183" s="4"/>
    </row>
    <row r="184" spans="1:14" ht="18">
      <c r="A184" s="218"/>
      <c r="B184" s="218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4"/>
      <c r="N184" s="4"/>
    </row>
    <row r="185" spans="1:14" ht="18">
      <c r="A185" s="218"/>
      <c r="B185" s="21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4"/>
      <c r="N185" s="4"/>
    </row>
    <row r="186" spans="1:14" ht="18">
      <c r="A186" s="218"/>
      <c r="B186" s="21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4"/>
      <c r="N186" s="4"/>
    </row>
    <row r="187" spans="1:14" ht="18">
      <c r="A187" s="218"/>
      <c r="B187" s="218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4"/>
      <c r="N187" s="4"/>
    </row>
    <row r="188" spans="1:14" ht="18">
      <c r="A188" s="218"/>
      <c r="B188" s="218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4"/>
      <c r="N188" s="4"/>
    </row>
    <row r="189" spans="1:14" ht="18">
      <c r="A189" s="218"/>
      <c r="B189" s="218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4"/>
      <c r="N189" s="4"/>
    </row>
    <row r="190" spans="1:14" ht="18">
      <c r="A190" s="218"/>
      <c r="B190" s="218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4"/>
      <c r="N190" s="4"/>
    </row>
    <row r="191" spans="1:14" ht="18">
      <c r="A191" s="218"/>
      <c r="B191" s="218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4"/>
      <c r="N191" s="4"/>
    </row>
    <row r="192" spans="1:14" ht="18">
      <c r="A192" s="218"/>
      <c r="B192" s="218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4"/>
      <c r="N192" s="4"/>
    </row>
    <row r="193" spans="1:14" ht="18">
      <c r="A193" s="218"/>
      <c r="B193" s="218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4"/>
      <c r="N193" s="4"/>
    </row>
    <row r="194" spans="1:14" ht="18">
      <c r="A194" s="218"/>
      <c r="B194" s="218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4"/>
      <c r="N194" s="4"/>
    </row>
    <row r="195" spans="1:14" ht="18">
      <c r="A195" s="218"/>
      <c r="B195" s="218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4"/>
      <c r="N195" s="4"/>
    </row>
    <row r="196" spans="1:14" ht="18">
      <c r="A196" s="218"/>
      <c r="B196" s="21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4"/>
      <c r="N196" s="4"/>
    </row>
    <row r="197" spans="1:14" ht="18">
      <c r="A197" s="218"/>
      <c r="B197" s="218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4"/>
      <c r="N197" s="4"/>
    </row>
    <row r="198" spans="1:14" ht="18">
      <c r="A198" s="218"/>
      <c r="B198" s="218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4"/>
      <c r="N198" s="4"/>
    </row>
    <row r="199" spans="1:14" ht="18">
      <c r="A199" s="218"/>
      <c r="B199" s="218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4"/>
      <c r="N199" s="4"/>
    </row>
    <row r="200" spans="1:14" ht="18">
      <c r="A200" s="218"/>
      <c r="B200" s="218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4"/>
      <c r="N200" s="4"/>
    </row>
    <row r="201" spans="1:14" ht="18">
      <c r="A201" s="218"/>
      <c r="B201" s="218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4"/>
      <c r="N201" s="4"/>
    </row>
    <row r="202" spans="1:14" ht="18">
      <c r="A202" s="218"/>
      <c r="B202" s="218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4"/>
      <c r="N202" s="4"/>
    </row>
    <row r="203" spans="1:14" ht="18">
      <c r="A203" s="218"/>
      <c r="B203" s="218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4"/>
      <c r="N203" s="4"/>
    </row>
    <row r="204" spans="1:14" ht="18">
      <c r="A204" s="218"/>
      <c r="B204" s="218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4"/>
      <c r="N204" s="4"/>
    </row>
    <row r="205" spans="1:14" ht="18">
      <c r="A205" s="218"/>
      <c r="B205" s="218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4"/>
      <c r="N205" s="4"/>
    </row>
    <row r="206" spans="1:14" ht="18">
      <c r="A206" s="218"/>
      <c r="B206" s="218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4"/>
      <c r="N206" s="4"/>
    </row>
    <row r="207" spans="1:14" ht="18">
      <c r="A207" s="218"/>
      <c r="B207" s="218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4"/>
      <c r="N207" s="4"/>
    </row>
    <row r="208" spans="1:14" ht="18">
      <c r="A208" s="218"/>
      <c r="B208" s="218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4"/>
      <c r="N208" s="4"/>
    </row>
    <row r="209" spans="1:14" ht="18">
      <c r="A209" s="218"/>
      <c r="B209" s="218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4"/>
      <c r="N209" s="4"/>
    </row>
    <row r="210" spans="1:14" ht="18">
      <c r="A210" s="218"/>
      <c r="B210" s="218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4"/>
      <c r="N210" s="4"/>
    </row>
    <row r="211" spans="1:14" ht="18">
      <c r="A211" s="218"/>
      <c r="B211" s="218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4"/>
      <c r="N211" s="4"/>
    </row>
    <row r="212" spans="1:14" ht="18">
      <c r="A212" s="218"/>
      <c r="B212" s="218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4"/>
      <c r="N212" s="4"/>
    </row>
    <row r="213" spans="1:14" ht="18">
      <c r="A213" s="218"/>
      <c r="B213" s="218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4"/>
      <c r="N213" s="4"/>
    </row>
    <row r="214" spans="1:14" ht="18">
      <c r="A214" s="218"/>
      <c r="B214" s="218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4"/>
      <c r="N214" s="4"/>
    </row>
    <row r="215" spans="1:14" ht="18">
      <c r="A215" s="218"/>
      <c r="B215" s="218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4"/>
      <c r="N215" s="4"/>
    </row>
    <row r="216" spans="1:14" ht="18">
      <c r="A216" s="218"/>
      <c r="B216" s="218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4"/>
      <c r="N216" s="4"/>
    </row>
    <row r="217" spans="1:14" ht="18">
      <c r="A217" s="218"/>
      <c r="B217" s="218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4"/>
      <c r="N217" s="4"/>
    </row>
    <row r="218" spans="1:14" ht="18">
      <c r="A218" s="218"/>
      <c r="B218" s="218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4"/>
      <c r="N218" s="4"/>
    </row>
    <row r="219" spans="1:14" ht="18">
      <c r="A219" s="218"/>
      <c r="B219" s="218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4"/>
      <c r="N219" s="4"/>
    </row>
    <row r="220" spans="1:14" ht="18">
      <c r="A220" s="218"/>
      <c r="B220" s="218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4"/>
      <c r="N220" s="4"/>
    </row>
    <row r="221" spans="1:14" ht="18">
      <c r="A221" s="218"/>
      <c r="B221" s="218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4"/>
      <c r="N221" s="4"/>
    </row>
    <row r="222" spans="1:14" ht="18">
      <c r="A222" s="218"/>
      <c r="B222" s="218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4"/>
      <c r="N222" s="4"/>
    </row>
    <row r="223" spans="1:14" ht="18">
      <c r="A223" s="218"/>
      <c r="B223" s="218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4"/>
      <c r="N223" s="4"/>
    </row>
    <row r="224" spans="1:14" ht="18">
      <c r="A224" s="218"/>
      <c r="B224" s="218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4"/>
      <c r="N224" s="4"/>
    </row>
    <row r="225" spans="1:14" ht="18">
      <c r="A225" s="218"/>
      <c r="B225" s="218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4"/>
      <c r="N225" s="4"/>
    </row>
    <row r="226" spans="1:14" ht="18">
      <c r="A226" s="218"/>
      <c r="B226" s="218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4"/>
      <c r="N226" s="4"/>
    </row>
    <row r="227" spans="1:14" ht="18">
      <c r="A227" s="218"/>
      <c r="B227" s="218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4"/>
      <c r="N227" s="4"/>
    </row>
    <row r="228" spans="1:14" ht="18">
      <c r="A228" s="218"/>
      <c r="B228" s="218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4"/>
      <c r="N228" s="4"/>
    </row>
    <row r="229" spans="1:14" ht="18">
      <c r="A229" s="218"/>
      <c r="B229" s="218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4"/>
      <c r="N229" s="4"/>
    </row>
    <row r="230" spans="1:14" ht="18">
      <c r="A230" s="218"/>
      <c r="B230" s="218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4"/>
      <c r="N230" s="4"/>
    </row>
    <row r="231" spans="1:14" ht="18">
      <c r="A231" s="218"/>
      <c r="B231" s="218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4"/>
      <c r="N231" s="4"/>
    </row>
    <row r="232" spans="1:14" ht="18">
      <c r="A232" s="218"/>
      <c r="B232" s="218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4"/>
      <c r="N232" s="4"/>
    </row>
    <row r="233" spans="1:14" ht="18">
      <c r="A233" s="218"/>
      <c r="B233" s="218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4"/>
      <c r="N233" s="4"/>
    </row>
    <row r="234" spans="1:14" ht="18">
      <c r="A234" s="218"/>
      <c r="B234" s="218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4"/>
      <c r="N234" s="4"/>
    </row>
    <row r="235" spans="1:14" ht="18">
      <c r="A235" s="218"/>
      <c r="B235" s="218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4"/>
      <c r="N235" s="4"/>
    </row>
    <row r="236" spans="1:14" ht="18">
      <c r="A236" s="218"/>
      <c r="B236" s="218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4"/>
      <c r="N236" s="4"/>
    </row>
    <row r="237" spans="1:14" ht="18">
      <c r="A237" s="218"/>
      <c r="B237" s="218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4"/>
      <c r="N237" s="4"/>
    </row>
    <row r="238" spans="1:14" ht="18">
      <c r="A238" s="218"/>
      <c r="B238" s="218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4"/>
      <c r="N238" s="4"/>
    </row>
    <row r="239" spans="1:14" ht="18">
      <c r="A239" s="218"/>
      <c r="B239" s="218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4"/>
      <c r="N239" s="4"/>
    </row>
    <row r="240" spans="1:14" ht="18">
      <c r="A240" s="218"/>
      <c r="B240" s="218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4"/>
      <c r="N240" s="4"/>
    </row>
    <row r="241" spans="1:14" ht="18">
      <c r="A241" s="218"/>
      <c r="B241" s="218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4"/>
      <c r="N241" s="4"/>
    </row>
    <row r="242" spans="1:14" ht="18">
      <c r="A242" s="218"/>
      <c r="B242" s="218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4"/>
      <c r="N242" s="4"/>
    </row>
    <row r="243" spans="1:14" ht="18">
      <c r="A243" s="218"/>
      <c r="B243" s="218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4"/>
      <c r="N243" s="4"/>
    </row>
    <row r="244" spans="1:14" ht="18">
      <c r="A244" s="218"/>
      <c r="B244" s="218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4"/>
      <c r="N244" s="4"/>
    </row>
    <row r="245" spans="1:14" ht="18">
      <c r="A245" s="218"/>
      <c r="B245" s="218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4"/>
      <c r="N245" s="4"/>
    </row>
    <row r="246" spans="1:14" ht="18">
      <c r="A246" s="218"/>
      <c r="B246" s="218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4"/>
      <c r="N246" s="4"/>
    </row>
    <row r="247" spans="1:14" ht="18">
      <c r="A247" s="218"/>
      <c r="B247" s="218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4"/>
      <c r="N247" s="4"/>
    </row>
    <row r="248" spans="1:14" ht="18">
      <c r="A248" s="218"/>
      <c r="B248" s="218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4"/>
      <c r="N248" s="4"/>
    </row>
    <row r="249" spans="1:14" ht="18">
      <c r="A249" s="218"/>
      <c r="B249" s="218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4"/>
      <c r="N249" s="4"/>
    </row>
    <row r="250" spans="1:14" ht="18">
      <c r="A250" s="218"/>
      <c r="B250" s="218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4"/>
      <c r="N250" s="4"/>
    </row>
    <row r="251" spans="1:14" ht="18">
      <c r="A251" s="218"/>
      <c r="B251" s="218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4"/>
      <c r="N251" s="4"/>
    </row>
    <row r="252" spans="1:14" ht="18">
      <c r="A252" s="218"/>
      <c r="B252" s="218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4"/>
      <c r="N252" s="4"/>
    </row>
    <row r="253" spans="1:14" ht="18">
      <c r="A253" s="218"/>
      <c r="B253" s="218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4"/>
      <c r="N253" s="4"/>
    </row>
    <row r="254" spans="1:14" ht="18">
      <c r="A254" s="218"/>
      <c r="B254" s="218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4"/>
      <c r="N254" s="4"/>
    </row>
    <row r="255" spans="1:14" ht="18">
      <c r="A255" s="218"/>
      <c r="B255" s="218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4"/>
      <c r="N255" s="4"/>
    </row>
    <row r="256" spans="1:14" ht="18">
      <c r="A256" s="218"/>
      <c r="B256" s="218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4"/>
      <c r="N256" s="4"/>
    </row>
    <row r="257" spans="1:14" ht="18">
      <c r="A257" s="218"/>
      <c r="B257" s="218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4"/>
      <c r="N257" s="4"/>
    </row>
    <row r="258" spans="1:14" ht="18">
      <c r="A258" s="218"/>
      <c r="B258" s="218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4"/>
      <c r="N258" s="4"/>
    </row>
    <row r="259" spans="1:14" ht="18">
      <c r="A259" s="218"/>
      <c r="B259" s="218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4"/>
      <c r="N259" s="4"/>
    </row>
    <row r="260" spans="1:14" ht="18">
      <c r="A260" s="218"/>
      <c r="B260" s="218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4"/>
      <c r="N260" s="4"/>
    </row>
    <row r="261" spans="1:14" ht="18">
      <c r="A261" s="218"/>
      <c r="B261" s="218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4"/>
      <c r="N261" s="4"/>
    </row>
    <row r="262" spans="1:14" ht="18">
      <c r="A262" s="218"/>
      <c r="B262" s="218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4"/>
      <c r="N262" s="4"/>
    </row>
    <row r="263" spans="1:14" ht="18">
      <c r="A263" s="218"/>
      <c r="B263" s="218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4"/>
      <c r="N263" s="4"/>
    </row>
    <row r="264" spans="1:14" ht="18">
      <c r="A264" s="218"/>
      <c r="B264" s="218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4"/>
      <c r="N264" s="4"/>
    </row>
    <row r="265" spans="1:14" ht="18">
      <c r="A265" s="218"/>
      <c r="B265" s="218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4"/>
      <c r="N265" s="4"/>
    </row>
    <row r="266" spans="1:14" ht="18">
      <c r="A266" s="218"/>
      <c r="B266" s="218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4"/>
      <c r="N266" s="4"/>
    </row>
    <row r="267" spans="1:14" ht="18">
      <c r="A267" s="218"/>
      <c r="B267" s="218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4"/>
      <c r="N267" s="4"/>
    </row>
    <row r="268" spans="1:14" ht="18">
      <c r="A268" s="218"/>
      <c r="B268" s="218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4"/>
      <c r="N268" s="4"/>
    </row>
    <row r="269" spans="1:14" ht="18">
      <c r="A269" s="218"/>
      <c r="B269" s="218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4"/>
      <c r="N269" s="4"/>
    </row>
    <row r="270" spans="1:14" ht="18">
      <c r="A270" s="218"/>
      <c r="B270" s="218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4"/>
      <c r="N270" s="4"/>
    </row>
    <row r="271" spans="1:14" ht="18">
      <c r="A271" s="218"/>
      <c r="B271" s="218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4"/>
      <c r="N271" s="4"/>
    </row>
    <row r="272" spans="1:14" ht="18">
      <c r="A272" s="218"/>
      <c r="B272" s="218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4"/>
      <c r="N272" s="4"/>
    </row>
    <row r="273" spans="1:14" ht="18">
      <c r="A273" s="218"/>
      <c r="B273" s="218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4"/>
      <c r="N273" s="4"/>
    </row>
    <row r="274" spans="1:14" ht="18">
      <c r="A274" s="218"/>
      <c r="B274" s="218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4"/>
      <c r="N274" s="4"/>
    </row>
    <row r="275" spans="1:14" ht="18">
      <c r="A275" s="218"/>
      <c r="B275" s="218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4"/>
      <c r="N275" s="4"/>
    </row>
    <row r="276" spans="1:14" ht="18">
      <c r="A276" s="218"/>
      <c r="B276" s="218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4"/>
      <c r="N276" s="4"/>
    </row>
    <row r="277" spans="1:14" ht="18">
      <c r="A277" s="218"/>
      <c r="B277" s="218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4"/>
      <c r="N277" s="4"/>
    </row>
    <row r="278" spans="1:14" ht="18">
      <c r="A278" s="218"/>
      <c r="B278" s="218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4"/>
      <c r="N278" s="4"/>
    </row>
    <row r="279" spans="1:14" ht="18">
      <c r="A279" s="218"/>
      <c r="B279" s="218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4"/>
      <c r="N279" s="4"/>
    </row>
    <row r="280" spans="1:14" ht="18">
      <c r="A280" s="218"/>
      <c r="B280" s="218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4"/>
      <c r="N280" s="4"/>
    </row>
    <row r="281" spans="1:14" ht="18">
      <c r="A281" s="218"/>
      <c r="B281" s="218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4"/>
      <c r="N281" s="4"/>
    </row>
    <row r="282" spans="1:14" ht="18">
      <c r="A282" s="218"/>
      <c r="B282" s="218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4"/>
      <c r="N282" s="4"/>
    </row>
    <row r="283" spans="1:14" ht="18">
      <c r="A283" s="218"/>
      <c r="B283" s="218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4"/>
      <c r="N283" s="4"/>
    </row>
    <row r="284" spans="1:14" ht="18">
      <c r="A284" s="218"/>
      <c r="B284" s="218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4"/>
      <c r="N284" s="4"/>
    </row>
    <row r="285" spans="1:14" ht="18">
      <c r="A285" s="218"/>
      <c r="B285" s="218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4"/>
      <c r="N285" s="4"/>
    </row>
    <row r="286" spans="1:14" ht="18">
      <c r="A286" s="218"/>
      <c r="B286" s="218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4"/>
      <c r="N286" s="4"/>
    </row>
    <row r="287" spans="1:14" ht="18">
      <c r="A287" s="218"/>
      <c r="B287" s="218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4"/>
      <c r="N287" s="4"/>
    </row>
    <row r="288" spans="1:14" ht="18">
      <c r="A288" s="218"/>
      <c r="B288" s="218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4"/>
      <c r="N288" s="4"/>
    </row>
    <row r="289" spans="1:14" ht="18">
      <c r="A289" s="218"/>
      <c r="B289" s="218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4"/>
      <c r="N289" s="4"/>
    </row>
    <row r="290" spans="1:14" ht="18">
      <c r="A290" s="218"/>
      <c r="B290" s="218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4"/>
      <c r="N290" s="4"/>
    </row>
    <row r="291" spans="1:14" ht="18">
      <c r="A291" s="218"/>
      <c r="B291" s="218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4"/>
      <c r="N291" s="4"/>
    </row>
    <row r="292" spans="1:14" ht="18">
      <c r="A292" s="218"/>
      <c r="B292" s="218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4"/>
      <c r="N292" s="4"/>
    </row>
    <row r="293" spans="1:14" ht="18">
      <c r="A293" s="218"/>
      <c r="B293" s="218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4"/>
      <c r="N293" s="4"/>
    </row>
    <row r="294" spans="1:14" ht="18">
      <c r="A294" s="218"/>
      <c r="B294" s="218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4"/>
      <c r="N294" s="4"/>
    </row>
    <row r="295" spans="1:14" ht="18">
      <c r="A295" s="218"/>
      <c r="B295" s="218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4"/>
      <c r="N295" s="4"/>
    </row>
    <row r="296" spans="1:14" ht="18">
      <c r="A296" s="218"/>
      <c r="B296" s="218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4"/>
      <c r="N296" s="4"/>
    </row>
    <row r="297" spans="1:14" ht="18">
      <c r="A297" s="218"/>
      <c r="B297" s="218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4"/>
      <c r="N297" s="4"/>
    </row>
    <row r="298" spans="1:14" ht="18">
      <c r="A298" s="218"/>
      <c r="B298" s="218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4"/>
      <c r="N298" s="4"/>
    </row>
    <row r="299" spans="1:14" ht="18">
      <c r="A299" s="218"/>
      <c r="B299" s="218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4"/>
      <c r="N299" s="4"/>
    </row>
    <row r="300" spans="1:14" ht="18">
      <c r="A300" s="218"/>
      <c r="B300" s="218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4"/>
      <c r="N300" s="4"/>
    </row>
    <row r="301" spans="1:14" ht="18">
      <c r="A301" s="218"/>
      <c r="B301" s="218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4"/>
      <c r="N301" s="4"/>
    </row>
    <row r="302" spans="1:14" ht="18">
      <c r="A302" s="218"/>
      <c r="B302" s="218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4"/>
      <c r="N302" s="4"/>
    </row>
    <row r="303" spans="1:14" ht="18">
      <c r="A303" s="218"/>
      <c r="B303" s="218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4"/>
      <c r="N303" s="4"/>
    </row>
    <row r="304" spans="1:14" ht="18">
      <c r="A304" s="218"/>
      <c r="B304" s="218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4"/>
      <c r="N304" s="4"/>
    </row>
    <row r="305" spans="1:14" ht="18">
      <c r="A305" s="218"/>
      <c r="B305" s="218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4"/>
      <c r="N305" s="4"/>
    </row>
    <row r="306" spans="1:14" ht="18">
      <c r="A306" s="218"/>
      <c r="B306" s="218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4"/>
      <c r="N306" s="4"/>
    </row>
    <row r="307" spans="1:14" ht="18">
      <c r="A307" s="218"/>
      <c r="B307" s="218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4"/>
      <c r="N307" s="4"/>
    </row>
    <row r="308" spans="1:14" ht="18">
      <c r="A308" s="218"/>
      <c r="B308" s="218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4"/>
      <c r="N308" s="4"/>
    </row>
    <row r="309" spans="1:14" ht="18">
      <c r="A309" s="218"/>
      <c r="B309" s="218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4"/>
      <c r="N309" s="4"/>
    </row>
    <row r="310" spans="1:14" ht="18">
      <c r="A310" s="218"/>
      <c r="B310" s="218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4"/>
      <c r="N310" s="4"/>
    </row>
    <row r="311" spans="1:14" ht="18">
      <c r="A311" s="218"/>
      <c r="B311" s="218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4"/>
      <c r="N311" s="4"/>
    </row>
    <row r="312" spans="1:14" ht="18">
      <c r="A312" s="218"/>
      <c r="B312" s="218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4"/>
      <c r="N312" s="4"/>
    </row>
    <row r="313" spans="1:14" ht="18">
      <c r="A313" s="218"/>
      <c r="B313" s="218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4"/>
      <c r="N313" s="4"/>
    </row>
    <row r="314" spans="1:14" ht="18">
      <c r="A314" s="218"/>
      <c r="B314" s="218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4"/>
      <c r="N314" s="4"/>
    </row>
    <row r="315" spans="1:14" ht="18">
      <c r="A315" s="218"/>
      <c r="B315" s="218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4"/>
      <c r="N315" s="4"/>
    </row>
    <row r="316" spans="1:14" ht="18">
      <c r="A316" s="218"/>
      <c r="B316" s="218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4"/>
      <c r="N316" s="4"/>
    </row>
    <row r="317" spans="1:14" ht="18">
      <c r="A317" s="218"/>
      <c r="B317" s="218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4"/>
      <c r="N317" s="4"/>
    </row>
    <row r="318" spans="1:14" ht="18">
      <c r="A318" s="218"/>
      <c r="B318" s="218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4"/>
      <c r="N318" s="4"/>
    </row>
    <row r="319" spans="1:14" ht="18">
      <c r="A319" s="218"/>
      <c r="B319" s="218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4"/>
      <c r="N319" s="4"/>
    </row>
    <row r="320" spans="1:14" ht="18">
      <c r="A320" s="218"/>
      <c r="B320" s="218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4"/>
      <c r="N320" s="4"/>
    </row>
    <row r="321" spans="1:14" ht="18">
      <c r="A321" s="218"/>
      <c r="B321" s="218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4"/>
      <c r="N321" s="4"/>
    </row>
    <row r="322" spans="1:14" ht="18">
      <c r="A322" s="218"/>
      <c r="B322" s="218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4"/>
      <c r="N322" s="4"/>
    </row>
    <row r="323" spans="1:14" ht="18">
      <c r="A323" s="218"/>
      <c r="B323" s="218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4"/>
      <c r="N323" s="4"/>
    </row>
    <row r="324" spans="1:14" ht="18">
      <c r="A324" s="218"/>
      <c r="B324" s="218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4"/>
      <c r="N324" s="4"/>
    </row>
    <row r="325" spans="1:14" ht="18">
      <c r="A325" s="218"/>
      <c r="B325" s="218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4"/>
      <c r="N325" s="4"/>
    </row>
    <row r="326" spans="1:14" ht="18">
      <c r="A326" s="218"/>
      <c r="B326" s="218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4"/>
      <c r="N326" s="4"/>
    </row>
    <row r="327" spans="1:14" ht="18">
      <c r="A327" s="218"/>
      <c r="B327" s="218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4"/>
      <c r="N327" s="4"/>
    </row>
    <row r="328" spans="1:14" ht="18">
      <c r="A328" s="218"/>
      <c r="B328" s="218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4"/>
      <c r="N328" s="4"/>
    </row>
    <row r="329" spans="1:14" ht="18">
      <c r="A329" s="218"/>
      <c r="B329" s="218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4"/>
      <c r="N329" s="4"/>
    </row>
    <row r="330" spans="1:14" ht="18">
      <c r="A330" s="218"/>
      <c r="B330" s="218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4"/>
      <c r="N330" s="4"/>
    </row>
    <row r="331" spans="1:14" ht="18">
      <c r="A331" s="218"/>
      <c r="B331" s="218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4"/>
      <c r="N331" s="4"/>
    </row>
    <row r="332" spans="1:14" ht="18">
      <c r="A332" s="218"/>
      <c r="B332" s="218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4"/>
      <c r="N332" s="4"/>
    </row>
    <row r="333" spans="1:14" ht="18">
      <c r="A333" s="218"/>
      <c r="B333" s="218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4"/>
      <c r="N333" s="4"/>
    </row>
    <row r="334" spans="1:14" ht="18">
      <c r="A334" s="218"/>
      <c r="B334" s="218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4"/>
      <c r="N334" s="4"/>
    </row>
    <row r="335" spans="1:14" ht="18">
      <c r="A335" s="218"/>
      <c r="B335" s="218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4"/>
      <c r="N335" s="4"/>
    </row>
    <row r="336" spans="1:14" ht="18">
      <c r="A336" s="218"/>
      <c r="B336" s="218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4"/>
      <c r="N336" s="4"/>
    </row>
    <row r="337" spans="1:14" ht="18">
      <c r="A337" s="218"/>
      <c r="B337" s="218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4"/>
      <c r="N337" s="4"/>
    </row>
    <row r="338" spans="1:14" ht="18">
      <c r="A338" s="218"/>
      <c r="B338" s="218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4"/>
      <c r="N338" s="4"/>
    </row>
    <row r="339" spans="1:14" ht="18">
      <c r="A339" s="218"/>
      <c r="B339" s="218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4"/>
      <c r="N339" s="4"/>
    </row>
    <row r="340" spans="1:14" ht="18">
      <c r="A340" s="218"/>
      <c r="B340" s="218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4"/>
      <c r="N340" s="4"/>
    </row>
    <row r="341" spans="1:14" ht="18">
      <c r="A341" s="218"/>
      <c r="B341" s="218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4"/>
      <c r="N341" s="4"/>
    </row>
    <row r="342" spans="1:14" ht="18">
      <c r="A342" s="218"/>
      <c r="B342" s="218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4"/>
      <c r="N342" s="4"/>
    </row>
    <row r="343" spans="1:14" ht="18">
      <c r="A343" s="218"/>
      <c r="B343" s="218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4"/>
      <c r="N343" s="4"/>
    </row>
    <row r="344" spans="1:14" ht="18">
      <c r="A344" s="218"/>
      <c r="B344" s="218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4"/>
      <c r="N344" s="4"/>
    </row>
    <row r="345" spans="1:14" ht="18">
      <c r="A345" s="218"/>
      <c r="B345" s="218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4"/>
      <c r="N345" s="4"/>
    </row>
    <row r="346" spans="1:14" ht="18">
      <c r="A346" s="218"/>
      <c r="B346" s="218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4"/>
      <c r="N346" s="4"/>
    </row>
    <row r="347" spans="1:14" ht="18">
      <c r="A347" s="218"/>
      <c r="B347" s="218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4"/>
      <c r="N347" s="4"/>
    </row>
    <row r="348" spans="1:14" ht="18">
      <c r="A348" s="218"/>
      <c r="B348" s="218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4"/>
      <c r="N348" s="4"/>
    </row>
    <row r="349" spans="1:14" ht="18">
      <c r="A349" s="218"/>
      <c r="B349" s="218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4"/>
      <c r="N349" s="4"/>
    </row>
    <row r="350" spans="1:14" ht="18">
      <c r="A350" s="218"/>
      <c r="B350" s="218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4"/>
      <c r="N350" s="4"/>
    </row>
    <row r="351" spans="1:14" ht="18">
      <c r="A351" s="218"/>
      <c r="B351" s="218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4"/>
      <c r="N351" s="4"/>
    </row>
    <row r="352" spans="1:14" ht="18">
      <c r="A352" s="218"/>
      <c r="B352" s="218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4"/>
      <c r="N352" s="4"/>
    </row>
    <row r="353" spans="1:14" ht="18">
      <c r="A353" s="218"/>
      <c r="B353" s="218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4"/>
      <c r="N353" s="4"/>
    </row>
    <row r="354" spans="1:14" ht="18">
      <c r="A354" s="218"/>
      <c r="B354" s="218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4"/>
      <c r="N354" s="4"/>
    </row>
    <row r="355" spans="1:14" ht="18">
      <c r="A355" s="218"/>
      <c r="B355" s="218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4"/>
      <c r="N355" s="4"/>
    </row>
    <row r="356" spans="1:14" ht="18">
      <c r="A356" s="218"/>
      <c r="B356" s="218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4"/>
      <c r="N356" s="4"/>
    </row>
    <row r="357" spans="1:14" ht="18">
      <c r="A357" s="218"/>
      <c r="B357" s="218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4"/>
      <c r="N357" s="4"/>
    </row>
    <row r="358" spans="1:14" ht="18">
      <c r="A358" s="218"/>
      <c r="B358" s="218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4"/>
      <c r="N358" s="4"/>
    </row>
    <row r="359" spans="1:14" ht="18">
      <c r="A359" s="218"/>
      <c r="B359" s="218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4"/>
      <c r="N359" s="4"/>
    </row>
    <row r="360" spans="1:14" ht="18">
      <c r="A360" s="218"/>
      <c r="B360" s="218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4"/>
      <c r="N360" s="4"/>
    </row>
    <row r="361" spans="1:14" ht="18">
      <c r="A361" s="218"/>
      <c r="B361" s="218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4"/>
      <c r="N361" s="4"/>
    </row>
    <row r="362" spans="1:14" ht="18">
      <c r="A362" s="218"/>
      <c r="B362" s="218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4"/>
      <c r="N362" s="4"/>
    </row>
    <row r="363" spans="1:14" ht="18">
      <c r="A363" s="218"/>
      <c r="B363" s="218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4"/>
      <c r="N363" s="4"/>
    </row>
    <row r="364" spans="1:14" ht="18">
      <c r="A364" s="218"/>
      <c r="B364" s="218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4"/>
      <c r="N364" s="4"/>
    </row>
    <row r="365" spans="1:14" ht="18">
      <c r="A365" s="218"/>
      <c r="B365" s="218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4"/>
      <c r="N365" s="4"/>
    </row>
    <row r="366" spans="1:14" ht="18">
      <c r="A366" s="218"/>
      <c r="B366" s="218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4"/>
      <c r="N366" s="4"/>
    </row>
    <row r="367" spans="1:14" ht="18">
      <c r="A367" s="218"/>
      <c r="B367" s="218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4"/>
      <c r="N367" s="4"/>
    </row>
    <row r="368" spans="1:14" ht="18">
      <c r="A368" s="218"/>
      <c r="B368" s="218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4"/>
      <c r="N368" s="4"/>
    </row>
    <row r="369" spans="1:14" ht="18">
      <c r="A369" s="218"/>
      <c r="B369" s="218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4"/>
      <c r="N369" s="4"/>
    </row>
    <row r="370" spans="1:14" ht="18">
      <c r="A370" s="218"/>
      <c r="B370" s="218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4"/>
      <c r="N370" s="4"/>
    </row>
    <row r="371" spans="1:14" ht="18">
      <c r="A371" s="218"/>
      <c r="B371" s="218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4"/>
      <c r="N371" s="4"/>
    </row>
    <row r="372" spans="1:14" ht="18">
      <c r="A372" s="218"/>
      <c r="B372" s="218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4"/>
      <c r="N372" s="4"/>
    </row>
    <row r="373" spans="1:14" ht="18">
      <c r="A373" s="218"/>
      <c r="B373" s="218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4"/>
      <c r="N373" s="4"/>
    </row>
    <row r="374" spans="1:14" ht="18">
      <c r="A374" s="218"/>
      <c r="B374" s="218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4"/>
      <c r="N374" s="4"/>
    </row>
    <row r="375" spans="1:14" ht="18">
      <c r="A375" s="218"/>
      <c r="B375" s="218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4"/>
      <c r="N375" s="4"/>
    </row>
    <row r="376" spans="1:14" ht="18">
      <c r="A376" s="218"/>
      <c r="B376" s="218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4"/>
      <c r="N376" s="4"/>
    </row>
    <row r="377" spans="1:14" ht="18">
      <c r="A377" s="218"/>
      <c r="B377" s="218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4"/>
      <c r="N377" s="4"/>
    </row>
    <row r="378" spans="1:14" ht="18">
      <c r="A378" s="218"/>
      <c r="B378" s="218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4"/>
      <c r="N378" s="4"/>
    </row>
    <row r="379" spans="1:14" ht="18">
      <c r="A379" s="218"/>
      <c r="B379" s="218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4"/>
      <c r="N379" s="4"/>
    </row>
    <row r="380" spans="1:14" ht="18">
      <c r="A380" s="218"/>
      <c r="B380" s="218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4"/>
      <c r="N380" s="4"/>
    </row>
    <row r="381" spans="1:14" ht="18">
      <c r="A381" s="218"/>
      <c r="B381" s="218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4"/>
      <c r="N381" s="4"/>
    </row>
    <row r="382" spans="1:14" ht="18">
      <c r="A382" s="218"/>
      <c r="B382" s="218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4"/>
      <c r="N382" s="4"/>
    </row>
    <row r="383" spans="1:14" ht="18">
      <c r="A383" s="218"/>
      <c r="B383" s="218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4"/>
      <c r="N383" s="4"/>
    </row>
    <row r="384" spans="1:14" ht="18">
      <c r="A384" s="218"/>
      <c r="B384" s="218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4"/>
      <c r="N384" s="4"/>
    </row>
    <row r="385" spans="1:14" ht="18">
      <c r="A385" s="218"/>
      <c r="B385" s="218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4"/>
      <c r="N385" s="4"/>
    </row>
    <row r="386" spans="1:14" ht="18">
      <c r="A386" s="218"/>
      <c r="B386" s="218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4"/>
      <c r="N386" s="4"/>
    </row>
    <row r="387" spans="1:14" ht="18">
      <c r="A387" s="218"/>
      <c r="B387" s="218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4"/>
      <c r="N387" s="4"/>
    </row>
    <row r="388" spans="1:14" ht="18">
      <c r="A388" s="218"/>
      <c r="B388" s="218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4"/>
      <c r="N388" s="4"/>
    </row>
    <row r="389" spans="1:14" ht="18">
      <c r="A389" s="218"/>
      <c r="B389" s="218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4"/>
      <c r="N389" s="4"/>
    </row>
    <row r="390" spans="1:14" ht="18">
      <c r="A390" s="218"/>
      <c r="B390" s="218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4"/>
      <c r="N390" s="4"/>
    </row>
    <row r="391" spans="1:14" ht="18">
      <c r="A391" s="218"/>
      <c r="B391" s="218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4"/>
      <c r="N391" s="4"/>
    </row>
    <row r="392" spans="1:14" ht="18">
      <c r="A392" s="218"/>
      <c r="B392" s="218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4"/>
      <c r="N392" s="4"/>
    </row>
    <row r="393" spans="1:14" ht="18">
      <c r="A393" s="218"/>
      <c r="B393" s="218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4"/>
      <c r="N393" s="4"/>
    </row>
    <row r="394" spans="1:14" ht="18">
      <c r="A394" s="218"/>
      <c r="B394" s="218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4"/>
      <c r="N394" s="4"/>
    </row>
    <row r="395" spans="1:14" ht="18">
      <c r="A395" s="218"/>
      <c r="B395" s="218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4"/>
      <c r="N395" s="4"/>
    </row>
    <row r="396" spans="1:14" ht="18">
      <c r="A396" s="218"/>
      <c r="B396" s="218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4"/>
      <c r="N396" s="4"/>
    </row>
    <row r="397" spans="1:14" ht="18">
      <c r="A397" s="218"/>
      <c r="B397" s="218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4"/>
      <c r="N397" s="4"/>
    </row>
    <row r="398" spans="1:14" ht="18">
      <c r="A398" s="218"/>
      <c r="B398" s="218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4"/>
      <c r="N398" s="4"/>
    </row>
    <row r="399" spans="1:14" ht="18">
      <c r="A399" s="218"/>
      <c r="B399" s="218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4"/>
      <c r="N399" s="4"/>
    </row>
    <row r="400" spans="1:14" ht="18">
      <c r="A400" s="218"/>
      <c r="B400" s="218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4"/>
      <c r="N400" s="4"/>
    </row>
    <row r="401" spans="1:14" ht="18">
      <c r="A401" s="218"/>
      <c r="B401" s="218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4"/>
      <c r="N401" s="4"/>
    </row>
    <row r="402" spans="1:14" ht="18">
      <c r="A402" s="218"/>
      <c r="B402" s="218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4"/>
      <c r="N402" s="4"/>
    </row>
    <row r="403" spans="1:14" ht="18">
      <c r="A403" s="218"/>
      <c r="B403" s="218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4"/>
      <c r="N403" s="4"/>
    </row>
    <row r="404" spans="1:14" ht="18">
      <c r="A404" s="218"/>
      <c r="B404" s="218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4"/>
      <c r="N404" s="4"/>
    </row>
    <row r="405" spans="1:14" ht="18">
      <c r="A405" s="218"/>
      <c r="B405" s="218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4"/>
      <c r="N405" s="4"/>
    </row>
    <row r="406" spans="1:14" ht="18">
      <c r="A406" s="218"/>
      <c r="B406" s="218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4"/>
      <c r="N406" s="4"/>
    </row>
    <row r="407" spans="1:14" ht="18">
      <c r="A407" s="218"/>
      <c r="B407" s="218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4"/>
      <c r="N407" s="4"/>
    </row>
    <row r="408" spans="1:14" ht="18">
      <c r="A408" s="218"/>
      <c r="B408" s="218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4"/>
      <c r="N408" s="4"/>
    </row>
    <row r="409" spans="1:14" ht="18">
      <c r="A409" s="218"/>
      <c r="B409" s="218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4"/>
      <c r="N409" s="4"/>
    </row>
    <row r="410" spans="1:14" ht="18">
      <c r="A410" s="218"/>
      <c r="B410" s="218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4"/>
      <c r="N410" s="4"/>
    </row>
    <row r="411" spans="1:14" ht="18">
      <c r="A411" s="218"/>
      <c r="B411" s="218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4"/>
      <c r="N411" s="4"/>
    </row>
    <row r="412" spans="1:14" ht="18">
      <c r="A412" s="218"/>
      <c r="B412" s="218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4"/>
      <c r="N412" s="4"/>
    </row>
    <row r="413" spans="1:14" ht="18">
      <c r="A413" s="218"/>
      <c r="B413" s="218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4"/>
      <c r="N413" s="4"/>
    </row>
    <row r="414" spans="1:14" ht="18">
      <c r="A414" s="218"/>
      <c r="B414" s="218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4"/>
      <c r="N414" s="4"/>
    </row>
    <row r="415" spans="1:14" ht="18">
      <c r="A415" s="218"/>
      <c r="B415" s="218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4"/>
      <c r="N415" s="4"/>
    </row>
    <row r="416" spans="1:14" ht="18">
      <c r="A416" s="218"/>
      <c r="B416" s="218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4"/>
      <c r="N416" s="4"/>
    </row>
    <row r="417" spans="1:14" ht="18">
      <c r="A417" s="218"/>
      <c r="B417" s="218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4"/>
      <c r="N417" s="4"/>
    </row>
    <row r="418" spans="1:14" ht="18">
      <c r="A418" s="218"/>
      <c r="B418" s="218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4"/>
      <c r="N418" s="4"/>
    </row>
    <row r="419" spans="1:14" ht="18">
      <c r="A419" s="218"/>
      <c r="B419" s="218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4"/>
      <c r="N419" s="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</sheetPr>
  <dimension ref="A1:Z420"/>
  <sheetViews>
    <sheetView showGridLines="0" zoomScale="85" zoomScaleNormal="85" workbookViewId="0">
      <selection activeCell="Z48" sqref="Z48"/>
    </sheetView>
  </sheetViews>
  <sheetFormatPr defaultColWidth="9.140625" defaultRowHeight="15"/>
  <cols>
    <col min="1" max="1" width="33.140625" style="219" customWidth="1"/>
    <col min="2" max="2" width="33.140625" style="219" hidden="1" customWidth="1"/>
    <col min="3" max="10" width="14.140625" style="220" hidden="1" customWidth="1"/>
    <col min="11" max="12" width="18.28515625" style="220" hidden="1" customWidth="1"/>
    <col min="13" max="13" width="14.140625" style="5" hidden="1" customWidth="1"/>
    <col min="14" max="14" width="20.7109375" style="5" customWidth="1"/>
    <col min="15" max="15" width="9" style="3" hidden="1" customWidth="1"/>
    <col min="16" max="16" width="10.85546875" hidden="1" customWidth="1"/>
    <col min="17" max="17" width="9.140625" style="1"/>
    <col min="18" max="18" width="18.140625" style="1" customWidth="1"/>
    <col min="19" max="23" width="16.28515625" style="1" customWidth="1"/>
    <col min="24" max="26" width="14.28515625" style="1" bestFit="1" customWidth="1"/>
    <col min="27" max="16384" width="9.140625" style="1"/>
  </cols>
  <sheetData>
    <row r="1" spans="1:26">
      <c r="A1" s="404" t="s">
        <v>222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14"/>
      <c r="P1" s="15"/>
      <c r="R1" s="383"/>
      <c r="S1" s="383"/>
      <c r="T1" s="383"/>
      <c r="U1" s="383"/>
      <c r="V1" s="383"/>
      <c r="W1" s="383"/>
      <c r="X1" s="383"/>
    </row>
    <row r="2" spans="1:26" ht="15" customHeight="1">
      <c r="A2" s="404" t="s">
        <v>223</v>
      </c>
      <c r="B2" s="383" t="s">
        <v>369</v>
      </c>
      <c r="C2" s="383" t="s">
        <v>78</v>
      </c>
      <c r="D2" s="383" t="s">
        <v>79</v>
      </c>
      <c r="E2" s="383" t="s">
        <v>161</v>
      </c>
      <c r="F2" s="383" t="s">
        <v>194</v>
      </c>
      <c r="G2" s="383" t="s">
        <v>196</v>
      </c>
      <c r="H2" s="383" t="s">
        <v>197</v>
      </c>
      <c r="I2" s="383">
        <v>42186</v>
      </c>
      <c r="J2" s="383">
        <v>42217</v>
      </c>
      <c r="K2" s="383">
        <v>42248</v>
      </c>
      <c r="L2" s="383">
        <v>42278</v>
      </c>
      <c r="M2" s="383">
        <v>42309</v>
      </c>
      <c r="N2" s="383" t="s">
        <v>75</v>
      </c>
      <c r="O2" s="17" t="s">
        <v>63</v>
      </c>
      <c r="P2" s="18" t="s">
        <v>64</v>
      </c>
      <c r="R2" s="383" t="s">
        <v>365</v>
      </c>
      <c r="S2" s="383" t="s">
        <v>366</v>
      </c>
      <c r="T2" s="383" t="s">
        <v>397</v>
      </c>
      <c r="U2" s="383" t="s">
        <v>453</v>
      </c>
      <c r="V2" s="457" t="s">
        <v>485</v>
      </c>
      <c r="W2" s="457" t="s">
        <v>492</v>
      </c>
      <c r="X2" s="383" t="s">
        <v>496</v>
      </c>
    </row>
    <row r="3" spans="1:26">
      <c r="A3" s="6" t="s">
        <v>313</v>
      </c>
      <c r="B3" s="362" t="s">
        <v>402</v>
      </c>
      <c r="C3" s="28">
        <v>2553</v>
      </c>
      <c r="D3" s="28">
        <v>2466</v>
      </c>
      <c r="E3" s="28">
        <v>2910</v>
      </c>
      <c r="F3" s="28">
        <v>2902</v>
      </c>
      <c r="G3" s="28">
        <v>2977.2955200000015</v>
      </c>
      <c r="H3" s="28">
        <v>2558.4770499999972</v>
      </c>
      <c r="I3" s="205">
        <f>'Income by product'!J21/1000</f>
        <v>4237.1268100000098</v>
      </c>
      <c r="J3" s="205">
        <f>'Income by product'!K21/1000</f>
        <v>4834.0000669999645</v>
      </c>
      <c r="K3" s="205">
        <f>'Income by product'!L21/1000</f>
        <v>5205.7191200000379</v>
      </c>
      <c r="L3" s="205">
        <f>'Income by product'!M21/1000</f>
        <v>6365.0638469999994</v>
      </c>
      <c r="M3" s="205">
        <f>'Income by product'!N21/1000</f>
        <v>5970.2109449999853</v>
      </c>
      <c r="N3" s="205">
        <v>7222.2430499999973</v>
      </c>
      <c r="O3" s="206"/>
      <c r="P3" s="207"/>
      <c r="R3" s="205">
        <f>7493636.82/1000</f>
        <v>7493.6368200000006</v>
      </c>
      <c r="S3" s="205">
        <f>7381921.02/1000</f>
        <v>7381.9210199999998</v>
      </c>
      <c r="T3" s="205">
        <f>8433499.12/1000</f>
        <v>8433.4991199999986</v>
      </c>
      <c r="U3" s="205">
        <f>'PL MFC'!U3</f>
        <v>8564.6616199999989</v>
      </c>
      <c r="V3" s="205">
        <f>'PL MFC'!V3</f>
        <v>9397.5681100000002</v>
      </c>
      <c r="W3" s="205">
        <v>9494.9681500000006</v>
      </c>
      <c r="X3" s="205">
        <f>'PL MFC'!X3</f>
        <v>10176.859</v>
      </c>
    </row>
    <row r="4" spans="1:26">
      <c r="A4" s="6" t="s">
        <v>314</v>
      </c>
      <c r="B4" s="362" t="s">
        <v>403</v>
      </c>
      <c r="C4" s="28"/>
      <c r="D4" s="28"/>
      <c r="E4" s="28"/>
      <c r="F4" s="28"/>
      <c r="G4" s="28">
        <v>336.70181000000002</v>
      </c>
      <c r="H4" s="28">
        <v>1004.9380699999998</v>
      </c>
      <c r="I4" s="205">
        <f>'Income by product'!J31/1000</f>
        <v>64.735150000000019</v>
      </c>
      <c r="J4" s="205">
        <f>'Income by product'!K31/1000</f>
        <v>202.55850999999996</v>
      </c>
      <c r="K4" s="205">
        <f>'Income by product'!L31/1000</f>
        <v>353.67773000000045</v>
      </c>
      <c r="L4" s="205">
        <f>'Income by product'!M31/1000</f>
        <v>240.69733000000053</v>
      </c>
      <c r="M4" s="205">
        <f>'Income by product'!N31/1000</f>
        <v>768.63804999999911</v>
      </c>
      <c r="N4" s="205">
        <v>808.20612999999992</v>
      </c>
      <c r="O4" s="206"/>
      <c r="P4" s="207"/>
      <c r="R4" s="205">
        <f>843678.95/1000</f>
        <v>843.67894999999999</v>
      </c>
      <c r="S4" s="205">
        <f>961441.39/1000</f>
        <v>961.44139000000007</v>
      </c>
      <c r="T4" s="205">
        <f>1149630.23/1000</f>
        <v>1149.63023</v>
      </c>
      <c r="U4" s="205">
        <f>'PL MFC'!U4</f>
        <v>1299.8096599999999</v>
      </c>
      <c r="V4" s="205">
        <f>'PL MFC'!V4</f>
        <v>1606.0943500000001</v>
      </c>
      <c r="W4" s="205">
        <v>1831.9634099999998</v>
      </c>
      <c r="X4" s="205">
        <f>'PL MFC'!X4</f>
        <v>1995.1569999999999</v>
      </c>
    </row>
    <row r="5" spans="1:26">
      <c r="A5" s="6" t="s">
        <v>422</v>
      </c>
      <c r="B5" s="362"/>
      <c r="C5" s="28"/>
      <c r="D5" s="28"/>
      <c r="E5" s="28"/>
      <c r="F5" s="28"/>
      <c r="G5" s="28"/>
      <c r="H5" s="28"/>
      <c r="I5" s="205"/>
      <c r="J5" s="205"/>
      <c r="K5" s="205"/>
      <c r="L5" s="205"/>
      <c r="M5" s="205"/>
      <c r="N5" s="205">
        <v>0.94499999999999995</v>
      </c>
      <c r="O5" s="206"/>
      <c r="P5" s="26"/>
      <c r="R5" s="205">
        <f>15469.91/1000</f>
        <v>15.46991</v>
      </c>
      <c r="S5" s="205">
        <f>36621/1000</f>
        <v>36.621000000000002</v>
      </c>
      <c r="T5" s="205">
        <f>58398/1000</f>
        <v>58.398000000000003</v>
      </c>
      <c r="U5" s="205">
        <f>'PL MFC'!U5</f>
        <v>80.285240000000002</v>
      </c>
      <c r="V5" s="205">
        <f>'PL MFC'!V5</f>
        <v>133.80985999999999</v>
      </c>
      <c r="W5" s="205">
        <v>131.52096</v>
      </c>
      <c r="X5" s="205">
        <f>'PL MFC'!X5</f>
        <v>198.17500000000001</v>
      </c>
    </row>
    <row r="6" spans="1:26">
      <c r="A6" s="6" t="s">
        <v>423</v>
      </c>
      <c r="B6" s="362"/>
      <c r="C6" s="28"/>
      <c r="D6" s="28"/>
      <c r="E6" s="28"/>
      <c r="F6" s="28"/>
      <c r="G6" s="28"/>
      <c r="H6" s="28"/>
      <c r="I6" s="205"/>
      <c r="J6" s="205"/>
      <c r="K6" s="205"/>
      <c r="L6" s="205"/>
      <c r="M6" s="205"/>
      <c r="N6" s="205">
        <v>6512.5439999999999</v>
      </c>
      <c r="O6" s="206"/>
      <c r="P6" s="26"/>
      <c r="R6" s="205">
        <f>5676731.11/1000</f>
        <v>5676.7311100000006</v>
      </c>
      <c r="S6" s="205">
        <f>4704429.51/1000</f>
        <v>4704.4295099999999</v>
      </c>
      <c r="T6" s="205">
        <f>4375894.18/1000</f>
        <v>4375.8941799999993</v>
      </c>
      <c r="U6" s="205">
        <f>'PL MFC'!U6</f>
        <v>3483.8215399999999</v>
      </c>
      <c r="V6" s="205">
        <f>'PL MFC'!V6</f>
        <v>3211.0508799999998</v>
      </c>
      <c r="W6" s="205">
        <v>2637.7148999999999</v>
      </c>
      <c r="X6" s="205">
        <f>'PL MFC'!X6</f>
        <v>2271.7579999999998</v>
      </c>
    </row>
    <row r="7" spans="1:26">
      <c r="A7" s="7" t="s">
        <v>202</v>
      </c>
      <c r="B7" s="363" t="s">
        <v>370</v>
      </c>
      <c r="C7" s="9"/>
      <c r="D7" s="9"/>
      <c r="E7" s="9"/>
      <c r="F7" s="9"/>
      <c r="G7" s="9">
        <f t="shared" ref="G7:P7" si="0">G3+G4</f>
        <v>3313.9973300000015</v>
      </c>
      <c r="H7" s="9">
        <f t="shared" si="0"/>
        <v>3563.4151199999969</v>
      </c>
      <c r="I7" s="189">
        <f t="shared" si="0"/>
        <v>4301.8619600000102</v>
      </c>
      <c r="J7" s="189">
        <f t="shared" si="0"/>
        <v>5036.5585769999643</v>
      </c>
      <c r="K7" s="189">
        <f t="shared" si="0"/>
        <v>5559.3968500000383</v>
      </c>
      <c r="L7" s="189">
        <f t="shared" si="0"/>
        <v>6605.7611770000003</v>
      </c>
      <c r="M7" s="189">
        <f t="shared" si="0"/>
        <v>6738.8489949999839</v>
      </c>
      <c r="N7" s="189">
        <v>14543.938179999997</v>
      </c>
      <c r="O7" s="189">
        <f t="shared" si="0"/>
        <v>0</v>
      </c>
      <c r="P7" s="189">
        <f t="shared" si="0"/>
        <v>0</v>
      </c>
      <c r="R7" s="189">
        <f>R3+R4+R5+R6</f>
        <v>14029.516790000001</v>
      </c>
      <c r="S7" s="189">
        <f>S3+S4+S5+S6</f>
        <v>13084.412919999999</v>
      </c>
      <c r="T7" s="189">
        <f>T3+T4+T5+T6</f>
        <v>14017.421529999998</v>
      </c>
      <c r="U7" s="189">
        <f>'PL MFC'!U7</f>
        <v>13428.578059999996</v>
      </c>
      <c r="V7" s="189">
        <f>'PL MFC'!V7</f>
        <v>14348.5232</v>
      </c>
      <c r="W7" s="189">
        <v>14096</v>
      </c>
      <c r="X7" s="189">
        <f>'PL MFC'!X7</f>
        <v>14641.948999999999</v>
      </c>
    </row>
    <row r="8" spans="1:26">
      <c r="A8" s="6" t="s">
        <v>452</v>
      </c>
      <c r="B8" s="363"/>
      <c r="C8" s="9"/>
      <c r="D8" s="9"/>
      <c r="E8" s="9"/>
      <c r="F8" s="9"/>
      <c r="G8" s="9"/>
      <c r="H8" s="9"/>
      <c r="I8" s="189"/>
      <c r="J8" s="189"/>
      <c r="K8" s="189"/>
      <c r="L8" s="189"/>
      <c r="M8" s="189"/>
      <c r="N8" s="337">
        <v>-377.00277999999935</v>
      </c>
      <c r="O8" s="189"/>
      <c r="P8" s="189"/>
      <c r="R8" s="337">
        <f>-199999.2/1000</f>
        <v>-199.9992</v>
      </c>
      <c r="S8" s="337">
        <v>-199.99900999999977</v>
      </c>
      <c r="T8" s="337">
        <v>-499.99915000000038</v>
      </c>
      <c r="U8" s="337">
        <v>-100</v>
      </c>
      <c r="V8" s="337">
        <v>-500</v>
      </c>
      <c r="W8" s="337">
        <f>-1378+20</f>
        <v>-1358</v>
      </c>
      <c r="X8" s="337">
        <f>200-20</f>
        <v>180</v>
      </c>
    </row>
    <row r="9" spans="1:26">
      <c r="A9" s="384" t="s">
        <v>292</v>
      </c>
      <c r="B9" s="385" t="s">
        <v>371</v>
      </c>
      <c r="C9" s="386">
        <f t="shared" ref="C9:U9" si="1">(C41*C32)/1000</f>
        <v>166.04515409700724</v>
      </c>
      <c r="D9" s="386">
        <f t="shared" si="1"/>
        <v>139.09419345132741</v>
      </c>
      <c r="E9" s="386">
        <f t="shared" si="1"/>
        <v>143.82425264394831</v>
      </c>
      <c r="F9" s="386">
        <f t="shared" si="1"/>
        <v>125.34542571785268</v>
      </c>
      <c r="G9" s="386">
        <f t="shared" si="1"/>
        <v>119.78655233122359</v>
      </c>
      <c r="H9" s="386">
        <f t="shared" si="1"/>
        <v>100.20614049250092</v>
      </c>
      <c r="I9" s="387">
        <f t="shared" si="1"/>
        <v>90.12596727607027</v>
      </c>
      <c r="J9" s="387">
        <f t="shared" si="1"/>
        <v>72.425835980666392</v>
      </c>
      <c r="K9" s="387">
        <f t="shared" si="1"/>
        <v>39.560161263494479</v>
      </c>
      <c r="L9" s="387">
        <f t="shared" si="1"/>
        <v>3.8711555453771695</v>
      </c>
      <c r="M9" s="387">
        <f t="shared" si="1"/>
        <v>0</v>
      </c>
      <c r="N9" s="387">
        <v>0</v>
      </c>
      <c r="O9" s="187" t="e">
        <f t="shared" si="1"/>
        <v>#DIV/0!</v>
      </c>
      <c r="P9" s="187" t="e">
        <f t="shared" si="1"/>
        <v>#DIV/0!</v>
      </c>
      <c r="Q9" s="188">
        <f t="shared" si="1"/>
        <v>0</v>
      </c>
      <c r="R9" s="387">
        <f t="shared" si="1"/>
        <v>0</v>
      </c>
      <c r="S9" s="387">
        <f t="shared" si="1"/>
        <v>0</v>
      </c>
      <c r="T9" s="387">
        <f t="shared" si="1"/>
        <v>0</v>
      </c>
      <c r="U9" s="387">
        <f t="shared" si="1"/>
        <v>0</v>
      </c>
      <c r="V9" s="387">
        <f t="shared" ref="V9" si="2">(V41*V32)/1000</f>
        <v>0</v>
      </c>
      <c r="W9" s="387">
        <v>21.478999999999999</v>
      </c>
      <c r="X9" s="387">
        <f>X41/1000</f>
        <v>397.44754</v>
      </c>
    </row>
    <row r="10" spans="1:26">
      <c r="A10" s="208" t="s">
        <v>58</v>
      </c>
      <c r="B10" s="363" t="s">
        <v>372</v>
      </c>
      <c r="C10" s="209">
        <f>+C3-C9</f>
        <v>2386.9548459029929</v>
      </c>
      <c r="D10" s="209">
        <f>+D3-D9</f>
        <v>2326.9058065486724</v>
      </c>
      <c r="E10" s="209">
        <f>+E3-E9</f>
        <v>2766.1757473560515</v>
      </c>
      <c r="F10" s="209">
        <f>+F3-F9</f>
        <v>2776.6545742821472</v>
      </c>
      <c r="G10" s="209">
        <f>G7-G9</f>
        <v>3194.2107776687781</v>
      </c>
      <c r="H10" s="209">
        <f>H7-H9</f>
        <v>3463.2089795074962</v>
      </c>
      <c r="I10" s="210">
        <f>I7-I9</f>
        <v>4211.7359927239395</v>
      </c>
      <c r="J10" s="210">
        <f t="shared" ref="J10:P10" si="3">J7-J9</f>
        <v>4964.132741019298</v>
      </c>
      <c r="K10" s="210">
        <f t="shared" si="3"/>
        <v>5519.8366887365437</v>
      </c>
      <c r="L10" s="210">
        <f t="shared" si="3"/>
        <v>6601.8900214546229</v>
      </c>
      <c r="M10" s="209">
        <f>M7-M9</f>
        <v>6738.8489949999839</v>
      </c>
      <c r="N10" s="209">
        <v>14166.935399999998</v>
      </c>
      <c r="O10" s="209" t="e">
        <f t="shared" si="3"/>
        <v>#DIV/0!</v>
      </c>
      <c r="P10" s="209" t="e">
        <f t="shared" si="3"/>
        <v>#DIV/0!</v>
      </c>
      <c r="R10" s="209">
        <f t="shared" ref="R10:V10" si="4">R7-R9+R8</f>
        <v>13829.517590000001</v>
      </c>
      <c r="S10" s="209">
        <f t="shared" si="4"/>
        <v>12884.413909999999</v>
      </c>
      <c r="T10" s="209">
        <f t="shared" si="4"/>
        <v>13517.422379999998</v>
      </c>
      <c r="U10" s="209">
        <f t="shared" si="4"/>
        <v>13328.578059999996</v>
      </c>
      <c r="V10" s="209">
        <f t="shared" si="4"/>
        <v>13848.5232</v>
      </c>
      <c r="W10" s="209">
        <f>W7-W9+W8</f>
        <v>12716.521000000001</v>
      </c>
      <c r="X10" s="209">
        <f>X7-X9+X8</f>
        <v>14424.501459999999</v>
      </c>
      <c r="Y10" s="338"/>
      <c r="Z10" s="338"/>
    </row>
    <row r="11" spans="1:26">
      <c r="A11" s="384" t="s">
        <v>291</v>
      </c>
      <c r="B11" s="385" t="s">
        <v>373</v>
      </c>
      <c r="C11" s="388">
        <v>495</v>
      </c>
      <c r="D11" s="388">
        <v>550</v>
      </c>
      <c r="E11" s="388">
        <v>618.53009557702319</v>
      </c>
      <c r="F11" s="388" t="e">
        <f>#REF!/1000</f>
        <v>#REF!</v>
      </c>
      <c r="G11" s="388">
        <v>580.62350737631698</v>
      </c>
      <c r="H11" s="388">
        <v>-228.95036304052965</v>
      </c>
      <c r="I11" s="389">
        <f>'Other Income_FS'!J66/1000</f>
        <v>995.22420809799939</v>
      </c>
      <c r="J11" s="389">
        <f>'Other Income_FS'!K66/1000</f>
        <v>640.27282971000045</v>
      </c>
      <c r="K11" s="389">
        <f>'Other Income_FS'!L66/1000</f>
        <v>731.1705440029998</v>
      </c>
      <c r="L11" s="389">
        <f>'Other Income_FS'!M66/1000</f>
        <v>879.0519366530001</v>
      </c>
      <c r="M11" s="389">
        <f>'Other Income_FS'!N66/1000</f>
        <v>843.03783360199952</v>
      </c>
      <c r="N11" s="389">
        <v>704.52552502100002</v>
      </c>
      <c r="O11" s="19" t="e">
        <f>#REF!/#REF!</f>
        <v>#REF!</v>
      </c>
      <c r="P11" s="19" t="e">
        <f>#REF!/(#REF!*1000)*12</f>
        <v>#REF!</v>
      </c>
      <c r="R11" s="389">
        <f>('Other Income_FS'!P66)/1000</f>
        <v>767.460644</v>
      </c>
      <c r="S11" s="389">
        <f>('Other Income_FS'!Q66)/1000</f>
        <v>809.71316890000003</v>
      </c>
      <c r="T11" s="389">
        <f>('Other Income_FS'!R66)/1000</f>
        <v>940.94363960000021</v>
      </c>
      <c r="U11" s="389">
        <f>('Other Income_FS'!S66)/1000</f>
        <v>841.78518009999982</v>
      </c>
      <c r="V11" s="389">
        <f>('Other Income_FS'!T66)/1000</f>
        <v>1171.3898422000002</v>
      </c>
      <c r="W11" s="389">
        <v>1776.0255176000003</v>
      </c>
      <c r="X11" s="389">
        <f>('Other Income_FS'!V66)/1000</f>
        <v>2937.8086215999992</v>
      </c>
      <c r="Y11" s="338"/>
      <c r="Z11" s="338"/>
    </row>
    <row r="12" spans="1:26">
      <c r="A12" s="384" t="s">
        <v>424</v>
      </c>
      <c r="B12" s="385"/>
      <c r="C12" s="388"/>
      <c r="D12" s="388"/>
      <c r="E12" s="388"/>
      <c r="F12" s="388"/>
      <c r="G12" s="388"/>
      <c r="H12" s="388"/>
      <c r="I12" s="389"/>
      <c r="J12" s="389"/>
      <c r="K12" s="389"/>
      <c r="L12" s="389"/>
      <c r="M12" s="389"/>
      <c r="N12" s="389">
        <v>5467.2569999999996</v>
      </c>
      <c r="O12" s="19"/>
      <c r="P12" s="19"/>
      <c r="R12" s="389">
        <f>3128759.19/1000</f>
        <v>3128.7591899999998</v>
      </c>
      <c r="S12" s="389">
        <f>'PL MFC'!S11</f>
        <v>3147.9223500000003</v>
      </c>
      <c r="T12" s="389">
        <f>3146596.92/1000</f>
        <v>3146.59692</v>
      </c>
      <c r="U12" s="467">
        <f>('PL MFC'!U11)+(199991/1000)</f>
        <v>2497.0331599000001</v>
      </c>
      <c r="V12" s="467">
        <v>2752</v>
      </c>
      <c r="W12" s="467">
        <f>2561-43</f>
        <v>2518</v>
      </c>
      <c r="X12" s="467">
        <f>4285-X11</f>
        <v>1347.1913784000008</v>
      </c>
      <c r="Y12" s="405"/>
      <c r="Z12" s="405"/>
    </row>
    <row r="13" spans="1:26">
      <c r="A13" s="7" t="s">
        <v>294</v>
      </c>
      <c r="B13" s="363" t="s">
        <v>374</v>
      </c>
      <c r="C13" s="9"/>
      <c r="D13" s="9"/>
      <c r="E13" s="9"/>
      <c r="F13" s="9"/>
      <c r="G13" s="9"/>
      <c r="H13" s="9"/>
      <c r="I13" s="189">
        <f t="shared" ref="I13:M13" si="5">I10+I11</f>
        <v>5206.960200821939</v>
      </c>
      <c r="J13" s="189">
        <f t="shared" si="5"/>
        <v>5604.4055707292982</v>
      </c>
      <c r="K13" s="189">
        <f t="shared" si="5"/>
        <v>6251.0072327395437</v>
      </c>
      <c r="L13" s="189">
        <f t="shared" si="5"/>
        <v>7480.9419581076227</v>
      </c>
      <c r="M13" s="189">
        <f t="shared" si="5"/>
        <v>7581.8868286019833</v>
      </c>
      <c r="N13" s="337">
        <v>20338.717925020996</v>
      </c>
      <c r="O13" s="19"/>
      <c r="P13" s="19"/>
      <c r="R13" s="337">
        <f t="shared" ref="R13:U13" si="6">R10+R11+R12</f>
        <v>17725.737424000003</v>
      </c>
      <c r="S13" s="337">
        <f t="shared" si="6"/>
        <v>16842.049428899998</v>
      </c>
      <c r="T13" s="337">
        <f t="shared" si="6"/>
        <v>17604.962939599998</v>
      </c>
      <c r="U13" s="337">
        <f t="shared" si="6"/>
        <v>16667.396399999998</v>
      </c>
      <c r="V13" s="337">
        <f>V10+V11+V12</f>
        <v>17771.913042200002</v>
      </c>
      <c r="W13" s="337">
        <f>W10+W11+W12</f>
        <v>17010.5465176</v>
      </c>
      <c r="X13" s="337">
        <f>X10+X11+X12</f>
        <v>18709.501459999999</v>
      </c>
    </row>
    <row r="14" spans="1:26">
      <c r="A14" s="6" t="s">
        <v>425</v>
      </c>
      <c r="B14" s="362" t="s">
        <v>375</v>
      </c>
      <c r="C14" s="8" t="e">
        <f>'OPEX MFC'!#REF!/1000</f>
        <v>#REF!</v>
      </c>
      <c r="D14" s="8" t="e">
        <f>'OPEX MFC'!#REF!/1000</f>
        <v>#REF!</v>
      </c>
      <c r="E14" s="8" t="e">
        <f>'OPEX MFC'!#REF!/1000</f>
        <v>#REF!</v>
      </c>
      <c r="F14" s="8" t="e">
        <f>'OPEX MFC'!#REF!/1000</f>
        <v>#REF!</v>
      </c>
      <c r="G14" s="8">
        <v>1251.2249844981627</v>
      </c>
      <c r="H14" s="8">
        <v>1297.4517714694096</v>
      </c>
      <c r="I14" s="188">
        <f>'OPEX MFC'!F82/1000</f>
        <v>7024.0884897976857</v>
      </c>
      <c r="J14" s="188">
        <f>'OPEX MFC'!G82/1000</f>
        <v>5942.4586613632828</v>
      </c>
      <c r="K14" s="188">
        <f>'OPEX MFC'!H82/1000</f>
        <v>6962.2565573488009</v>
      </c>
      <c r="L14" s="188">
        <f>'OPEX MFC'!I82/1000</f>
        <v>6979.4892112759744</v>
      </c>
      <c r="M14" s="8">
        <f>'OPEX MFC'!J82/1000</f>
        <v>7497.9759949146892</v>
      </c>
      <c r="N14" s="8">
        <v>7288.9976015480406</v>
      </c>
      <c r="O14" s="12" t="e">
        <f>#REF!/#REF!</f>
        <v>#REF!</v>
      </c>
      <c r="P14" s="12" t="e">
        <f>#REF!/(#REF!*1000)*12</f>
        <v>#REF!</v>
      </c>
      <c r="R14" s="8">
        <f>('OPEX MFC'!L82)/1000</f>
        <v>8426.2165010401059</v>
      </c>
      <c r="S14" s="8">
        <f>('OPEX MFC'!M82)/1000</f>
        <v>9030.512912924989</v>
      </c>
      <c r="T14" s="8">
        <f>('OPEX MFC'!N82)/1000</f>
        <v>10276.000496928529</v>
      </c>
      <c r="U14" s="8">
        <f>('OPEX MFC'!O82)/1000</f>
        <v>9527.4555437689578</v>
      </c>
      <c r="V14" s="8">
        <f>('OPEX MFC'!P82)/1000</f>
        <v>10230.737151619356</v>
      </c>
      <c r="W14" s="8">
        <f>11515.3958919666-1000</f>
        <v>10515.3958919666</v>
      </c>
      <c r="X14" s="8">
        <f>'PL MFC'!X13</f>
        <v>10548.78461230107</v>
      </c>
    </row>
    <row r="15" spans="1:26">
      <c r="A15" s="6" t="s">
        <v>426</v>
      </c>
      <c r="B15" s="362"/>
      <c r="C15" s="8"/>
      <c r="D15" s="8"/>
      <c r="E15" s="8"/>
      <c r="F15" s="8"/>
      <c r="G15" s="8"/>
      <c r="H15" s="8"/>
      <c r="I15" s="188"/>
      <c r="J15" s="188"/>
      <c r="K15" s="188"/>
      <c r="L15" s="188"/>
      <c r="M15" s="8"/>
      <c r="N15" s="8">
        <v>5410.6933200000003</v>
      </c>
      <c r="O15" s="382"/>
      <c r="P15" s="382"/>
      <c r="R15" s="8">
        <f>('OPEX MFC'!Z82-'OPEX MFC'!L82)/1000</f>
        <v>3562.3605689598935</v>
      </c>
      <c r="S15" s="8">
        <f>('OPEX MFC'!AA82-'OPEX MFC'!M82)/1000</f>
        <v>3324.2562270750104</v>
      </c>
      <c r="T15" s="8">
        <f>('OPEX MFC'!AB82-'OPEX MFC'!N82)/1000</f>
        <v>3909.5113930714706</v>
      </c>
      <c r="U15" s="8">
        <f>('OPEX MFC'!AC82-'OPEX MFC'!O82)/1000</f>
        <v>2988.6125762310398</v>
      </c>
      <c r="V15" s="8">
        <f>('OPEX MFC'!AD82-'OPEX MFC'!P82)/1000</f>
        <v>2751.5218083806431</v>
      </c>
      <c r="W15" s="8">
        <v>2621.325778033402</v>
      </c>
      <c r="X15" s="8">
        <f>'OPEX MFC'!AF82/10^3-'PL MFC _Conso'!X14</f>
        <v>2160.4633476989275</v>
      </c>
    </row>
    <row r="16" spans="1:26" ht="30">
      <c r="A16" s="390" t="s">
        <v>59</v>
      </c>
      <c r="B16" s="391" t="s">
        <v>376</v>
      </c>
      <c r="C16" s="392" t="e">
        <f>+C10+C11-C14</f>
        <v>#REF!</v>
      </c>
      <c r="D16" s="392" t="e">
        <f>+D10+D11-D14</f>
        <v>#REF!</v>
      </c>
      <c r="E16" s="392" t="e">
        <f t="shared" ref="E16:P16" si="7">+E10+E11-E14</f>
        <v>#REF!</v>
      </c>
      <c r="F16" s="392" t="e">
        <f t="shared" si="7"/>
        <v>#REF!</v>
      </c>
      <c r="G16" s="392">
        <f t="shared" si="7"/>
        <v>2523.609300546932</v>
      </c>
      <c r="H16" s="392">
        <f t="shared" si="7"/>
        <v>1936.8068449975569</v>
      </c>
      <c r="I16" s="393">
        <f>I13-I14</f>
        <v>-1817.1282889757467</v>
      </c>
      <c r="J16" s="393">
        <f>J13-J14</f>
        <v>-338.05309063398454</v>
      </c>
      <c r="K16" s="393">
        <f>K13-K14</f>
        <v>-711.2493246092572</v>
      </c>
      <c r="L16" s="393">
        <f>L13-L14</f>
        <v>501.45274683164826</v>
      </c>
      <c r="M16" s="392">
        <f>+M10+M11-M14</f>
        <v>83.910833687294144</v>
      </c>
      <c r="N16" s="392">
        <v>7639.0270034729547</v>
      </c>
      <c r="O16" s="20" t="e">
        <f t="shared" si="7"/>
        <v>#DIV/0!</v>
      </c>
      <c r="P16" s="20" t="e">
        <f t="shared" si="7"/>
        <v>#DIV/0!</v>
      </c>
      <c r="R16" s="392">
        <f t="shared" ref="R16:U16" si="8">R13-R14-R15</f>
        <v>5737.1603540000033</v>
      </c>
      <c r="S16" s="392">
        <f t="shared" si="8"/>
        <v>4487.2802888999986</v>
      </c>
      <c r="T16" s="392">
        <f t="shared" si="8"/>
        <v>3419.4510495999984</v>
      </c>
      <c r="U16" s="392">
        <f t="shared" si="8"/>
        <v>4151.3282799999997</v>
      </c>
      <c r="V16" s="392">
        <f>V13-V14-V15</f>
        <v>4789.6540822000024</v>
      </c>
      <c r="W16" s="392">
        <f>W13-W14-W15</f>
        <v>3873.8248475999976</v>
      </c>
      <c r="X16" s="392">
        <f>X13-X14-X15</f>
        <v>6000.2535000000025</v>
      </c>
    </row>
    <row r="17" spans="1:24">
      <c r="A17" s="7" t="s">
        <v>293</v>
      </c>
      <c r="B17" s="363" t="s">
        <v>377</v>
      </c>
      <c r="C17" s="9">
        <f t="shared" ref="C17:M17" si="9">SUM(C18:C20)</f>
        <v>258</v>
      </c>
      <c r="D17" s="9">
        <f t="shared" si="9"/>
        <v>346</v>
      </c>
      <c r="E17" s="9">
        <f t="shared" si="9"/>
        <v>293</v>
      </c>
      <c r="F17" s="9">
        <f t="shared" si="9"/>
        <v>578</v>
      </c>
      <c r="G17" s="9">
        <f t="shared" si="9"/>
        <v>489.80579999999992</v>
      </c>
      <c r="H17" s="9">
        <f t="shared" si="9"/>
        <v>884.55489999999998</v>
      </c>
      <c r="I17" s="189">
        <f t="shared" si="9"/>
        <v>1036.918749999988</v>
      </c>
      <c r="J17" s="189">
        <f t="shared" si="9"/>
        <v>822.08292700000368</v>
      </c>
      <c r="K17" s="189">
        <f t="shared" si="9"/>
        <v>978.05465999998751</v>
      </c>
      <c r="L17" s="189">
        <f t="shared" si="9"/>
        <v>998.73230699999817</v>
      </c>
      <c r="M17" s="189">
        <f t="shared" si="9"/>
        <v>1191.4889300000059</v>
      </c>
      <c r="N17" s="189">
        <v>1635.3787800000118</v>
      </c>
      <c r="O17" s="13" t="e">
        <f>#REF!/#REF!</f>
        <v>#REF!</v>
      </c>
      <c r="P17" s="13" t="e">
        <f>#REF!/(#REF!*1000)*12</f>
        <v>#REF!</v>
      </c>
      <c r="R17" s="189">
        <f t="shared" ref="R17:V17" si="10">SUM(R18:R20)</f>
        <v>1392.2104900000004</v>
      </c>
      <c r="S17" s="189">
        <f t="shared" si="10"/>
        <v>1513.1591600000002</v>
      </c>
      <c r="T17" s="189">
        <f t="shared" si="10"/>
        <v>931.71506000000136</v>
      </c>
      <c r="U17" s="189">
        <f t="shared" si="10"/>
        <v>2170.2083299999995</v>
      </c>
      <c r="V17" s="189">
        <f t="shared" si="10"/>
        <v>926.17071000000215</v>
      </c>
      <c r="W17" s="189">
        <f>SUM(W18:W20)</f>
        <v>140.31810000000041</v>
      </c>
      <c r="X17" s="189">
        <f>SUM(X18:X20)</f>
        <v>1444</v>
      </c>
    </row>
    <row r="18" spans="1:24">
      <c r="A18" s="394" t="s">
        <v>451</v>
      </c>
      <c r="B18" s="395" t="s">
        <v>378</v>
      </c>
      <c r="C18" s="396">
        <v>117</v>
      </c>
      <c r="D18" s="396">
        <v>94</v>
      </c>
      <c r="E18" s="396">
        <v>190</v>
      </c>
      <c r="F18" s="396">
        <v>219</v>
      </c>
      <c r="G18" s="388">
        <v>144.73400000000001</v>
      </c>
      <c r="H18" s="388">
        <v>395.12837000000002</v>
      </c>
      <c r="I18" s="397">
        <f>'Credit Cost'!E6/1000</f>
        <v>450.87508000000008</v>
      </c>
      <c r="J18" s="397">
        <f>'Credit Cost'!F6/1000</f>
        <v>450.09001000000001</v>
      </c>
      <c r="K18" s="397">
        <f>'Credit Cost'!G6/1000</f>
        <v>354.41596999999996</v>
      </c>
      <c r="L18" s="397">
        <f>'Credit Cost'!H6/1000</f>
        <v>487.45567</v>
      </c>
      <c r="M18" s="397">
        <f>'Credit Cost'!I6/1000</f>
        <v>472.19832000000002</v>
      </c>
      <c r="N18" s="397">
        <v>728.35453000000007</v>
      </c>
      <c r="O18" s="19" t="e">
        <f>#REF!/#REF!</f>
        <v>#REF!</v>
      </c>
      <c r="P18" s="19" t="e">
        <f>#REF!/(#REF!*1000)*12</f>
        <v>#REF!</v>
      </c>
      <c r="R18" s="397">
        <f>680506.97/1000</f>
        <v>680.50697000000002</v>
      </c>
      <c r="S18" s="397">
        <f>250099.77/1000</f>
        <v>250.09976999999998</v>
      </c>
      <c r="T18" s="397">
        <v>1026.9350000000002</v>
      </c>
      <c r="U18" s="397">
        <f>'PL MFC'!U17</f>
        <v>401.26535000000001</v>
      </c>
      <c r="V18" s="397">
        <f>'PL MFC'!V17</f>
        <v>291.50230999999997</v>
      </c>
      <c r="W18" s="397">
        <v>280.74</v>
      </c>
      <c r="X18" s="397">
        <v>59</v>
      </c>
    </row>
    <row r="19" spans="1:24">
      <c r="A19" s="211" t="s">
        <v>65</v>
      </c>
      <c r="B19" s="364" t="s">
        <v>379</v>
      </c>
      <c r="C19" s="212">
        <v>157</v>
      </c>
      <c r="D19" s="212">
        <v>109</v>
      </c>
      <c r="E19" s="212">
        <v>43</v>
      </c>
      <c r="F19" s="212">
        <v>93</v>
      </c>
      <c r="G19" s="28">
        <v>307.03373999999997</v>
      </c>
      <c r="H19" s="28">
        <v>188.63614999999999</v>
      </c>
      <c r="I19" s="233">
        <f>'Credit Cost'!E10/1000</f>
        <v>227.04163</v>
      </c>
      <c r="J19" s="233">
        <f>'Credit Cost'!F10/1000</f>
        <v>100.15639999999998</v>
      </c>
      <c r="K19" s="233">
        <f>'Credit Cost'!G10/1000</f>
        <v>154.81179999999998</v>
      </c>
      <c r="L19" s="233">
        <f>'Credit Cost'!H10/1000</f>
        <v>243.85900000000001</v>
      </c>
      <c r="M19" s="233">
        <f>'Credit Cost'!I10/1000</f>
        <v>220.68600000000001</v>
      </c>
      <c r="N19" s="233">
        <v>6003.8285300000007</v>
      </c>
      <c r="O19" s="12" t="e">
        <f>#REF!/#REF!</f>
        <v>#REF!</v>
      </c>
      <c r="P19" s="12" t="e">
        <f>#REF!/(#REF!*1000)*12</f>
        <v>#REF!</v>
      </c>
      <c r="R19" s="233">
        <f>5121605.43/1000</f>
        <v>5121.6054299999996</v>
      </c>
      <c r="S19" s="233">
        <f>311.3815+(5174416.15/1000)</f>
        <v>5485.7976500000004</v>
      </c>
      <c r="T19" s="233">
        <v>4261.6456500000004</v>
      </c>
      <c r="U19" s="233">
        <f>'PL MFC'!U18</f>
        <v>3957.9429799999998</v>
      </c>
      <c r="V19" s="233">
        <f>'PL MFC'!V18</f>
        <v>3264.6684000000023</v>
      </c>
      <c r="W19" s="233">
        <v>3260.5781000000002</v>
      </c>
      <c r="X19" s="233">
        <v>3286</v>
      </c>
    </row>
    <row r="20" spans="1:24">
      <c r="A20" s="394" t="s">
        <v>60</v>
      </c>
      <c r="B20" s="395" t="s">
        <v>276</v>
      </c>
      <c r="C20" s="396">
        <v>-16</v>
      </c>
      <c r="D20" s="396">
        <v>143</v>
      </c>
      <c r="E20" s="396">
        <v>60</v>
      </c>
      <c r="F20" s="396">
        <v>266</v>
      </c>
      <c r="G20" s="388">
        <v>38.038059999999916</v>
      </c>
      <c r="H20" s="388">
        <v>300.79038000000003</v>
      </c>
      <c r="I20" s="397">
        <f>'Credit Cost'!E16/1000</f>
        <v>359.00203999998791</v>
      </c>
      <c r="J20" s="397">
        <f>'Credit Cost'!F16/1000</f>
        <v>271.83651700000371</v>
      </c>
      <c r="K20" s="397">
        <f>'Credit Cost'!G16/1000</f>
        <v>468.82688999998754</v>
      </c>
      <c r="L20" s="397">
        <f>'Credit Cost'!H16/1000</f>
        <v>267.41763699999825</v>
      </c>
      <c r="M20" s="397">
        <f>'Credit Cost'!I16/1000</f>
        <v>498.60461000000595</v>
      </c>
      <c r="N20" s="397">
        <v>-5096.8042799999894</v>
      </c>
      <c r="O20" s="19" t="e">
        <f>#REF!/#REF!</f>
        <v>#REF!</v>
      </c>
      <c r="P20" s="19" t="e">
        <f>#REF!/(#REF!*1000)*12</f>
        <v>#REF!</v>
      </c>
      <c r="R20" s="397">
        <f>(-3555557/1000)-(854344.91/1000)</f>
        <v>-4409.9019099999996</v>
      </c>
      <c r="S20" s="397">
        <f>(-4375284.98/1000)+(152546.72/1000)</f>
        <v>-4222.7382600000001</v>
      </c>
      <c r="T20" s="397">
        <f>-4182.53065-(174334.94/1000)</f>
        <v>-4356.8655899999994</v>
      </c>
      <c r="U20" s="468">
        <v>-2189</v>
      </c>
      <c r="V20" s="468">
        <v>-2630</v>
      </c>
      <c r="W20" s="468">
        <f>-3401</f>
        <v>-3401</v>
      </c>
      <c r="X20" s="468">
        <v>-1901</v>
      </c>
    </row>
    <row r="21" spans="1:24">
      <c r="A21" s="208" t="s">
        <v>61</v>
      </c>
      <c r="B21" s="363" t="s">
        <v>380</v>
      </c>
      <c r="C21" s="209" t="e">
        <f t="shared" ref="C21:M21" si="11">+C16-C17</f>
        <v>#REF!</v>
      </c>
      <c r="D21" s="209" t="e">
        <f t="shared" si="11"/>
        <v>#REF!</v>
      </c>
      <c r="E21" s="209" t="e">
        <f t="shared" si="11"/>
        <v>#REF!</v>
      </c>
      <c r="F21" s="209" t="e">
        <f t="shared" si="11"/>
        <v>#REF!</v>
      </c>
      <c r="G21" s="209">
        <f t="shared" si="11"/>
        <v>2033.8035005469321</v>
      </c>
      <c r="H21" s="209">
        <f t="shared" si="11"/>
        <v>1052.2519449975571</v>
      </c>
      <c r="I21" s="210">
        <f t="shared" si="11"/>
        <v>-2854.0470389757347</v>
      </c>
      <c r="J21" s="210">
        <f t="shared" si="11"/>
        <v>-1160.1360176339881</v>
      </c>
      <c r="K21" s="210">
        <f t="shared" si="11"/>
        <v>-1689.3039846092447</v>
      </c>
      <c r="L21" s="210">
        <f t="shared" si="11"/>
        <v>-497.27956016834992</v>
      </c>
      <c r="M21" s="210">
        <f t="shared" si="11"/>
        <v>-1107.5780963127118</v>
      </c>
      <c r="N21" s="210">
        <v>6003.6482234729428</v>
      </c>
      <c r="O21" s="213" t="e">
        <f>#REF!/#REF!</f>
        <v>#REF!</v>
      </c>
      <c r="P21" s="213" t="e">
        <f>#REF!/(#REF!*1000)*12</f>
        <v>#REF!</v>
      </c>
      <c r="R21" s="406">
        <f t="shared" ref="R21:X21" si="12">+R16-R17</f>
        <v>4344.9498640000029</v>
      </c>
      <c r="S21" s="406">
        <f t="shared" si="12"/>
        <v>2974.1211288999984</v>
      </c>
      <c r="T21" s="406">
        <f t="shared" si="12"/>
        <v>2487.7359895999971</v>
      </c>
      <c r="U21" s="406">
        <f t="shared" si="12"/>
        <v>1981.1199500000002</v>
      </c>
      <c r="V21" s="406">
        <f t="shared" si="12"/>
        <v>3863.4833722000003</v>
      </c>
      <c r="W21" s="406">
        <f t="shared" si="12"/>
        <v>3733.5067475999972</v>
      </c>
      <c r="X21" s="406">
        <f t="shared" si="12"/>
        <v>4556.2535000000025</v>
      </c>
    </row>
    <row r="22" spans="1:24" ht="28.5">
      <c r="A22" s="398" t="s">
        <v>427</v>
      </c>
      <c r="B22" s="385" t="s">
        <v>381</v>
      </c>
      <c r="C22" s="388">
        <v>0</v>
      </c>
      <c r="D22" s="388">
        <v>0</v>
      </c>
      <c r="E22" s="388">
        <v>0</v>
      </c>
      <c r="F22" s="388">
        <v>0</v>
      </c>
      <c r="G22" s="399">
        <v>0</v>
      </c>
      <c r="H22" s="399">
        <v>0</v>
      </c>
      <c r="I22" s="400">
        <v>0</v>
      </c>
      <c r="J22" s="400">
        <v>0</v>
      </c>
      <c r="K22" s="400">
        <v>0</v>
      </c>
      <c r="L22" s="400">
        <v>0</v>
      </c>
      <c r="M22" s="400">
        <v>0</v>
      </c>
      <c r="N22" s="400">
        <v>948.54949200000192</v>
      </c>
      <c r="O22" s="21" t="e">
        <f>#REF!/#REF!</f>
        <v>#REF!</v>
      </c>
      <c r="P22" s="21" t="e">
        <f>#REF!/(#REF!*1000)*12</f>
        <v>#REF!</v>
      </c>
      <c r="R22" s="400">
        <f>938876.308/1000</f>
        <v>938.87630799999999</v>
      </c>
      <c r="S22" s="400">
        <f>957906.466/1000</f>
        <v>957.90646600000002</v>
      </c>
      <c r="T22" s="400">
        <f>747472.180000001/1000</f>
        <v>747.472180000001</v>
      </c>
      <c r="U22" s="400">
        <f>481.7694</f>
        <v>481.76940000000002</v>
      </c>
      <c r="V22" s="400">
        <v>545</v>
      </c>
      <c r="W22" s="400">
        <v>520</v>
      </c>
      <c r="X22" s="400">
        <v>549</v>
      </c>
    </row>
    <row r="23" spans="1:24">
      <c r="A23" s="398" t="s">
        <v>502</v>
      </c>
      <c r="B23" s="385"/>
      <c r="C23" s="388"/>
      <c r="D23" s="388"/>
      <c r="E23" s="388"/>
      <c r="F23" s="388"/>
      <c r="G23" s="518"/>
      <c r="H23" s="518"/>
      <c r="I23" s="519"/>
      <c r="J23" s="519"/>
      <c r="K23" s="519"/>
      <c r="L23" s="519"/>
      <c r="M23" s="519"/>
      <c r="N23" s="519"/>
      <c r="O23" s="520"/>
      <c r="P23" s="520"/>
      <c r="R23" s="519"/>
      <c r="S23" s="519"/>
      <c r="T23" s="519"/>
      <c r="U23" s="519"/>
      <c r="V23" s="519"/>
      <c r="W23" s="519"/>
      <c r="X23" s="519">
        <f>'PL MFC'!X22</f>
        <v>71.584827999998097</v>
      </c>
    </row>
    <row r="24" spans="1:24">
      <c r="A24" s="214" t="s">
        <v>62</v>
      </c>
      <c r="B24" s="365" t="s">
        <v>382</v>
      </c>
      <c r="C24" s="215" t="e">
        <f>+C21-C22</f>
        <v>#REF!</v>
      </c>
      <c r="D24" s="215" t="e">
        <f>+D21-D22</f>
        <v>#REF!</v>
      </c>
      <c r="E24" s="215" t="e">
        <f t="shared" ref="E24:R24" si="13">+E21-E22</f>
        <v>#REF!</v>
      </c>
      <c r="F24" s="215" t="e">
        <f t="shared" si="13"/>
        <v>#REF!</v>
      </c>
      <c r="G24" s="216">
        <f t="shared" si="13"/>
        <v>2033.8035005469321</v>
      </c>
      <c r="H24" s="216">
        <f t="shared" si="13"/>
        <v>1052.2519449975571</v>
      </c>
      <c r="I24" s="217">
        <f t="shared" si="13"/>
        <v>-2854.0470389757347</v>
      </c>
      <c r="J24" s="217">
        <f t="shared" si="13"/>
        <v>-1160.1360176339881</v>
      </c>
      <c r="K24" s="217">
        <f t="shared" si="13"/>
        <v>-1689.3039846092447</v>
      </c>
      <c r="L24" s="217">
        <f t="shared" si="13"/>
        <v>-497.27956016834992</v>
      </c>
      <c r="M24" s="217">
        <f t="shared" si="13"/>
        <v>-1107.5780963127118</v>
      </c>
      <c r="N24" s="217">
        <v>5055.0987314729409</v>
      </c>
      <c r="O24" s="217" t="e">
        <f t="shared" si="13"/>
        <v>#REF!</v>
      </c>
      <c r="P24" s="217" t="e">
        <f t="shared" si="13"/>
        <v>#REF!</v>
      </c>
      <c r="R24" s="217">
        <f t="shared" si="13"/>
        <v>3406.073556000003</v>
      </c>
      <c r="S24" s="217">
        <f>+S21-S22</f>
        <v>2016.2146628999985</v>
      </c>
      <c r="T24" s="406">
        <f>+T21-T22</f>
        <v>1740.263809599996</v>
      </c>
      <c r="U24" s="414">
        <f>+U21-U22</f>
        <v>1499.3505500000001</v>
      </c>
      <c r="V24" s="414">
        <f>+V21-V22</f>
        <v>3318.4833722000003</v>
      </c>
      <c r="W24" s="414">
        <f>+W21-W22</f>
        <v>3213.5067475999972</v>
      </c>
      <c r="X24" s="414">
        <f>+X21-X22-X23</f>
        <v>3935.6686720000043</v>
      </c>
    </row>
    <row r="25" spans="1:24" ht="18">
      <c r="A25" s="218"/>
      <c r="B25" s="21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1"/>
      <c r="P25" s="1"/>
    </row>
    <row r="26" spans="1:24" ht="18">
      <c r="A26" s="242" t="s">
        <v>289</v>
      </c>
      <c r="B26" s="371" t="s">
        <v>369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1"/>
      <c r="P26" s="1"/>
    </row>
    <row r="27" spans="1:24">
      <c r="A27" s="6" t="s">
        <v>285</v>
      </c>
      <c r="B27" s="372" t="s">
        <v>383</v>
      </c>
      <c r="C27" s="8">
        <v>86</v>
      </c>
      <c r="D27" s="8">
        <v>89</v>
      </c>
      <c r="E27" s="8">
        <v>94</v>
      </c>
      <c r="F27" s="8">
        <v>98</v>
      </c>
      <c r="G27" s="8">
        <f>91351694/10^6</f>
        <v>91.351693999999995</v>
      </c>
      <c r="H27" s="8">
        <f>82634195.65/10^6</f>
        <v>82.634195650000009</v>
      </c>
      <c r="I27" s="8">
        <f>76361955.8679998/1000</f>
        <v>76361.955867999801</v>
      </c>
      <c r="J27" s="8">
        <f>73847311.4400001/1000</f>
        <v>73847.311440000107</v>
      </c>
      <c r="K27" s="8">
        <f>66355104.0349997/1000</f>
        <v>66355.104034999706</v>
      </c>
      <c r="L27" s="8">
        <f>61574664.6919999/1000</f>
        <v>61574.664691999897</v>
      </c>
      <c r="M27" s="8">
        <f>(42012859/10^3)+(16532058/10^3)</f>
        <v>58544.917000000001</v>
      </c>
      <c r="N27" s="8">
        <f>(35304758.89+23136697.7)/10^3</f>
        <v>58441.456590000002</v>
      </c>
      <c r="O27" s="26"/>
      <c r="P27" s="26"/>
      <c r="R27" s="8">
        <f>(29704615.78+24897408.13)/1000</f>
        <v>54602.023909999996</v>
      </c>
      <c r="S27" s="8">
        <f>(25010396.81+24481103.59)/1000</f>
        <v>49491.500399999997</v>
      </c>
      <c r="T27" s="8">
        <f>(20441733.07+32055606.2)/10^3</f>
        <v>52497.339269999997</v>
      </c>
      <c r="U27" s="8">
        <v>53218.062720000002</v>
      </c>
      <c r="V27" s="8">
        <v>57319.126189999995</v>
      </c>
      <c r="W27" s="8">
        <v>62613.985999999997</v>
      </c>
      <c r="X27" s="8">
        <v>64554.940999999999</v>
      </c>
    </row>
    <row r="28" spans="1:24" ht="32.25" customHeight="1">
      <c r="A28" s="236" t="s">
        <v>224</v>
      </c>
      <c r="B28" s="372" t="s">
        <v>384</v>
      </c>
      <c r="C28" s="237"/>
      <c r="D28" s="237"/>
      <c r="E28" s="237"/>
      <c r="F28" s="237"/>
      <c r="G28" s="238">
        <f>15996489.39/10^6</f>
        <v>15.996489390000001</v>
      </c>
      <c r="H28" s="238">
        <f>32600370.23/10^6</f>
        <v>32.600370230000003</v>
      </c>
      <c r="I28" s="239">
        <f>53191274.78/1000</f>
        <v>53191.27478</v>
      </c>
      <c r="J28" s="239">
        <f>70859730.5349997/1000</f>
        <v>70859.730534999704</v>
      </c>
      <c r="K28" s="239">
        <f>92835325.4800001/1000</f>
        <v>92835.325480000087</v>
      </c>
      <c r="L28" s="239">
        <f>110666969.69/1000</f>
        <v>110666.96969</v>
      </c>
      <c r="M28" s="239">
        <f>127081538.46/10^3</f>
        <v>127081.53846</v>
      </c>
      <c r="N28" s="239">
        <f>144378634/10^3</f>
        <v>144378.63399999999</v>
      </c>
      <c r="O28" s="11"/>
      <c r="P28" s="11"/>
      <c r="R28" s="239">
        <v>153913.81290000002</v>
      </c>
      <c r="S28" s="239">
        <f>166715040/10^3</f>
        <v>166715.04</v>
      </c>
      <c r="T28" s="239">
        <f>(182520479.84+3107559.63)/10^3</f>
        <v>185628.03946999999</v>
      </c>
      <c r="U28" s="239">
        <v>197959.753</v>
      </c>
      <c r="V28" s="239">
        <v>211271.43257999999</v>
      </c>
      <c r="W28" s="239">
        <v>222216.065</v>
      </c>
      <c r="X28" s="239">
        <v>232740.427</v>
      </c>
    </row>
    <row r="29" spans="1:24" ht="30">
      <c r="A29" s="234" t="s">
        <v>286</v>
      </c>
      <c r="B29" s="373" t="s">
        <v>385</v>
      </c>
      <c r="C29" s="235">
        <f t="shared" ref="C29:T29" si="14">C27+C28</f>
        <v>86</v>
      </c>
      <c r="D29" s="235">
        <f t="shared" si="14"/>
        <v>89</v>
      </c>
      <c r="E29" s="235">
        <f t="shared" si="14"/>
        <v>94</v>
      </c>
      <c r="F29" s="235">
        <f t="shared" si="14"/>
        <v>98</v>
      </c>
      <c r="G29" s="235">
        <f t="shared" si="14"/>
        <v>107.34818339</v>
      </c>
      <c r="H29" s="235">
        <f t="shared" si="14"/>
        <v>115.23456588000002</v>
      </c>
      <c r="I29" s="235">
        <f t="shared" si="14"/>
        <v>129553.23064799979</v>
      </c>
      <c r="J29" s="235">
        <f t="shared" si="14"/>
        <v>144707.04197499983</v>
      </c>
      <c r="K29" s="235">
        <f>K27+K28</f>
        <v>159190.42951499979</v>
      </c>
      <c r="L29" s="235">
        <f t="shared" si="14"/>
        <v>172241.6343819999</v>
      </c>
      <c r="M29" s="235">
        <f t="shared" si="14"/>
        <v>185626.45546</v>
      </c>
      <c r="N29" s="235">
        <f t="shared" si="14"/>
        <v>202820.09058999998</v>
      </c>
      <c r="O29" s="42">
        <f t="shared" si="14"/>
        <v>0</v>
      </c>
      <c r="P29" s="42">
        <f t="shared" si="14"/>
        <v>0</v>
      </c>
      <c r="R29" s="235">
        <f t="shared" si="14"/>
        <v>208515.83681000001</v>
      </c>
      <c r="S29" s="235">
        <f t="shared" si="14"/>
        <v>216206.5404</v>
      </c>
      <c r="T29" s="235">
        <f t="shared" si="14"/>
        <v>238125.37873999999</v>
      </c>
      <c r="U29" s="235">
        <v>251177.81572000001</v>
      </c>
      <c r="V29" s="235">
        <v>268590.55877</v>
      </c>
      <c r="W29" s="235">
        <v>284830.05099999998</v>
      </c>
      <c r="X29" s="235">
        <v>297295.36800000002</v>
      </c>
    </row>
    <row r="30" spans="1:24">
      <c r="A30" s="236" t="s">
        <v>230</v>
      </c>
      <c r="B30" s="372" t="s">
        <v>386</v>
      </c>
      <c r="C30" s="241"/>
      <c r="D30" s="241"/>
      <c r="E30" s="241"/>
      <c r="F30" s="241"/>
      <c r="G30" s="241"/>
      <c r="H30" s="241"/>
      <c r="I30" s="241">
        <f>519394828.6944/1000</f>
        <v>519394.82869440003</v>
      </c>
      <c r="J30" s="241">
        <f>463753321.662899/1000</f>
        <v>463753.32166289899</v>
      </c>
      <c r="K30" s="241">
        <f>415030086.1598/1000</f>
        <v>415030.0861598</v>
      </c>
      <c r="L30" s="241">
        <f>370824072.7367/1000</f>
        <v>370824.07273670001</v>
      </c>
      <c r="M30" s="241">
        <f>330175348.99/10^3</f>
        <v>330175.34899000003</v>
      </c>
      <c r="N30" s="42">
        <f>291438152/10^3</f>
        <v>291438.152</v>
      </c>
      <c r="O30" s="42"/>
      <c r="P30" s="42"/>
      <c r="R30" s="8">
        <v>257259.041</v>
      </c>
      <c r="S30" s="8">
        <f>225359862/1000</f>
        <v>225359.86199999999</v>
      </c>
      <c r="T30" s="8">
        <f>195705939.26/10^3</f>
        <v>195705.93925999998</v>
      </c>
      <c r="U30" s="8">
        <v>170114.554</v>
      </c>
      <c r="V30" s="8">
        <v>146787.16133</v>
      </c>
      <c r="W30" s="8">
        <v>125847.478</v>
      </c>
      <c r="X30" s="8">
        <v>106575.36199999999</v>
      </c>
    </row>
    <row r="31" spans="1:24">
      <c r="A31" s="234" t="s">
        <v>287</v>
      </c>
      <c r="B31" s="373" t="s">
        <v>387</v>
      </c>
      <c r="C31" s="235">
        <v>969</v>
      </c>
      <c r="D31" s="235">
        <v>904</v>
      </c>
      <c r="E31" s="235">
        <v>851</v>
      </c>
      <c r="F31" s="235">
        <v>801</v>
      </c>
      <c r="G31" s="235">
        <f>(729683968/10^6)+(15996489.39/10^6)</f>
        <v>745.68045739000002</v>
      </c>
      <c r="H31" s="235">
        <f>(661228443.71/10^6)+(32600370.23/10^6)</f>
        <v>693.82881394000003</v>
      </c>
      <c r="I31" s="235">
        <f t="shared" ref="I31:N31" si="15">I29+I30</f>
        <v>648948.05934239982</v>
      </c>
      <c r="J31" s="235">
        <f t="shared" si="15"/>
        <v>608460.36363789882</v>
      </c>
      <c r="K31" s="235">
        <f t="shared" si="15"/>
        <v>574220.5156747998</v>
      </c>
      <c r="L31" s="235">
        <f t="shared" si="15"/>
        <v>543065.70711869991</v>
      </c>
      <c r="M31" s="235">
        <f t="shared" si="15"/>
        <v>515801.80445000005</v>
      </c>
      <c r="N31" s="235">
        <f t="shared" si="15"/>
        <v>494258.24258999998</v>
      </c>
      <c r="O31" s="26"/>
      <c r="P31" s="26"/>
      <c r="R31" s="235">
        <f>R29+R30</f>
        <v>465774.87780999998</v>
      </c>
      <c r="S31" s="235">
        <f>S29+S30</f>
        <v>441566.40240000002</v>
      </c>
      <c r="T31" s="235">
        <f>T29+T30</f>
        <v>433831.31799999997</v>
      </c>
      <c r="U31" s="235">
        <v>421292.36972000002</v>
      </c>
      <c r="V31" s="235">
        <v>415377.72010000004</v>
      </c>
      <c r="W31" s="235">
        <v>410677.52899999998</v>
      </c>
      <c r="X31" s="235">
        <v>403870.73</v>
      </c>
    </row>
    <row r="32" spans="1:24" ht="28.5">
      <c r="A32" s="236" t="s">
        <v>72</v>
      </c>
      <c r="B32" s="372" t="s">
        <v>388</v>
      </c>
      <c r="C32" s="240">
        <f>C27/C31</f>
        <v>8.8751289989680085E-2</v>
      </c>
      <c r="D32" s="240">
        <f>D27/D31</f>
        <v>9.8451327433628319E-2</v>
      </c>
      <c r="E32" s="240">
        <f>E27/E31</f>
        <v>0.11045828437132785</v>
      </c>
      <c r="F32" s="240">
        <f>F27/F31</f>
        <v>0.12234706616729088</v>
      </c>
      <c r="G32" s="240">
        <f t="shared" ref="G32:T32" si="16">G29/G31</f>
        <v>0.14396003318329634</v>
      </c>
      <c r="H32" s="240">
        <f t="shared" si="16"/>
        <v>0.16608501054550484</v>
      </c>
      <c r="I32" s="240">
        <f t="shared" si="16"/>
        <v>0.19963574708780282</v>
      </c>
      <c r="J32" s="240">
        <f t="shared" si="16"/>
        <v>0.23782492767452723</v>
      </c>
      <c r="K32" s="240">
        <f t="shared" si="16"/>
        <v>0.27722873908105827</v>
      </c>
      <c r="L32" s="240">
        <f t="shared" si="16"/>
        <v>0.31716536714470245</v>
      </c>
      <c r="M32" s="240">
        <f t="shared" si="16"/>
        <v>0.35987942240321097</v>
      </c>
      <c r="N32" s="240">
        <f t="shared" si="16"/>
        <v>0.41035246984893381</v>
      </c>
      <c r="O32" s="240" t="e">
        <f t="shared" si="16"/>
        <v>#DIV/0!</v>
      </c>
      <c r="P32" s="240" t="e">
        <f t="shared" si="16"/>
        <v>#DIV/0!</v>
      </c>
      <c r="R32" s="240">
        <f t="shared" si="16"/>
        <v>0.44767514682287846</v>
      </c>
      <c r="S32" s="240">
        <f t="shared" si="16"/>
        <v>0.48963539622778146</v>
      </c>
      <c r="T32" s="240">
        <f t="shared" si="16"/>
        <v>0.54888932370714649</v>
      </c>
      <c r="U32" s="240">
        <v>0.59620784465414889</v>
      </c>
      <c r="V32" s="240">
        <v>0.64661763443965703</v>
      </c>
      <c r="W32" s="240">
        <v>0.69356132460804787</v>
      </c>
      <c r="X32" s="240">
        <v>0.73611516239366992</v>
      </c>
    </row>
    <row r="33" spans="1:24">
      <c r="A33" s="236"/>
      <c r="B33" s="372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11"/>
      <c r="N33" s="11"/>
      <c r="O33" s="11"/>
      <c r="P33" s="11"/>
      <c r="R33" s="26"/>
      <c r="S33" s="26"/>
      <c r="T33" s="26"/>
      <c r="U33" s="26"/>
      <c r="V33" s="26"/>
      <c r="W33" s="26"/>
      <c r="X33" s="26"/>
    </row>
    <row r="34" spans="1:24" ht="30">
      <c r="A34" s="242" t="s">
        <v>307</v>
      </c>
      <c r="B34" s="371" t="s">
        <v>389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11"/>
      <c r="N34" s="11"/>
      <c r="O34" s="11"/>
      <c r="P34" s="11"/>
      <c r="R34" s="26"/>
      <c r="S34" s="26"/>
      <c r="T34" s="26"/>
      <c r="U34" s="26"/>
      <c r="V34" s="26"/>
      <c r="W34" s="26"/>
      <c r="X34" s="26"/>
    </row>
    <row r="35" spans="1:24" ht="27" customHeight="1">
      <c r="A35" s="236" t="s">
        <v>288</v>
      </c>
      <c r="B35" s="372" t="s">
        <v>390</v>
      </c>
      <c r="C35" s="241">
        <v>6830</v>
      </c>
      <c r="D35" s="241">
        <v>6996</v>
      </c>
      <c r="E35" s="241">
        <v>7290</v>
      </c>
      <c r="F35" s="241">
        <v>7534</v>
      </c>
      <c r="G35" s="241">
        <f>7219</f>
        <v>7219</v>
      </c>
      <c r="H35" s="241">
        <v>6813</v>
      </c>
      <c r="I35" s="241">
        <v>6380</v>
      </c>
      <c r="J35" s="241">
        <f>6086</f>
        <v>6086</v>
      </c>
      <c r="K35" s="241">
        <f>5394+294</f>
        <v>5688</v>
      </c>
      <c r="L35" s="241">
        <f>Movement!R8</f>
        <v>4803</v>
      </c>
      <c r="M35" s="10">
        <f>4285+514</f>
        <v>4799</v>
      </c>
      <c r="N35" s="10">
        <f>3708+722</f>
        <v>4430</v>
      </c>
      <c r="O35" s="11"/>
      <c r="P35" s="11"/>
      <c r="R35" s="8">
        <f>3241+783</f>
        <v>4024</v>
      </c>
      <c r="S35" s="8">
        <f>2819+907</f>
        <v>3726</v>
      </c>
      <c r="T35" s="8">
        <f>2314+1034</f>
        <v>3348</v>
      </c>
      <c r="U35" s="8">
        <v>3039</v>
      </c>
      <c r="V35" s="8">
        <v>2988</v>
      </c>
      <c r="W35" s="8">
        <v>3017</v>
      </c>
      <c r="X35" s="8">
        <v>2959</v>
      </c>
    </row>
    <row r="36" spans="1:24" ht="35.25" customHeight="1">
      <c r="A36" s="236" t="s">
        <v>201</v>
      </c>
      <c r="B36" s="372" t="s">
        <v>391</v>
      </c>
      <c r="C36" s="241"/>
      <c r="D36" s="241"/>
      <c r="E36" s="241"/>
      <c r="F36" s="241"/>
      <c r="G36" s="241">
        <v>793</v>
      </c>
      <c r="H36" s="241">
        <v>1641</v>
      </c>
      <c r="I36" s="241">
        <v>2694</v>
      </c>
      <c r="J36" s="241">
        <v>3794</v>
      </c>
      <c r="K36" s="241">
        <v>4922</v>
      </c>
      <c r="L36" s="241">
        <f>Movement!R46</f>
        <v>6061</v>
      </c>
      <c r="M36" s="8">
        <v>7189</v>
      </c>
      <c r="N36" s="8">
        <v>8401</v>
      </c>
      <c r="O36" s="26"/>
      <c r="P36" s="26"/>
      <c r="R36" s="8">
        <v>9256</v>
      </c>
      <c r="S36" s="8">
        <v>10252</v>
      </c>
      <c r="T36" s="8">
        <f>11553+32</f>
        <v>11585</v>
      </c>
      <c r="U36" s="8">
        <v>12611</v>
      </c>
      <c r="V36" s="8">
        <v>13591</v>
      </c>
      <c r="W36" s="8">
        <v>14349</v>
      </c>
      <c r="X36" s="8">
        <v>15066</v>
      </c>
    </row>
    <row r="37" spans="1:24" ht="21.75" customHeight="1">
      <c r="A37" s="234" t="s">
        <v>324</v>
      </c>
      <c r="B37" s="373" t="s">
        <v>392</v>
      </c>
      <c r="C37" s="235">
        <f t="shared" ref="C37:T37" si="17">C35+C36</f>
        <v>6830</v>
      </c>
      <c r="D37" s="235">
        <f t="shared" si="17"/>
        <v>6996</v>
      </c>
      <c r="E37" s="235">
        <f t="shared" si="17"/>
        <v>7290</v>
      </c>
      <c r="F37" s="235">
        <f t="shared" si="17"/>
        <v>7534</v>
      </c>
      <c r="G37" s="235">
        <f t="shared" si="17"/>
        <v>8012</v>
      </c>
      <c r="H37" s="235">
        <f t="shared" si="17"/>
        <v>8454</v>
      </c>
      <c r="I37" s="235">
        <f t="shared" si="17"/>
        <v>9074</v>
      </c>
      <c r="J37" s="235">
        <f t="shared" si="17"/>
        <v>9880</v>
      </c>
      <c r="K37" s="235">
        <f>K35+K36</f>
        <v>10610</v>
      </c>
      <c r="L37" s="235">
        <f t="shared" si="17"/>
        <v>10864</v>
      </c>
      <c r="M37" s="235">
        <f t="shared" si="17"/>
        <v>11988</v>
      </c>
      <c r="N37" s="235">
        <f t="shared" si="17"/>
        <v>12831</v>
      </c>
      <c r="O37" s="235">
        <f t="shared" si="17"/>
        <v>0</v>
      </c>
      <c r="P37" s="235">
        <f t="shared" si="17"/>
        <v>0</v>
      </c>
      <c r="R37" s="235">
        <f t="shared" si="17"/>
        <v>13280</v>
      </c>
      <c r="S37" s="235">
        <f t="shared" si="17"/>
        <v>13978</v>
      </c>
      <c r="T37" s="235">
        <f t="shared" si="17"/>
        <v>14933</v>
      </c>
      <c r="U37" s="235">
        <v>15650</v>
      </c>
      <c r="V37" s="235">
        <v>16579</v>
      </c>
      <c r="W37" s="235">
        <v>17366</v>
      </c>
      <c r="X37" s="235">
        <v>18025</v>
      </c>
    </row>
    <row r="38" spans="1:24">
      <c r="A38" s="236" t="s">
        <v>56</v>
      </c>
      <c r="B38" s="372" t="s">
        <v>393</v>
      </c>
      <c r="C38" s="241">
        <v>36708</v>
      </c>
      <c r="D38" s="241">
        <v>35501</v>
      </c>
      <c r="E38" s="241">
        <v>34569</v>
      </c>
      <c r="F38" s="241">
        <v>33676</v>
      </c>
      <c r="G38" s="241">
        <f>31887+G36</f>
        <v>32680</v>
      </c>
      <c r="H38" s="241">
        <f>29993+H36</f>
        <v>31634</v>
      </c>
      <c r="I38" s="241">
        <f>28070+I36</f>
        <v>30764</v>
      </c>
      <c r="J38" s="241">
        <f>26126+J36</f>
        <v>29920</v>
      </c>
      <c r="K38" s="241">
        <f>24303+K36</f>
        <v>29225</v>
      </c>
      <c r="L38" s="241">
        <f>22615+L36</f>
        <v>28676</v>
      </c>
      <c r="M38" s="8">
        <f>20993+M36</f>
        <v>28182</v>
      </c>
      <c r="N38" s="8">
        <f>19311+N36</f>
        <v>27712</v>
      </c>
      <c r="O38" s="26"/>
      <c r="P38" s="26"/>
      <c r="R38" s="8">
        <f>17734+R36</f>
        <v>26990</v>
      </c>
      <c r="S38" s="8">
        <f>16145+S36</f>
        <v>26397</v>
      </c>
      <c r="T38" s="8">
        <f>14580+T36</f>
        <v>26165</v>
      </c>
      <c r="U38" s="8">
        <v>22809</v>
      </c>
      <c r="V38" s="8">
        <v>25720</v>
      </c>
      <c r="W38" s="8">
        <v>25468</v>
      </c>
      <c r="X38" s="8">
        <v>25233</v>
      </c>
    </row>
    <row r="39" spans="1:24" ht="28.5">
      <c r="A39" s="236" t="s">
        <v>71</v>
      </c>
      <c r="B39" s="372" t="s">
        <v>394</v>
      </c>
      <c r="C39" s="240">
        <f>C35/C38</f>
        <v>0.18606298354582107</v>
      </c>
      <c r="D39" s="240">
        <f>D35/D38</f>
        <v>0.19706487141207291</v>
      </c>
      <c r="E39" s="240">
        <f>E35/E38</f>
        <v>0.21088258266076543</v>
      </c>
      <c r="F39" s="240">
        <f>F35/F38</f>
        <v>0.22372015678821713</v>
      </c>
      <c r="G39" s="240">
        <f t="shared" ref="G39:T39" si="18">G37/G38</f>
        <v>0.24516523867809056</v>
      </c>
      <c r="H39" s="240">
        <f t="shared" si="18"/>
        <v>0.26724410444458496</v>
      </c>
      <c r="I39" s="240">
        <f t="shared" si="18"/>
        <v>0.29495514237420362</v>
      </c>
      <c r="J39" s="240">
        <f t="shared" si="18"/>
        <v>0.3302139037433155</v>
      </c>
      <c r="K39" s="240">
        <f t="shared" si="18"/>
        <v>0.36304533789563731</v>
      </c>
      <c r="L39" s="240">
        <f t="shared" si="18"/>
        <v>0.3788533965685591</v>
      </c>
      <c r="M39" s="240">
        <f t="shared" si="18"/>
        <v>0.42537790078773685</v>
      </c>
      <c r="N39" s="240">
        <f t="shared" si="18"/>
        <v>0.46301241339491916</v>
      </c>
      <c r="O39" s="240" t="e">
        <f t="shared" si="18"/>
        <v>#DIV/0!</v>
      </c>
      <c r="P39" s="240" t="e">
        <f t="shared" si="18"/>
        <v>#DIV/0!</v>
      </c>
      <c r="R39" s="240">
        <f t="shared" si="18"/>
        <v>0.49203408669877735</v>
      </c>
      <c r="S39" s="240">
        <f t="shared" si="18"/>
        <v>0.52952987081865366</v>
      </c>
      <c r="T39" s="240">
        <f t="shared" si="18"/>
        <v>0.57072424995222626</v>
      </c>
      <c r="U39" s="240">
        <v>0.68613266692972075</v>
      </c>
      <c r="V39" s="240">
        <v>0.64459564541213066</v>
      </c>
      <c r="W39" s="240">
        <v>0.68187529448719963</v>
      </c>
      <c r="X39" s="240">
        <v>0.71434232948916099</v>
      </c>
    </row>
    <row r="40" spans="1:24" ht="18">
      <c r="A40" s="218"/>
      <c r="B40" s="374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1"/>
      <c r="P40" s="1"/>
      <c r="R40" s="27"/>
      <c r="S40" s="27"/>
      <c r="T40" s="27"/>
      <c r="U40" s="27"/>
      <c r="V40" s="27"/>
      <c r="W40" s="27"/>
      <c r="X40" s="27"/>
    </row>
    <row r="41" spans="1:24">
      <c r="A41" s="236" t="s">
        <v>70</v>
      </c>
      <c r="B41" s="372" t="s">
        <v>395</v>
      </c>
      <c r="C41" s="241">
        <v>1870904.12</v>
      </c>
      <c r="D41" s="241">
        <v>1412821.92</v>
      </c>
      <c r="E41" s="241">
        <v>1302068.5</v>
      </c>
      <c r="F41" s="241">
        <v>1024507</v>
      </c>
      <c r="G41" s="241">
        <v>832082</v>
      </c>
      <c r="H41" s="241">
        <v>603342.47</v>
      </c>
      <c r="I41" s="241">
        <v>451452.05000000075</v>
      </c>
      <c r="J41" s="241">
        <v>304534.25</v>
      </c>
      <c r="K41" s="241">
        <v>142698.63</v>
      </c>
      <c r="L41" s="241">
        <v>12205.479999999516</v>
      </c>
      <c r="M41" s="10">
        <v>0</v>
      </c>
      <c r="N41" s="10">
        <v>0</v>
      </c>
      <c r="O41" s="11"/>
      <c r="P41" s="11"/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21479</v>
      </c>
      <c r="X41" s="8">
        <v>397447.54</v>
      </c>
    </row>
    <row r="42" spans="1:24" ht="18">
      <c r="A42" s="218"/>
      <c r="B42" s="374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1"/>
      <c r="P42" s="1"/>
      <c r="R42" s="27"/>
      <c r="S42" s="27"/>
      <c r="T42" s="27"/>
      <c r="U42" s="27"/>
      <c r="V42" s="27"/>
      <c r="W42" s="27"/>
      <c r="X42" s="27"/>
    </row>
    <row r="43" spans="1:24" ht="28.5">
      <c r="A43" s="236" t="s">
        <v>73</v>
      </c>
      <c r="B43" s="372" t="s">
        <v>396</v>
      </c>
      <c r="C43" s="241">
        <f>(C3*1000)/C35</f>
        <v>373.79209370424599</v>
      </c>
      <c r="D43" s="241">
        <f>(D3*1000)/D35</f>
        <v>352.48713550600343</v>
      </c>
      <c r="E43" s="241">
        <f>(E3*1000)/E35</f>
        <v>399.1769547325103</v>
      </c>
      <c r="F43" s="241">
        <f>(F3*1000)/F35</f>
        <v>385.18715157950624</v>
      </c>
      <c r="G43" s="241">
        <f t="shared" ref="G43:P43" si="19">(G3+G4)*1000/G37</f>
        <v>413.62922241637563</v>
      </c>
      <c r="H43" s="241">
        <f t="shared" si="19"/>
        <v>421.50640170333531</v>
      </c>
      <c r="I43" s="241">
        <f t="shared" si="19"/>
        <v>474.0866167070763</v>
      </c>
      <c r="J43" s="241">
        <f t="shared" si="19"/>
        <v>509.77313532388303</v>
      </c>
      <c r="K43" s="241">
        <f t="shared" si="19"/>
        <v>523.97708294062568</v>
      </c>
      <c r="L43" s="241">
        <f t="shared" si="19"/>
        <v>608.04134545287184</v>
      </c>
      <c r="M43" s="8">
        <f t="shared" si="19"/>
        <v>562.13288246579782</v>
      </c>
      <c r="N43" s="8">
        <f t="shared" si="19"/>
        <v>625.8630800405266</v>
      </c>
      <c r="O43" s="8" t="e">
        <f t="shared" si="19"/>
        <v>#DIV/0!</v>
      </c>
      <c r="P43" s="8" t="e">
        <f t="shared" si="19"/>
        <v>#DIV/0!</v>
      </c>
      <c r="R43" s="8">
        <f>(R3+R4)*1000/R37</f>
        <v>627.80992243975913</v>
      </c>
      <c r="S43" s="8">
        <f>(S3+S4)*1000/S37</f>
        <v>596.89243167835173</v>
      </c>
      <c r="T43" s="8">
        <f>(T3+T4)*1000/T37</f>
        <v>641.74173642268795</v>
      </c>
      <c r="U43" s="8">
        <v>630.31765367412129</v>
      </c>
      <c r="V43" s="8">
        <v>663.71086675915308</v>
      </c>
      <c r="W43" s="8">
        <v>652.24758493608203</v>
      </c>
      <c r="X43" s="8">
        <v>675.28521497919553</v>
      </c>
    </row>
    <row r="44" spans="1:24" ht="18">
      <c r="A44" s="218"/>
      <c r="B44" s="21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4"/>
      <c r="N44" s="4"/>
    </row>
    <row r="45" spans="1:24" ht="18">
      <c r="A45" s="218"/>
      <c r="B45" s="21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4"/>
      <c r="N45" s="4"/>
    </row>
    <row r="46" spans="1:24" ht="18">
      <c r="A46" s="218"/>
      <c r="B46" s="21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4"/>
      <c r="N46" s="4"/>
    </row>
    <row r="47" spans="1:24" ht="18">
      <c r="A47" s="218"/>
      <c r="B47" s="21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4"/>
      <c r="N47" s="4"/>
    </row>
    <row r="48" spans="1:24" ht="18">
      <c r="A48" s="218"/>
      <c r="B48" s="21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4"/>
      <c r="N48" s="4"/>
    </row>
    <row r="49" spans="1:26" ht="18">
      <c r="A49" s="218"/>
      <c r="B49" s="21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4"/>
      <c r="N49" s="4"/>
    </row>
    <row r="50" spans="1:26" ht="18">
      <c r="A50" s="218"/>
      <c r="B50" s="21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4"/>
      <c r="N50" s="4"/>
    </row>
    <row r="51" spans="1:26" s="3" customFormat="1" ht="18">
      <c r="A51" s="218"/>
      <c r="B51" s="21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4"/>
      <c r="N51" s="4"/>
      <c r="P5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8">
      <c r="A52" s="218"/>
      <c r="B52" s="21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4"/>
      <c r="N52" s="4"/>
      <c r="P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8">
      <c r="A53" s="218"/>
      <c r="B53" s="21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4"/>
      <c r="N53" s="4"/>
      <c r="P5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8">
      <c r="A54" s="218"/>
      <c r="B54" s="21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4"/>
      <c r="N54" s="4"/>
      <c r="P5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8">
      <c r="A55" s="218"/>
      <c r="B55" s="21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4"/>
      <c r="N55" s="4"/>
      <c r="P55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8">
      <c r="A56" s="218"/>
      <c r="B56" s="21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4"/>
      <c r="N56" s="4"/>
      <c r="P56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8">
      <c r="A57" s="218"/>
      <c r="B57" s="21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4"/>
      <c r="N57" s="4"/>
      <c r="P5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8">
      <c r="A58" s="218"/>
      <c r="B58" s="21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4"/>
      <c r="N58" s="4"/>
      <c r="P58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8">
      <c r="A59" s="218"/>
      <c r="B59" s="21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4"/>
      <c r="N59" s="4"/>
      <c r="P59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8">
      <c r="A60" s="218"/>
      <c r="B60" s="218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4"/>
      <c r="N60" s="4"/>
      <c r="P60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8">
      <c r="A61" s="218"/>
      <c r="B61" s="21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4"/>
      <c r="N61" s="4"/>
      <c r="P6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3" customFormat="1" ht="18">
      <c r="A62" s="218"/>
      <c r="B62" s="21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4"/>
      <c r="N62" s="4"/>
      <c r="P6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3" customFormat="1" ht="18">
      <c r="A63" s="218"/>
      <c r="B63" s="21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4"/>
      <c r="N63" s="4"/>
      <c r="P6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3" customFormat="1" ht="18">
      <c r="A64" s="218"/>
      <c r="B64" s="21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4"/>
      <c r="N64" s="4"/>
      <c r="P6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s="3" customFormat="1" ht="18">
      <c r="A65" s="218"/>
      <c r="B65" s="21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4"/>
      <c r="N65" s="4"/>
      <c r="P65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3" customFormat="1" ht="18">
      <c r="A66" s="218"/>
      <c r="B66" s="218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4"/>
      <c r="N66" s="4"/>
      <c r="P66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3" customFormat="1" ht="18">
      <c r="A67" s="218"/>
      <c r="B67" s="21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4"/>
      <c r="N67" s="4"/>
      <c r="P6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s="3" customFormat="1" ht="18">
      <c r="A68" s="218"/>
      <c r="B68" s="21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4"/>
      <c r="N68" s="4"/>
      <c r="P68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s="3" customFormat="1" ht="18">
      <c r="A69" s="218"/>
      <c r="B69" s="21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4"/>
      <c r="N69" s="4"/>
      <c r="P69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s="3" customFormat="1" ht="18">
      <c r="A70" s="218"/>
      <c r="B70" s="21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4"/>
      <c r="N70" s="4"/>
      <c r="P70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s="3" customFormat="1" ht="18">
      <c r="A71" s="218"/>
      <c r="B71" s="218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4"/>
      <c r="N71" s="4"/>
      <c r="P7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3" customFormat="1" ht="18">
      <c r="A72" s="218"/>
      <c r="B72" s="218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4"/>
      <c r="N72" s="4"/>
      <c r="P7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s="3" customFormat="1" ht="18">
      <c r="A73" s="218"/>
      <c r="B73" s="21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4"/>
      <c r="N73" s="4"/>
      <c r="P7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s="3" customFormat="1" ht="18">
      <c r="A74" s="218"/>
      <c r="B74" s="218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4"/>
      <c r="N74" s="4"/>
      <c r="P7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3" customFormat="1" ht="18">
      <c r="A75" s="218"/>
      <c r="B75" s="218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4"/>
      <c r="N75" s="4"/>
      <c r="P75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3" customFormat="1" ht="18">
      <c r="A76" s="218"/>
      <c r="B76" s="218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4"/>
      <c r="N76" s="4"/>
      <c r="P76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3" customFormat="1" ht="18">
      <c r="A77" s="218"/>
      <c r="B77" s="21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4"/>
      <c r="N77" s="4"/>
      <c r="P77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3" customFormat="1" ht="18">
      <c r="A78" s="218"/>
      <c r="B78" s="21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4"/>
      <c r="N78" s="4"/>
      <c r="P78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3" customFormat="1" ht="18">
      <c r="A79" s="218"/>
      <c r="B79" s="21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4"/>
      <c r="N79" s="4"/>
      <c r="P79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3" customFormat="1" ht="18">
      <c r="A80" s="218"/>
      <c r="B80" s="21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4"/>
      <c r="N80" s="4"/>
      <c r="P80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s="3" customFormat="1" ht="18">
      <c r="A81" s="218"/>
      <c r="B81" s="21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4"/>
      <c r="N81" s="4"/>
      <c r="P8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s="3" customFormat="1" ht="18">
      <c r="A82" s="218"/>
      <c r="B82" s="21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4"/>
      <c r="N82" s="4"/>
      <c r="P82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s="3" customFormat="1" ht="18">
      <c r="A83" s="218"/>
      <c r="B83" s="21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4"/>
      <c r="N83" s="4"/>
      <c r="P83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s="3" customFormat="1" ht="18">
      <c r="A84" s="218"/>
      <c r="B84" s="218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4"/>
      <c r="N84" s="4"/>
      <c r="P8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s="3" customFormat="1" ht="18">
      <c r="A85" s="218"/>
      <c r="B85" s="21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4"/>
      <c r="N85" s="4"/>
      <c r="P85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s="3" customFormat="1" ht="18">
      <c r="A86" s="218"/>
      <c r="B86" s="21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4"/>
      <c r="N86" s="4"/>
      <c r="P86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s="3" customFormat="1" ht="18">
      <c r="A87" s="218"/>
      <c r="B87" s="21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4"/>
      <c r="N87" s="4"/>
      <c r="P87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s="3" customFormat="1" ht="18">
      <c r="A88" s="218"/>
      <c r="B88" s="218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4"/>
      <c r="N88" s="4"/>
      <c r="P88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s="3" customFormat="1" ht="18">
      <c r="A89" s="218"/>
      <c r="B89" s="21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4"/>
      <c r="N89" s="4"/>
      <c r="P89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s="3" customFormat="1" ht="18">
      <c r="A90" s="218"/>
      <c r="B90" s="218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4"/>
      <c r="N90" s="4"/>
      <c r="P90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s="3" customFormat="1" ht="18">
      <c r="A91" s="218"/>
      <c r="B91" s="21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4"/>
      <c r="N91" s="4"/>
      <c r="P9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s="3" customFormat="1" ht="18">
      <c r="A92" s="218"/>
      <c r="B92" s="218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4"/>
      <c r="N92" s="4"/>
      <c r="P92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s="3" customFormat="1" ht="18">
      <c r="A93" s="218"/>
      <c r="B93" s="21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4"/>
      <c r="N93" s="4"/>
      <c r="P93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s="3" customFormat="1" ht="18">
      <c r="A94" s="218"/>
      <c r="B94" s="218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4"/>
      <c r="N94" s="4"/>
      <c r="P9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s="3" customFormat="1" ht="18">
      <c r="A95" s="218"/>
      <c r="B95" s="21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4"/>
      <c r="N95" s="4"/>
      <c r="P95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s="3" customFormat="1" ht="18">
      <c r="A96" s="218"/>
      <c r="B96" s="218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4"/>
      <c r="N96" s="4"/>
      <c r="P96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s="3" customFormat="1" ht="18">
      <c r="A97" s="218"/>
      <c r="B97" s="21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4"/>
      <c r="N97" s="4"/>
      <c r="P97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s="3" customFormat="1" ht="18">
      <c r="A98" s="218"/>
      <c r="B98" s="218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4"/>
      <c r="N98" s="4"/>
      <c r="P9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s="3" customFormat="1" ht="18">
      <c r="A99" s="218"/>
      <c r="B99" s="21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4"/>
      <c r="N99" s="4"/>
      <c r="P99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s="3" customFormat="1" ht="18">
      <c r="A100" s="218"/>
      <c r="B100" s="218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4"/>
      <c r="N100" s="4"/>
      <c r="P100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s="3" customFormat="1" ht="18">
      <c r="A101" s="218"/>
      <c r="B101" s="218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4"/>
      <c r="N101" s="4"/>
      <c r="P10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s="3" customFormat="1" ht="18">
      <c r="A102" s="218"/>
      <c r="B102" s="218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4"/>
      <c r="N102" s="4"/>
      <c r="P102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s="3" customFormat="1" ht="18">
      <c r="A103" s="218"/>
      <c r="B103" s="21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4"/>
      <c r="N103" s="4"/>
      <c r="P103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s="3" customFormat="1" ht="18">
      <c r="A104" s="218"/>
      <c r="B104" s="218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4"/>
      <c r="N104" s="4"/>
      <c r="P10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s="3" customFormat="1" ht="18">
      <c r="A105" s="218"/>
      <c r="B105" s="218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4"/>
      <c r="N105" s="4"/>
      <c r="P105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s="3" customFormat="1" ht="18">
      <c r="A106" s="218"/>
      <c r="B106" s="218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4"/>
      <c r="N106" s="4"/>
      <c r="P106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s="3" customFormat="1" ht="18">
      <c r="A107" s="218"/>
      <c r="B107" s="218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4"/>
      <c r="N107" s="4"/>
      <c r="P107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s="3" customFormat="1" ht="18">
      <c r="A108" s="218"/>
      <c r="B108" s="218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4"/>
      <c r="N108" s="4"/>
      <c r="P108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s="3" customFormat="1" ht="18">
      <c r="A109" s="218"/>
      <c r="B109" s="218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4"/>
      <c r="N109" s="4"/>
      <c r="P10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s="3" customFormat="1" ht="18">
      <c r="A110" s="218"/>
      <c r="B110" s="218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4"/>
      <c r="N110" s="4"/>
      <c r="P110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s="3" customFormat="1" ht="18">
      <c r="A111" s="218"/>
      <c r="B111" s="218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4"/>
      <c r="N111" s="4"/>
      <c r="P11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s="3" customFormat="1" ht="18">
      <c r="A112" s="218"/>
      <c r="B112" s="218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4"/>
      <c r="N112" s="4"/>
      <c r="P112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s="3" customFormat="1" ht="18">
      <c r="A113" s="218"/>
      <c r="B113" s="218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4"/>
      <c r="N113" s="4"/>
      <c r="P113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s="3" customFormat="1" ht="18">
      <c r="A114" s="218"/>
      <c r="B114" s="218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4"/>
      <c r="N114" s="4"/>
      <c r="P11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s="3" customFormat="1" ht="18">
      <c r="A115" s="218"/>
      <c r="B115" s="218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4"/>
      <c r="N115" s="4"/>
      <c r="P115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s="3" customFormat="1" ht="18">
      <c r="A116" s="218"/>
      <c r="B116" s="218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4"/>
      <c r="N116" s="4"/>
      <c r="P116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s="3" customFormat="1" ht="18">
      <c r="A117" s="218"/>
      <c r="B117" s="21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4"/>
      <c r="N117" s="4"/>
      <c r="P117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s="3" customFormat="1" ht="18">
      <c r="A118" s="218"/>
      <c r="B118" s="218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4"/>
      <c r="N118" s="4"/>
      <c r="P118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s="3" customFormat="1" ht="18">
      <c r="A119" s="218"/>
      <c r="B119" s="218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4"/>
      <c r="N119" s="4"/>
      <c r="P11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s="3" customFormat="1" ht="18">
      <c r="A120" s="218"/>
      <c r="B120" s="21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4"/>
      <c r="N120" s="4"/>
      <c r="P120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s="3" customFormat="1" ht="18">
      <c r="A121" s="218"/>
      <c r="B121" s="218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4"/>
      <c r="N121" s="4"/>
      <c r="P12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s="3" customFormat="1" ht="18">
      <c r="A122" s="218"/>
      <c r="B122" s="21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4"/>
      <c r="N122" s="4"/>
      <c r="P122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s="3" customFormat="1" ht="18">
      <c r="A123" s="218"/>
      <c r="B123" s="21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4"/>
      <c r="N123" s="4"/>
      <c r="P123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s="3" customFormat="1" ht="18">
      <c r="A124" s="218"/>
      <c r="B124" s="218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4"/>
      <c r="N124" s="4"/>
      <c r="P12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s="3" customFormat="1" ht="18">
      <c r="A125" s="218"/>
      <c r="B125" s="218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4"/>
      <c r="N125" s="4"/>
      <c r="P125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s="3" customFormat="1" ht="18">
      <c r="A126" s="218"/>
      <c r="B126" s="218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4"/>
      <c r="N126" s="4"/>
      <c r="P126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s="3" customFormat="1" ht="18">
      <c r="A127" s="218"/>
      <c r="B127" s="218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4"/>
      <c r="N127" s="4"/>
      <c r="P127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s="3" customFormat="1" ht="18">
      <c r="A128" s="218"/>
      <c r="B128" s="218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4"/>
      <c r="N128" s="4"/>
      <c r="P128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s="3" customFormat="1" ht="18">
      <c r="A129" s="218"/>
      <c r="B129" s="218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4"/>
      <c r="N129" s="4"/>
      <c r="P12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s="3" customFormat="1" ht="18">
      <c r="A130" s="218"/>
      <c r="B130" s="218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4"/>
      <c r="N130" s="4"/>
      <c r="P130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s="3" customFormat="1" ht="18">
      <c r="A131" s="218"/>
      <c r="B131" s="218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4"/>
      <c r="N131" s="4"/>
      <c r="P13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s="3" customFormat="1" ht="18">
      <c r="A132" s="218"/>
      <c r="B132" s="218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4"/>
      <c r="N132" s="4"/>
      <c r="P132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s="3" customFormat="1" ht="18">
      <c r="A133" s="218"/>
      <c r="B133" s="218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4"/>
      <c r="N133" s="4"/>
      <c r="P133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s="3" customFormat="1" ht="18">
      <c r="A134" s="218"/>
      <c r="B134" s="218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4"/>
      <c r="N134" s="4"/>
      <c r="P13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s="3" customFormat="1" ht="18">
      <c r="A135" s="218"/>
      <c r="B135" s="218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4"/>
      <c r="N135" s="4"/>
      <c r="P135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s="3" customFormat="1" ht="18">
      <c r="A136" s="218"/>
      <c r="B136" s="218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4"/>
      <c r="N136" s="4"/>
      <c r="P136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s="3" customFormat="1" ht="18">
      <c r="A137" s="218"/>
      <c r="B137" s="218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4"/>
      <c r="N137" s="4"/>
      <c r="P137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s="3" customFormat="1" ht="18">
      <c r="A138" s="218"/>
      <c r="B138" s="218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4"/>
      <c r="N138" s="4"/>
      <c r="P138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s="3" customFormat="1" ht="18">
      <c r="A139" s="218"/>
      <c r="B139" s="218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4"/>
      <c r="N139" s="4"/>
      <c r="P13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s="3" customFormat="1" ht="18">
      <c r="A140" s="218"/>
      <c r="B140" s="218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4"/>
      <c r="N140" s="4"/>
      <c r="P140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s="3" customFormat="1" ht="18">
      <c r="A141" s="218"/>
      <c r="B141" s="218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4"/>
      <c r="N141" s="4"/>
      <c r="P14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s="3" customFormat="1" ht="18">
      <c r="A142" s="218"/>
      <c r="B142" s="218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4"/>
      <c r="N142" s="4"/>
      <c r="P142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s="3" customFormat="1" ht="18">
      <c r="A143" s="218"/>
      <c r="B143" s="218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4"/>
      <c r="N143" s="4"/>
      <c r="P143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s="3" customFormat="1" ht="18">
      <c r="A144" s="218"/>
      <c r="B144" s="218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4"/>
      <c r="N144" s="4"/>
      <c r="P14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s="3" customFormat="1" ht="18">
      <c r="A145" s="218"/>
      <c r="B145" s="218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4"/>
      <c r="N145" s="4"/>
      <c r="P145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s="3" customFormat="1" ht="18">
      <c r="A146" s="218"/>
      <c r="B146" s="21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4"/>
      <c r="N146" s="4"/>
      <c r="P146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s="3" customFormat="1" ht="18">
      <c r="A147" s="218"/>
      <c r="B147" s="218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4"/>
      <c r="N147" s="4"/>
      <c r="P147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s="3" customFormat="1" ht="18">
      <c r="A148" s="218"/>
      <c r="B148" s="218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4"/>
      <c r="N148" s="4"/>
      <c r="P148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s="3" customFormat="1" ht="18">
      <c r="A149" s="218"/>
      <c r="B149" s="218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4"/>
      <c r="N149" s="4"/>
      <c r="P14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s="3" customFormat="1" ht="18">
      <c r="A150" s="218"/>
      <c r="B150" s="218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4"/>
      <c r="N150" s="4"/>
      <c r="P150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s="3" customFormat="1" ht="18">
      <c r="A151" s="218"/>
      <c r="B151" s="21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4"/>
      <c r="N151" s="4"/>
      <c r="P15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s="3" customFormat="1" ht="18">
      <c r="A152" s="218"/>
      <c r="B152" s="218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4"/>
      <c r="N152" s="4"/>
      <c r="P152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s="3" customFormat="1" ht="18">
      <c r="A153" s="218"/>
      <c r="B153" s="218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4"/>
      <c r="N153" s="4"/>
      <c r="P153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s="3" customFormat="1" ht="18">
      <c r="A154" s="218"/>
      <c r="B154" s="218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4"/>
      <c r="N154" s="4"/>
      <c r="P15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s="3" customFormat="1" ht="18">
      <c r="A155" s="218"/>
      <c r="B155" s="218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4"/>
      <c r="N155" s="4"/>
      <c r="P155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s="3" customFormat="1" ht="18">
      <c r="A156" s="218"/>
      <c r="B156" s="218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4"/>
      <c r="N156" s="4"/>
      <c r="P156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s="3" customFormat="1" ht="18">
      <c r="A157" s="218"/>
      <c r="B157" s="21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4"/>
      <c r="N157" s="4"/>
      <c r="P157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s="3" customFormat="1" ht="18">
      <c r="A158" s="218"/>
      <c r="B158" s="218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4"/>
      <c r="N158" s="4"/>
      <c r="P158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s="3" customFormat="1" ht="18">
      <c r="A159" s="218"/>
      <c r="B159" s="218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4"/>
      <c r="N159" s="4"/>
      <c r="P15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s="3" customFormat="1" ht="18">
      <c r="A160" s="218"/>
      <c r="B160" s="218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4"/>
      <c r="N160" s="4"/>
      <c r="P160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s="3" customFormat="1" ht="18">
      <c r="A161" s="218"/>
      <c r="B161" s="218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4"/>
      <c r="N161" s="4"/>
      <c r="P16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s="3" customFormat="1" ht="18">
      <c r="A162" s="218"/>
      <c r="B162" s="218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4"/>
      <c r="N162" s="4"/>
      <c r="P162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s="3" customFormat="1" ht="18">
      <c r="A163" s="218"/>
      <c r="B163" s="218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4"/>
      <c r="N163" s="4"/>
      <c r="P16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s="3" customFormat="1" ht="18">
      <c r="A164" s="218"/>
      <c r="B164" s="218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4"/>
      <c r="N164" s="4"/>
      <c r="P16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s="3" customFormat="1" ht="18">
      <c r="A165" s="218"/>
      <c r="B165" s="218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4"/>
      <c r="N165" s="4"/>
      <c r="P165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s="3" customFormat="1" ht="18">
      <c r="A166" s="218"/>
      <c r="B166" s="218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4"/>
      <c r="N166" s="4"/>
      <c r="P166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s="3" customFormat="1" ht="18">
      <c r="A167" s="218"/>
      <c r="B167" s="218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4"/>
      <c r="N167" s="4"/>
      <c r="P167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s="3" customFormat="1" ht="18">
      <c r="A168" s="218"/>
      <c r="B168" s="218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4"/>
      <c r="N168" s="4"/>
      <c r="P168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s="3" customFormat="1" ht="18">
      <c r="A169" s="218"/>
      <c r="B169" s="218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4"/>
      <c r="N169" s="4"/>
      <c r="P16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s="3" customFormat="1" ht="18">
      <c r="A170" s="218"/>
      <c r="B170" s="218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4"/>
      <c r="N170" s="4"/>
      <c r="P170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s="3" customFormat="1" ht="18">
      <c r="A171" s="218"/>
      <c r="B171" s="218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4"/>
      <c r="N171" s="4"/>
      <c r="P17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s="3" customFormat="1" ht="18">
      <c r="A172" s="218"/>
      <c r="B172" s="218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4"/>
      <c r="N172" s="4"/>
      <c r="P172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s="3" customFormat="1" ht="18">
      <c r="A173" s="218"/>
      <c r="B173" s="218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4"/>
      <c r="N173" s="4"/>
      <c r="P173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s="3" customFormat="1" ht="18">
      <c r="A174" s="218"/>
      <c r="B174" s="218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4"/>
      <c r="N174" s="4"/>
      <c r="P17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s="3" customFormat="1" ht="18">
      <c r="A175" s="218"/>
      <c r="B175" s="218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4"/>
      <c r="N175" s="4"/>
      <c r="P175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s="3" customFormat="1" ht="18">
      <c r="A176" s="218"/>
      <c r="B176" s="218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4"/>
      <c r="N176" s="4"/>
      <c r="P176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s="3" customFormat="1" ht="18">
      <c r="A177" s="218"/>
      <c r="B177" s="218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4"/>
      <c r="N177" s="4"/>
      <c r="P177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s="3" customFormat="1" ht="18">
      <c r="A178" s="218"/>
      <c r="B178" s="218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4"/>
      <c r="N178" s="4"/>
      <c r="P178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s="3" customFormat="1" ht="18">
      <c r="A179" s="218"/>
      <c r="B179" s="21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4"/>
      <c r="N179" s="4"/>
      <c r="P179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s="3" customFormat="1" ht="18">
      <c r="A180" s="218"/>
      <c r="B180" s="218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4"/>
      <c r="N180" s="4"/>
      <c r="P180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s="3" customFormat="1" ht="18">
      <c r="A181" s="218"/>
      <c r="B181" s="218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4"/>
      <c r="N181" s="4"/>
      <c r="P18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s="3" customFormat="1" ht="18">
      <c r="A182" s="218"/>
      <c r="B182" s="218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4"/>
      <c r="N182" s="4"/>
      <c r="P182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s="3" customFormat="1" ht="18">
      <c r="A183" s="218"/>
      <c r="B183" s="218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4"/>
      <c r="N183" s="4"/>
      <c r="P183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s="3" customFormat="1" ht="18">
      <c r="A184" s="218"/>
      <c r="B184" s="218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4"/>
      <c r="N184" s="4"/>
      <c r="P18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s="3" customFormat="1" ht="18">
      <c r="A185" s="218"/>
      <c r="B185" s="21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4"/>
      <c r="N185" s="4"/>
      <c r="P185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s="3" customFormat="1" ht="18">
      <c r="A186" s="218"/>
      <c r="B186" s="21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4"/>
      <c r="N186" s="4"/>
      <c r="P186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s="3" customFormat="1" ht="18">
      <c r="A187" s="218"/>
      <c r="B187" s="218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4"/>
      <c r="N187" s="4"/>
      <c r="P187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s="3" customFormat="1" ht="18">
      <c r="A188" s="218"/>
      <c r="B188" s="218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4"/>
      <c r="N188" s="4"/>
      <c r="P188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s="3" customFormat="1" ht="18">
      <c r="A189" s="218"/>
      <c r="B189" s="218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4"/>
      <c r="N189" s="4"/>
      <c r="P189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s="3" customFormat="1" ht="18">
      <c r="A190" s="218"/>
      <c r="B190" s="218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4"/>
      <c r="N190" s="4"/>
      <c r="P190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s="3" customFormat="1" ht="18">
      <c r="A191" s="218"/>
      <c r="B191" s="218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4"/>
      <c r="N191" s="4"/>
      <c r="P19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s="3" customFormat="1" ht="18">
      <c r="A192" s="218"/>
      <c r="B192" s="218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4"/>
      <c r="N192" s="4"/>
      <c r="P192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s="3" customFormat="1" ht="18">
      <c r="A193" s="218"/>
      <c r="B193" s="218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4"/>
      <c r="N193" s="4"/>
      <c r="P193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s="3" customFormat="1" ht="18">
      <c r="A194" s="218"/>
      <c r="B194" s="218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4"/>
      <c r="N194" s="4"/>
      <c r="P19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s="3" customFormat="1" ht="18">
      <c r="A195" s="218"/>
      <c r="B195" s="218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4"/>
      <c r="N195" s="4"/>
      <c r="P195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s="3" customFormat="1" ht="18">
      <c r="A196" s="218"/>
      <c r="B196" s="21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4"/>
      <c r="N196" s="4"/>
      <c r="P196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s="3" customFormat="1" ht="18">
      <c r="A197" s="218"/>
      <c r="B197" s="218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4"/>
      <c r="N197" s="4"/>
      <c r="P197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s="3" customFormat="1" ht="18">
      <c r="A198" s="218"/>
      <c r="B198" s="218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4"/>
      <c r="N198" s="4"/>
      <c r="P198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s="3" customFormat="1" ht="18">
      <c r="A199" s="218"/>
      <c r="B199" s="218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4"/>
      <c r="N199" s="4"/>
      <c r="P199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s="3" customFormat="1" ht="18">
      <c r="A200" s="218"/>
      <c r="B200" s="218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4"/>
      <c r="N200" s="4"/>
      <c r="P200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s="3" customFormat="1" ht="18">
      <c r="A201" s="218"/>
      <c r="B201" s="218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4"/>
      <c r="N201" s="4"/>
      <c r="P20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s="3" customFormat="1" ht="18">
      <c r="A202" s="218"/>
      <c r="B202" s="218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4"/>
      <c r="N202" s="4"/>
      <c r="P202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s="3" customFormat="1" ht="18">
      <c r="A203" s="218"/>
      <c r="B203" s="218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4"/>
      <c r="N203" s="4"/>
      <c r="P203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s="3" customFormat="1" ht="18">
      <c r="A204" s="218"/>
      <c r="B204" s="218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4"/>
      <c r="N204" s="4"/>
      <c r="P20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s="3" customFormat="1" ht="18">
      <c r="A205" s="218"/>
      <c r="B205" s="218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4"/>
      <c r="N205" s="4"/>
      <c r="P205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s="3" customFormat="1" ht="18">
      <c r="A206" s="218"/>
      <c r="B206" s="218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4"/>
      <c r="N206" s="4"/>
      <c r="P206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s="3" customFormat="1" ht="18">
      <c r="A207" s="218"/>
      <c r="B207" s="218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4"/>
      <c r="N207" s="4"/>
      <c r="P207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s="3" customFormat="1" ht="18">
      <c r="A208" s="218"/>
      <c r="B208" s="218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4"/>
      <c r="N208" s="4"/>
      <c r="P208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s="3" customFormat="1" ht="18">
      <c r="A209" s="218"/>
      <c r="B209" s="218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4"/>
      <c r="N209" s="4"/>
      <c r="P209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s="3" customFormat="1" ht="18">
      <c r="A210" s="218"/>
      <c r="B210" s="218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4"/>
      <c r="N210" s="4"/>
      <c r="P210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s="3" customFormat="1" ht="18">
      <c r="A211" s="218"/>
      <c r="B211" s="218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4"/>
      <c r="N211" s="4"/>
      <c r="P21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s="3" customFormat="1" ht="18">
      <c r="A212" s="218"/>
      <c r="B212" s="218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4"/>
      <c r="N212" s="4"/>
      <c r="P212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s="3" customFormat="1" ht="18">
      <c r="A213" s="218"/>
      <c r="B213" s="218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4"/>
      <c r="N213" s="4"/>
      <c r="P213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s="3" customFormat="1" ht="18">
      <c r="A214" s="218"/>
      <c r="B214" s="218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4"/>
      <c r="N214" s="4"/>
      <c r="P21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s="3" customFormat="1" ht="18">
      <c r="A215" s="218"/>
      <c r="B215" s="218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4"/>
      <c r="N215" s="4"/>
      <c r="P215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s="3" customFormat="1" ht="18">
      <c r="A216" s="218"/>
      <c r="B216" s="218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4"/>
      <c r="N216" s="4"/>
      <c r="P216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s="3" customFormat="1" ht="18">
      <c r="A217" s="218"/>
      <c r="B217" s="218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4"/>
      <c r="N217" s="4"/>
      <c r="P217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s="3" customFormat="1" ht="18">
      <c r="A218" s="218"/>
      <c r="B218" s="218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4"/>
      <c r="N218" s="4"/>
      <c r="P218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s="3" customFormat="1" ht="18">
      <c r="A219" s="218"/>
      <c r="B219" s="218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4"/>
      <c r="N219" s="4"/>
      <c r="P219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s="3" customFormat="1" ht="18">
      <c r="A220" s="218"/>
      <c r="B220" s="218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4"/>
      <c r="N220" s="4"/>
      <c r="P220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s="3" customFormat="1" ht="18">
      <c r="A221" s="218"/>
      <c r="B221" s="218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4"/>
      <c r="N221" s="4"/>
      <c r="P22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s="3" customFormat="1" ht="18">
      <c r="A222" s="218"/>
      <c r="B222" s="218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4"/>
      <c r="N222" s="4"/>
      <c r="P222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s="3" customFormat="1" ht="18">
      <c r="A223" s="218"/>
      <c r="B223" s="218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4"/>
      <c r="N223" s="4"/>
      <c r="P223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s="3" customFormat="1" ht="18">
      <c r="A224" s="218"/>
      <c r="B224" s="218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4"/>
      <c r="N224" s="4"/>
      <c r="P22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s="3" customFormat="1" ht="18">
      <c r="A225" s="218"/>
      <c r="B225" s="218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4"/>
      <c r="N225" s="4"/>
      <c r="P225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s="3" customFormat="1" ht="18">
      <c r="A226" s="218"/>
      <c r="B226" s="218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4"/>
      <c r="N226" s="4"/>
      <c r="P226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s="3" customFormat="1" ht="18">
      <c r="A227" s="218"/>
      <c r="B227" s="218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4"/>
      <c r="N227" s="4"/>
      <c r="P227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s="3" customFormat="1" ht="18">
      <c r="A228" s="218"/>
      <c r="B228" s="218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4"/>
      <c r="N228" s="4"/>
      <c r="P228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s="3" customFormat="1" ht="18">
      <c r="A229" s="218"/>
      <c r="B229" s="218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4"/>
      <c r="N229" s="4"/>
      <c r="P229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s="3" customFormat="1" ht="18">
      <c r="A230" s="218"/>
      <c r="B230" s="218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4"/>
      <c r="N230" s="4"/>
      <c r="P230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s="3" customFormat="1" ht="18">
      <c r="A231" s="218"/>
      <c r="B231" s="218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4"/>
      <c r="N231" s="4"/>
      <c r="P23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s="3" customFormat="1" ht="18">
      <c r="A232" s="218"/>
      <c r="B232" s="218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4"/>
      <c r="N232" s="4"/>
      <c r="P232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s="3" customFormat="1" ht="18">
      <c r="A233" s="218"/>
      <c r="B233" s="218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4"/>
      <c r="N233" s="4"/>
      <c r="P233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s="3" customFormat="1" ht="18">
      <c r="A234" s="218"/>
      <c r="B234" s="218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4"/>
      <c r="N234" s="4"/>
      <c r="P23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s="3" customFormat="1" ht="18">
      <c r="A235" s="218"/>
      <c r="B235" s="218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4"/>
      <c r="N235" s="4"/>
      <c r="P235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s="3" customFormat="1" ht="18">
      <c r="A236" s="218"/>
      <c r="B236" s="218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4"/>
      <c r="N236" s="4"/>
      <c r="P236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s="3" customFormat="1" ht="18">
      <c r="A237" s="218"/>
      <c r="B237" s="218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4"/>
      <c r="N237" s="4"/>
      <c r="P237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s="3" customFormat="1" ht="18">
      <c r="A238" s="218"/>
      <c r="B238" s="218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4"/>
      <c r="N238" s="4"/>
      <c r="P238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s="3" customFormat="1" ht="18">
      <c r="A239" s="218"/>
      <c r="B239" s="218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4"/>
      <c r="N239" s="4"/>
      <c r="P239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s="3" customFormat="1" ht="18">
      <c r="A240" s="218"/>
      <c r="B240" s="218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4"/>
      <c r="N240" s="4"/>
      <c r="P240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s="3" customFormat="1" ht="18">
      <c r="A241" s="218"/>
      <c r="B241" s="218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4"/>
      <c r="N241" s="4"/>
      <c r="P24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s="3" customFormat="1" ht="18">
      <c r="A242" s="218"/>
      <c r="B242" s="218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4"/>
      <c r="N242" s="4"/>
      <c r="P242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s="3" customFormat="1" ht="18">
      <c r="A243" s="218"/>
      <c r="B243" s="218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4"/>
      <c r="N243" s="4"/>
      <c r="P243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s="3" customFormat="1" ht="18">
      <c r="A244" s="218"/>
      <c r="B244" s="218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4"/>
      <c r="N244" s="4"/>
      <c r="P24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s="3" customFormat="1" ht="18">
      <c r="A245" s="218"/>
      <c r="B245" s="218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4"/>
      <c r="N245" s="4"/>
      <c r="P245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s="3" customFormat="1" ht="18">
      <c r="A246" s="218"/>
      <c r="B246" s="218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4"/>
      <c r="N246" s="4"/>
      <c r="P246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s="3" customFormat="1" ht="18">
      <c r="A247" s="218"/>
      <c r="B247" s="218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4"/>
      <c r="N247" s="4"/>
      <c r="P247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s="3" customFormat="1" ht="18">
      <c r="A248" s="218"/>
      <c r="B248" s="218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4"/>
      <c r="N248" s="4"/>
      <c r="P248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s="3" customFormat="1" ht="18">
      <c r="A249" s="218"/>
      <c r="B249" s="218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4"/>
      <c r="N249" s="4"/>
      <c r="P249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s="3" customFormat="1" ht="18">
      <c r="A250" s="218"/>
      <c r="B250" s="218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4"/>
      <c r="N250" s="4"/>
      <c r="P250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s="3" customFormat="1" ht="18">
      <c r="A251" s="218"/>
      <c r="B251" s="218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4"/>
      <c r="N251" s="4"/>
      <c r="P25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s="3" customFormat="1" ht="18">
      <c r="A252" s="218"/>
      <c r="B252" s="218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4"/>
      <c r="N252" s="4"/>
      <c r="P252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s="3" customFormat="1" ht="18">
      <c r="A253" s="218"/>
      <c r="B253" s="218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4"/>
      <c r="N253" s="4"/>
      <c r="P253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s="3" customFormat="1" ht="18">
      <c r="A254" s="218"/>
      <c r="B254" s="218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4"/>
      <c r="N254" s="4"/>
      <c r="P25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s="3" customFormat="1" ht="18">
      <c r="A255" s="218"/>
      <c r="B255" s="218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4"/>
      <c r="N255" s="4"/>
      <c r="P255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s="3" customFormat="1" ht="18">
      <c r="A256" s="218"/>
      <c r="B256" s="218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4"/>
      <c r="N256" s="4"/>
      <c r="P256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s="3" customFormat="1" ht="18">
      <c r="A257" s="218"/>
      <c r="B257" s="218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4"/>
      <c r="N257" s="4"/>
      <c r="P257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s="3" customFormat="1" ht="18">
      <c r="A258" s="218"/>
      <c r="B258" s="218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4"/>
      <c r="N258" s="4"/>
      <c r="P258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s="3" customFormat="1" ht="18">
      <c r="A259" s="218"/>
      <c r="B259" s="218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4"/>
      <c r="N259" s="4"/>
      <c r="P259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s="3" customFormat="1" ht="18">
      <c r="A260" s="218"/>
      <c r="B260" s="218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4"/>
      <c r="N260" s="4"/>
      <c r="P260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s="3" customFormat="1" ht="18">
      <c r="A261" s="218"/>
      <c r="B261" s="218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4"/>
      <c r="N261" s="4"/>
      <c r="P26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s="3" customFormat="1" ht="18">
      <c r="A262" s="218"/>
      <c r="B262" s="218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4"/>
      <c r="N262" s="4"/>
      <c r="P262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s="3" customFormat="1" ht="18">
      <c r="A263" s="218"/>
      <c r="B263" s="218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4"/>
      <c r="N263" s="4"/>
      <c r="P263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s="3" customFormat="1" ht="18">
      <c r="A264" s="218"/>
      <c r="B264" s="218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4"/>
      <c r="N264" s="4"/>
      <c r="P26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s="3" customFormat="1" ht="18">
      <c r="A265" s="218"/>
      <c r="B265" s="218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4"/>
      <c r="N265" s="4"/>
      <c r="P265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s="3" customFormat="1" ht="18">
      <c r="A266" s="218"/>
      <c r="B266" s="218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4"/>
      <c r="N266" s="4"/>
      <c r="P266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s="3" customFormat="1" ht="18">
      <c r="A267" s="218"/>
      <c r="B267" s="218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4"/>
      <c r="N267" s="4"/>
      <c r="P267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s="3" customFormat="1" ht="18">
      <c r="A268" s="218"/>
      <c r="B268" s="218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4"/>
      <c r="N268" s="4"/>
      <c r="P268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s="3" customFormat="1" ht="18">
      <c r="A269" s="218"/>
      <c r="B269" s="218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4"/>
      <c r="N269" s="4"/>
      <c r="P269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s="3" customFormat="1" ht="18">
      <c r="A270" s="218"/>
      <c r="B270" s="218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4"/>
      <c r="N270" s="4"/>
      <c r="P270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s="3" customFormat="1" ht="18">
      <c r="A271" s="218"/>
      <c r="B271" s="218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4"/>
      <c r="N271" s="4"/>
      <c r="P27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s="3" customFormat="1" ht="18">
      <c r="A272" s="218"/>
      <c r="B272" s="218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4"/>
      <c r="N272" s="4"/>
      <c r="P272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s="3" customFormat="1" ht="18">
      <c r="A273" s="218"/>
      <c r="B273" s="218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4"/>
      <c r="N273" s="4"/>
      <c r="P273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s="3" customFormat="1" ht="18">
      <c r="A274" s="218"/>
      <c r="B274" s="218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4"/>
      <c r="N274" s="4"/>
      <c r="P27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s="3" customFormat="1" ht="18">
      <c r="A275" s="218"/>
      <c r="B275" s="218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4"/>
      <c r="N275" s="4"/>
      <c r="P275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s="3" customFormat="1" ht="18">
      <c r="A276" s="218"/>
      <c r="B276" s="218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4"/>
      <c r="N276" s="4"/>
      <c r="P276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s="3" customFormat="1" ht="18">
      <c r="A277" s="218"/>
      <c r="B277" s="218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4"/>
      <c r="N277" s="4"/>
      <c r="P277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s="3" customFormat="1" ht="18">
      <c r="A278" s="218"/>
      <c r="B278" s="218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4"/>
      <c r="N278" s="4"/>
      <c r="P278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s="3" customFormat="1" ht="18">
      <c r="A279" s="218"/>
      <c r="B279" s="218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4"/>
      <c r="N279" s="4"/>
      <c r="P279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s="3" customFormat="1" ht="18">
      <c r="A280" s="218"/>
      <c r="B280" s="218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4"/>
      <c r="N280" s="4"/>
      <c r="P280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s="3" customFormat="1" ht="18">
      <c r="A281" s="218"/>
      <c r="B281" s="218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4"/>
      <c r="N281" s="4"/>
      <c r="P28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s="3" customFormat="1" ht="18">
      <c r="A282" s="218"/>
      <c r="B282" s="218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4"/>
      <c r="N282" s="4"/>
      <c r="P282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s="3" customFormat="1" ht="18">
      <c r="A283" s="218"/>
      <c r="B283" s="218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4"/>
      <c r="N283" s="4"/>
      <c r="P283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s="3" customFormat="1" ht="18">
      <c r="A284" s="218"/>
      <c r="B284" s="218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4"/>
      <c r="N284" s="4"/>
      <c r="P28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s="3" customFormat="1" ht="18">
      <c r="A285" s="218"/>
      <c r="B285" s="218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4"/>
      <c r="N285" s="4"/>
      <c r="P285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s="3" customFormat="1" ht="18">
      <c r="A286" s="218"/>
      <c r="B286" s="218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4"/>
      <c r="N286" s="4"/>
      <c r="P286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s="3" customFormat="1" ht="18">
      <c r="A287" s="218"/>
      <c r="B287" s="218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4"/>
      <c r="N287" s="4"/>
      <c r="P287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s="3" customFormat="1" ht="18">
      <c r="A288" s="218"/>
      <c r="B288" s="218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4"/>
      <c r="N288" s="4"/>
      <c r="P288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s="3" customFormat="1" ht="18">
      <c r="A289" s="218"/>
      <c r="B289" s="218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4"/>
      <c r="N289" s="4"/>
      <c r="P289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s="3" customFormat="1" ht="18">
      <c r="A290" s="218"/>
      <c r="B290" s="218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4"/>
      <c r="N290" s="4"/>
      <c r="P290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s="3" customFormat="1" ht="18">
      <c r="A291" s="218"/>
      <c r="B291" s="218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4"/>
      <c r="N291" s="4"/>
      <c r="P29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s="3" customFormat="1" ht="18">
      <c r="A292" s="218"/>
      <c r="B292" s="218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4"/>
      <c r="N292" s="4"/>
      <c r="P292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s="3" customFormat="1" ht="18">
      <c r="A293" s="218"/>
      <c r="B293" s="218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4"/>
      <c r="N293" s="4"/>
      <c r="P293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s="3" customFormat="1" ht="18">
      <c r="A294" s="218"/>
      <c r="B294" s="218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4"/>
      <c r="N294" s="4"/>
      <c r="P29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s="3" customFormat="1" ht="18">
      <c r="A295" s="218"/>
      <c r="B295" s="218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4"/>
      <c r="N295" s="4"/>
      <c r="P295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s="3" customFormat="1" ht="18">
      <c r="A296" s="218"/>
      <c r="B296" s="218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4"/>
      <c r="N296" s="4"/>
      <c r="P296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s="3" customFormat="1" ht="18">
      <c r="A297" s="218"/>
      <c r="B297" s="218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4"/>
      <c r="N297" s="4"/>
      <c r="P297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s="3" customFormat="1" ht="18">
      <c r="A298" s="218"/>
      <c r="B298" s="218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4"/>
      <c r="N298" s="4"/>
      <c r="P298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s="3" customFormat="1" ht="18">
      <c r="A299" s="218"/>
      <c r="B299" s="218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4"/>
      <c r="N299" s="4"/>
      <c r="P299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s="3" customFormat="1" ht="18">
      <c r="A300" s="218"/>
      <c r="B300" s="218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4"/>
      <c r="N300" s="4"/>
      <c r="P300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s="3" customFormat="1" ht="18">
      <c r="A301" s="218"/>
      <c r="B301" s="218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4"/>
      <c r="N301" s="4"/>
      <c r="P30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s="3" customFormat="1" ht="18">
      <c r="A302" s="218"/>
      <c r="B302" s="218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4"/>
      <c r="N302" s="4"/>
      <c r="P302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s="3" customFormat="1" ht="18">
      <c r="A303" s="218"/>
      <c r="B303" s="218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4"/>
      <c r="N303" s="4"/>
      <c r="P303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s="3" customFormat="1" ht="18">
      <c r="A304" s="218"/>
      <c r="B304" s="218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4"/>
      <c r="N304" s="4"/>
      <c r="P30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s="3" customFormat="1" ht="18">
      <c r="A305" s="218"/>
      <c r="B305" s="218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4"/>
      <c r="N305" s="4"/>
      <c r="P305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s="3" customFormat="1" ht="18">
      <c r="A306" s="218"/>
      <c r="B306" s="218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4"/>
      <c r="N306" s="4"/>
      <c r="P306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s="3" customFormat="1" ht="18">
      <c r="A307" s="218"/>
      <c r="B307" s="218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4"/>
      <c r="N307" s="4"/>
      <c r="P307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s="3" customFormat="1" ht="18">
      <c r="A308" s="218"/>
      <c r="B308" s="218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4"/>
      <c r="N308" s="4"/>
      <c r="P308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s="3" customFormat="1" ht="18">
      <c r="A309" s="218"/>
      <c r="B309" s="218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4"/>
      <c r="N309" s="4"/>
      <c r="P309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s="3" customFormat="1" ht="18">
      <c r="A310" s="218"/>
      <c r="B310" s="218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4"/>
      <c r="N310" s="4"/>
      <c r="P310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s="3" customFormat="1" ht="18">
      <c r="A311" s="218"/>
      <c r="B311" s="218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4"/>
      <c r="N311" s="4"/>
      <c r="P31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s="3" customFormat="1" ht="18">
      <c r="A312" s="218"/>
      <c r="B312" s="218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4"/>
      <c r="N312" s="4"/>
      <c r="P312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s="3" customFormat="1" ht="18">
      <c r="A313" s="218"/>
      <c r="B313" s="218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4"/>
      <c r="N313" s="4"/>
      <c r="P313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s="3" customFormat="1" ht="18">
      <c r="A314" s="218"/>
      <c r="B314" s="218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4"/>
      <c r="N314" s="4"/>
      <c r="P31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s="3" customFormat="1" ht="18">
      <c r="A315" s="218"/>
      <c r="B315" s="218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4"/>
      <c r="N315" s="4"/>
      <c r="P315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s="3" customFormat="1" ht="18">
      <c r="A316" s="218"/>
      <c r="B316" s="218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4"/>
      <c r="N316" s="4"/>
      <c r="P316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s="3" customFormat="1" ht="18">
      <c r="A317" s="218"/>
      <c r="B317" s="218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4"/>
      <c r="N317" s="4"/>
      <c r="P317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s="3" customFormat="1" ht="18">
      <c r="A318" s="218"/>
      <c r="B318" s="218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4"/>
      <c r="N318" s="4"/>
      <c r="P318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s="3" customFormat="1" ht="18">
      <c r="A319" s="218"/>
      <c r="B319" s="218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4"/>
      <c r="N319" s="4"/>
      <c r="P319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s="3" customFormat="1" ht="18">
      <c r="A320" s="218"/>
      <c r="B320" s="218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4"/>
      <c r="N320" s="4"/>
      <c r="P320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s="3" customFormat="1" ht="18">
      <c r="A321" s="218"/>
      <c r="B321" s="218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4"/>
      <c r="N321" s="4"/>
      <c r="P32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s="3" customFormat="1" ht="18">
      <c r="A322" s="218"/>
      <c r="B322" s="218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4"/>
      <c r="N322" s="4"/>
      <c r="P322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s="3" customFormat="1" ht="18">
      <c r="A323" s="218"/>
      <c r="B323" s="218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4"/>
      <c r="N323" s="4"/>
      <c r="P323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s="3" customFormat="1" ht="18">
      <c r="A324" s="218"/>
      <c r="B324" s="218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4"/>
      <c r="N324" s="4"/>
      <c r="P32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s="3" customFormat="1" ht="18">
      <c r="A325" s="218"/>
      <c r="B325" s="218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4"/>
      <c r="N325" s="4"/>
      <c r="P325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s="3" customFormat="1" ht="18">
      <c r="A326" s="218"/>
      <c r="B326" s="218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4"/>
      <c r="N326" s="4"/>
      <c r="P326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s="3" customFormat="1" ht="18">
      <c r="A327" s="218"/>
      <c r="B327" s="218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4"/>
      <c r="N327" s="4"/>
      <c r="P327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s="3" customFormat="1" ht="18">
      <c r="A328" s="218"/>
      <c r="B328" s="218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4"/>
      <c r="N328" s="4"/>
      <c r="P328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s="3" customFormat="1" ht="18">
      <c r="A329" s="218"/>
      <c r="B329" s="218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4"/>
      <c r="N329" s="4"/>
      <c r="P329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s="3" customFormat="1" ht="18">
      <c r="A330" s="218"/>
      <c r="B330" s="218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4"/>
      <c r="N330" s="4"/>
      <c r="P330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s="3" customFormat="1" ht="18">
      <c r="A331" s="218"/>
      <c r="B331" s="218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4"/>
      <c r="N331" s="4"/>
      <c r="P33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s="3" customFormat="1" ht="18">
      <c r="A332" s="218"/>
      <c r="B332" s="218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4"/>
      <c r="N332" s="4"/>
      <c r="P332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s="3" customFormat="1" ht="18">
      <c r="A333" s="218"/>
      <c r="B333" s="218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4"/>
      <c r="N333" s="4"/>
      <c r="P333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s="3" customFormat="1" ht="18">
      <c r="A334" s="218"/>
      <c r="B334" s="218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4"/>
      <c r="N334" s="4"/>
      <c r="P33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s="3" customFormat="1" ht="18">
      <c r="A335" s="218"/>
      <c r="B335" s="218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4"/>
      <c r="N335" s="4"/>
      <c r="P335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s="3" customFormat="1" ht="18">
      <c r="A336" s="218"/>
      <c r="B336" s="218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4"/>
      <c r="N336" s="4"/>
      <c r="P336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s="3" customFormat="1" ht="18">
      <c r="A337" s="218"/>
      <c r="B337" s="218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4"/>
      <c r="N337" s="4"/>
      <c r="P337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s="3" customFormat="1" ht="18">
      <c r="A338" s="218"/>
      <c r="B338" s="218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4"/>
      <c r="N338" s="4"/>
      <c r="P338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s="3" customFormat="1" ht="18">
      <c r="A339" s="218"/>
      <c r="B339" s="218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4"/>
      <c r="N339" s="4"/>
      <c r="P339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s="3" customFormat="1" ht="18">
      <c r="A340" s="218"/>
      <c r="B340" s="218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4"/>
      <c r="N340" s="4"/>
      <c r="P340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s="3" customFormat="1" ht="18">
      <c r="A341" s="218"/>
      <c r="B341" s="218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4"/>
      <c r="N341" s="4"/>
      <c r="P34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s="3" customFormat="1" ht="18">
      <c r="A342" s="218"/>
      <c r="B342" s="218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4"/>
      <c r="N342" s="4"/>
      <c r="P342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s="3" customFormat="1" ht="18">
      <c r="A343" s="218"/>
      <c r="B343" s="218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4"/>
      <c r="N343" s="4"/>
      <c r="P343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s="3" customFormat="1" ht="18">
      <c r="A344" s="218"/>
      <c r="B344" s="218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4"/>
      <c r="N344" s="4"/>
      <c r="P34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s="3" customFormat="1" ht="18">
      <c r="A345" s="218"/>
      <c r="B345" s="218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4"/>
      <c r="N345" s="4"/>
      <c r="P345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s="3" customFormat="1" ht="18">
      <c r="A346" s="218"/>
      <c r="B346" s="218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4"/>
      <c r="N346" s="4"/>
      <c r="P346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s="3" customFormat="1" ht="18">
      <c r="A347" s="218"/>
      <c r="B347" s="218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4"/>
      <c r="N347" s="4"/>
      <c r="P347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s="3" customFormat="1" ht="18">
      <c r="A348" s="218"/>
      <c r="B348" s="218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4"/>
      <c r="N348" s="4"/>
      <c r="P348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s="3" customFormat="1" ht="18">
      <c r="A349" s="218"/>
      <c r="B349" s="218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4"/>
      <c r="N349" s="4"/>
      <c r="P349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s="3" customFormat="1" ht="18">
      <c r="A350" s="218"/>
      <c r="B350" s="218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4"/>
      <c r="N350" s="4"/>
      <c r="P350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s="3" customFormat="1" ht="18">
      <c r="A351" s="218"/>
      <c r="B351" s="218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4"/>
      <c r="N351" s="4"/>
      <c r="P35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s="3" customFormat="1" ht="18">
      <c r="A352" s="218"/>
      <c r="B352" s="218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4"/>
      <c r="N352" s="4"/>
      <c r="P352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s="3" customFormat="1" ht="18">
      <c r="A353" s="218"/>
      <c r="B353" s="218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4"/>
      <c r="N353" s="4"/>
      <c r="P353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s="3" customFormat="1" ht="18">
      <c r="A354" s="218"/>
      <c r="B354" s="218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4"/>
      <c r="N354" s="4"/>
      <c r="P35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s="3" customFormat="1" ht="18">
      <c r="A355" s="218"/>
      <c r="B355" s="218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4"/>
      <c r="N355" s="4"/>
      <c r="P355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s="3" customFormat="1" ht="18">
      <c r="A356" s="218"/>
      <c r="B356" s="218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4"/>
      <c r="N356" s="4"/>
      <c r="P356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s="3" customFormat="1" ht="18">
      <c r="A357" s="218"/>
      <c r="B357" s="218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4"/>
      <c r="N357" s="4"/>
      <c r="P357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s="3" customFormat="1" ht="18">
      <c r="A358" s="218"/>
      <c r="B358" s="218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4"/>
      <c r="N358" s="4"/>
      <c r="P358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s="3" customFormat="1" ht="18">
      <c r="A359" s="218"/>
      <c r="B359" s="218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4"/>
      <c r="N359" s="4"/>
      <c r="P359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s="3" customFormat="1" ht="18">
      <c r="A360" s="218"/>
      <c r="B360" s="218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4"/>
      <c r="N360" s="4"/>
      <c r="P360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s="3" customFormat="1" ht="18">
      <c r="A361" s="218"/>
      <c r="B361" s="218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4"/>
      <c r="N361" s="4"/>
      <c r="P36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s="3" customFormat="1" ht="18">
      <c r="A362" s="218"/>
      <c r="B362" s="218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4"/>
      <c r="N362" s="4"/>
      <c r="P362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s="3" customFormat="1" ht="18">
      <c r="A363" s="218"/>
      <c r="B363" s="218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4"/>
      <c r="N363" s="4"/>
      <c r="P363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s="3" customFormat="1" ht="18">
      <c r="A364" s="218"/>
      <c r="B364" s="218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4"/>
      <c r="N364" s="4"/>
      <c r="P36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s="3" customFormat="1" ht="18">
      <c r="A365" s="218"/>
      <c r="B365" s="218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4"/>
      <c r="N365" s="4"/>
      <c r="P365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s="3" customFormat="1" ht="18">
      <c r="A366" s="218"/>
      <c r="B366" s="218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4"/>
      <c r="N366" s="4"/>
      <c r="P366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s="3" customFormat="1" ht="18">
      <c r="A367" s="218"/>
      <c r="B367" s="218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4"/>
      <c r="N367" s="4"/>
      <c r="P367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s="3" customFormat="1" ht="18">
      <c r="A368" s="218"/>
      <c r="B368" s="218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4"/>
      <c r="N368" s="4"/>
      <c r="P368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s="3" customFormat="1" ht="18">
      <c r="A369" s="218"/>
      <c r="B369" s="218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4"/>
      <c r="N369" s="4"/>
      <c r="P369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s="3" customFormat="1" ht="18">
      <c r="A370" s="218"/>
      <c r="B370" s="218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4"/>
      <c r="N370" s="4"/>
      <c r="P370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s="3" customFormat="1" ht="18">
      <c r="A371" s="218"/>
      <c r="B371" s="218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4"/>
      <c r="N371" s="4"/>
      <c r="P37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s="3" customFormat="1" ht="18">
      <c r="A372" s="218"/>
      <c r="B372" s="218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4"/>
      <c r="N372" s="4"/>
      <c r="P372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s="3" customFormat="1" ht="18">
      <c r="A373" s="218"/>
      <c r="B373" s="218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4"/>
      <c r="N373" s="4"/>
      <c r="P373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s="3" customFormat="1" ht="18">
      <c r="A374" s="218"/>
      <c r="B374" s="218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4"/>
      <c r="N374" s="4"/>
      <c r="P37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s="3" customFormat="1" ht="18">
      <c r="A375" s="218"/>
      <c r="B375" s="218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4"/>
      <c r="N375" s="4"/>
      <c r="P375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s="3" customFormat="1" ht="18">
      <c r="A376" s="218"/>
      <c r="B376" s="218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4"/>
      <c r="N376" s="4"/>
      <c r="P376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s="3" customFormat="1" ht="18">
      <c r="A377" s="218"/>
      <c r="B377" s="218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4"/>
      <c r="N377" s="4"/>
      <c r="P377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s="3" customFormat="1" ht="18">
      <c r="A378" s="218"/>
      <c r="B378" s="218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4"/>
      <c r="N378" s="4"/>
      <c r="P378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s="3" customFormat="1" ht="18">
      <c r="A379" s="218"/>
      <c r="B379" s="218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4"/>
      <c r="N379" s="4"/>
      <c r="P379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s="3" customFormat="1" ht="18">
      <c r="A380" s="218"/>
      <c r="B380" s="218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4"/>
      <c r="N380" s="4"/>
      <c r="P380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s="3" customFormat="1" ht="18">
      <c r="A381" s="218"/>
      <c r="B381" s="218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4"/>
      <c r="N381" s="4"/>
      <c r="P38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s="3" customFormat="1" ht="18">
      <c r="A382" s="218"/>
      <c r="B382" s="218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4"/>
      <c r="N382" s="4"/>
      <c r="P382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s="3" customFormat="1" ht="18">
      <c r="A383" s="218"/>
      <c r="B383" s="218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4"/>
      <c r="N383" s="4"/>
      <c r="P383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s="3" customFormat="1" ht="18">
      <c r="A384" s="218"/>
      <c r="B384" s="218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4"/>
      <c r="N384" s="4"/>
      <c r="P38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s="3" customFormat="1" ht="18">
      <c r="A385" s="218"/>
      <c r="B385" s="218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4"/>
      <c r="N385" s="4"/>
      <c r="P385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s="3" customFormat="1" ht="18">
      <c r="A386" s="218"/>
      <c r="B386" s="218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4"/>
      <c r="N386" s="4"/>
      <c r="P386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s="3" customFormat="1" ht="18">
      <c r="A387" s="218"/>
      <c r="B387" s="218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4"/>
      <c r="N387" s="4"/>
      <c r="P387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s="3" customFormat="1" ht="18">
      <c r="A388" s="218"/>
      <c r="B388" s="218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4"/>
      <c r="N388" s="4"/>
      <c r="P388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s="3" customFormat="1" ht="18">
      <c r="A389" s="218"/>
      <c r="B389" s="218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4"/>
      <c r="N389" s="4"/>
      <c r="P389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s="3" customFormat="1" ht="18">
      <c r="A390" s="218"/>
      <c r="B390" s="218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4"/>
      <c r="N390" s="4"/>
      <c r="P390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s="3" customFormat="1" ht="18">
      <c r="A391" s="218"/>
      <c r="B391" s="218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4"/>
      <c r="N391" s="4"/>
      <c r="P39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s="3" customFormat="1" ht="18">
      <c r="A392" s="218"/>
      <c r="B392" s="218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4"/>
      <c r="N392" s="4"/>
      <c r="P392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s="3" customFormat="1" ht="18">
      <c r="A393" s="218"/>
      <c r="B393" s="218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4"/>
      <c r="N393" s="4"/>
      <c r="P393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s="3" customFormat="1" ht="18">
      <c r="A394" s="218"/>
      <c r="B394" s="218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4"/>
      <c r="N394" s="4"/>
      <c r="P39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s="3" customFormat="1" ht="18">
      <c r="A395" s="218"/>
      <c r="B395" s="218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4"/>
      <c r="N395" s="4"/>
      <c r="P395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s="3" customFormat="1" ht="18">
      <c r="A396" s="218"/>
      <c r="B396" s="218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4"/>
      <c r="N396" s="4"/>
      <c r="P396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s="3" customFormat="1" ht="18">
      <c r="A397" s="218"/>
      <c r="B397" s="218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4"/>
      <c r="N397" s="4"/>
      <c r="P397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s="3" customFormat="1" ht="18">
      <c r="A398" s="218"/>
      <c r="B398" s="218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4"/>
      <c r="N398" s="4"/>
      <c r="P398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s="3" customFormat="1" ht="18">
      <c r="A399" s="218"/>
      <c r="B399" s="218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4"/>
      <c r="N399" s="4"/>
      <c r="P399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s="3" customFormat="1" ht="18">
      <c r="A400" s="218"/>
      <c r="B400" s="218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4"/>
      <c r="N400" s="4"/>
      <c r="P400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s="3" customFormat="1" ht="18">
      <c r="A401" s="218"/>
      <c r="B401" s="218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4"/>
      <c r="N401" s="4"/>
      <c r="P40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s="3" customFormat="1" ht="18">
      <c r="A402" s="218"/>
      <c r="B402" s="218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4"/>
      <c r="N402" s="4"/>
      <c r="P402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s="3" customFormat="1" ht="18">
      <c r="A403" s="218"/>
      <c r="B403" s="218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4"/>
      <c r="N403" s="4"/>
      <c r="P403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s="3" customFormat="1" ht="18">
      <c r="A404" s="218"/>
      <c r="B404" s="218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4"/>
      <c r="N404" s="4"/>
      <c r="P40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s="3" customFormat="1" ht="18">
      <c r="A405" s="218"/>
      <c r="B405" s="218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4"/>
      <c r="N405" s="4"/>
      <c r="P405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s="3" customFormat="1" ht="18">
      <c r="A406" s="218"/>
      <c r="B406" s="218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4"/>
      <c r="N406" s="4"/>
      <c r="P406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s="3" customFormat="1" ht="18">
      <c r="A407" s="218"/>
      <c r="B407" s="218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4"/>
      <c r="N407" s="4"/>
      <c r="P407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s="3" customFormat="1" ht="18">
      <c r="A408" s="218"/>
      <c r="B408" s="218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4"/>
      <c r="N408" s="4"/>
      <c r="P408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s="3" customFormat="1" ht="18">
      <c r="A409" s="218"/>
      <c r="B409" s="218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4"/>
      <c r="N409" s="4"/>
      <c r="P409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s="3" customFormat="1" ht="18">
      <c r="A410" s="218"/>
      <c r="B410" s="218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4"/>
      <c r="N410" s="4"/>
      <c r="P410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s="3" customFormat="1" ht="18">
      <c r="A411" s="218"/>
      <c r="B411" s="218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4"/>
      <c r="N411" s="4"/>
      <c r="P41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s="3" customFormat="1" ht="18">
      <c r="A412" s="218"/>
      <c r="B412" s="218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4"/>
      <c r="N412" s="4"/>
      <c r="P412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s="3" customFormat="1" ht="18">
      <c r="A413" s="218"/>
      <c r="B413" s="218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4"/>
      <c r="N413" s="4"/>
      <c r="P413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s="3" customFormat="1" ht="18">
      <c r="A414" s="218"/>
      <c r="B414" s="218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4"/>
      <c r="N414" s="4"/>
      <c r="P41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s="3" customFormat="1" ht="18">
      <c r="A415" s="218"/>
      <c r="B415" s="218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4"/>
      <c r="N415" s="4"/>
      <c r="P415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s="3" customFormat="1" ht="18">
      <c r="A416" s="218"/>
      <c r="B416" s="218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4"/>
      <c r="N416" s="4"/>
      <c r="P416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s="3" customFormat="1" ht="18">
      <c r="A417" s="218"/>
      <c r="B417" s="218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4"/>
      <c r="N417" s="4"/>
      <c r="P417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s="3" customFormat="1" ht="18">
      <c r="A418" s="218"/>
      <c r="B418" s="218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4"/>
      <c r="N418" s="4"/>
      <c r="P418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s="3" customFormat="1" ht="18">
      <c r="A419" s="218"/>
      <c r="B419" s="218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4"/>
      <c r="N419" s="4"/>
      <c r="P419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s="3" customFormat="1" ht="18">
      <c r="A420" s="218"/>
      <c r="B420" s="218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4"/>
      <c r="N420" s="4"/>
      <c r="P420"/>
      <c r="Q420" s="1"/>
      <c r="R420" s="1"/>
      <c r="S420" s="1"/>
      <c r="T420" s="1"/>
      <c r="U420" s="1"/>
      <c r="V420" s="1"/>
      <c r="W420" s="1"/>
      <c r="X420" s="1"/>
      <c r="Y420" s="1"/>
      <c r="Z420" s="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96"/>
  <sheetViews>
    <sheetView zoomScale="120" zoomScaleNormal="120" workbookViewId="0">
      <pane xSplit="1" ySplit="12" topLeftCell="P46" activePane="bottomRight" state="frozen"/>
      <selection pane="topRight" activeCell="B1" sqref="B1"/>
      <selection pane="bottomLeft" activeCell="A13" sqref="A13"/>
      <selection pane="bottomRight" activeCell="AH15" sqref="AH15"/>
    </sheetView>
  </sheetViews>
  <sheetFormatPr defaultColWidth="9.140625" defaultRowHeight="15"/>
  <cols>
    <col min="1" max="1" width="35.5703125" style="72" customWidth="1"/>
    <col min="2" max="2" width="34.140625" style="72" bestFit="1" customWidth="1"/>
    <col min="3" max="3" width="9.140625" style="72" customWidth="1"/>
    <col min="4" max="4" width="24.7109375" style="72" hidden="1" customWidth="1"/>
    <col min="5" max="5" width="22.140625" style="73" customWidth="1"/>
    <col min="6" max="8" width="17.28515625" style="72" hidden="1" customWidth="1"/>
    <col min="9" max="10" width="17.28515625" style="72" customWidth="1"/>
    <col min="11" max="11" width="19.28515625" style="72" customWidth="1"/>
    <col min="12" max="18" width="17.28515625" style="72" customWidth="1"/>
    <col min="19" max="19" width="12.85546875" style="72" customWidth="1"/>
    <col min="20" max="23" width="18.42578125" style="72" hidden="1" customWidth="1"/>
    <col min="24" max="24" width="18.42578125" hidden="1" customWidth="1"/>
    <col min="25" max="25" width="16.28515625" style="311" hidden="1" customWidth="1"/>
    <col min="26" max="26" width="16.42578125" style="311" customWidth="1"/>
    <col min="27" max="27" width="12.42578125" style="72" customWidth="1"/>
    <col min="28" max="28" width="11.140625" style="72" customWidth="1"/>
    <col min="29" max="29" width="11.28515625" style="72" bestFit="1" customWidth="1"/>
    <col min="30" max="30" width="14.28515625" style="72" bestFit="1" customWidth="1"/>
    <col min="31" max="31" width="9.85546875" style="72" bestFit="1" customWidth="1"/>
    <col min="32" max="32" width="12.42578125" style="83" bestFit="1" customWidth="1"/>
    <col min="33" max="16384" width="9.140625" style="72"/>
  </cols>
  <sheetData>
    <row r="1" spans="1:32">
      <c r="F1" s="81" t="s">
        <v>67</v>
      </c>
      <c r="G1" s="81" t="s">
        <v>2</v>
      </c>
      <c r="H1" s="81" t="s">
        <v>1</v>
      </c>
      <c r="I1" s="81" t="s">
        <v>0</v>
      </c>
      <c r="J1" s="81" t="s">
        <v>74</v>
      </c>
      <c r="K1" s="81" t="s">
        <v>75</v>
      </c>
      <c r="L1" s="81" t="s">
        <v>365</v>
      </c>
      <c r="M1" s="81" t="s">
        <v>366</v>
      </c>
      <c r="N1" s="375" t="s">
        <v>397</v>
      </c>
      <c r="O1" s="375" t="s">
        <v>453</v>
      </c>
      <c r="P1" s="375" t="s">
        <v>485</v>
      </c>
      <c r="Q1" s="375" t="s">
        <v>492</v>
      </c>
      <c r="R1" s="375" t="s">
        <v>496</v>
      </c>
    </row>
    <row r="2" spans="1:32" ht="16.5"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32">
      <c r="A3" s="72" t="s">
        <v>215</v>
      </c>
      <c r="B3" s="366" t="s">
        <v>398</v>
      </c>
      <c r="F3" s="75">
        <f>-Movement!O82</f>
        <v>28</v>
      </c>
      <c r="G3" s="75">
        <f>-Movement!P82</f>
        <v>24</v>
      </c>
      <c r="H3" s="75">
        <f>-Movement!Q82</f>
        <v>22</v>
      </c>
      <c r="I3" s="75">
        <f>-Movement!R82</f>
        <v>24</v>
      </c>
      <c r="J3" s="75">
        <f>15+4</f>
        <v>19</v>
      </c>
      <c r="K3" s="75">
        <f>12+5+9</f>
        <v>26</v>
      </c>
      <c r="L3" s="75">
        <f>18+14</f>
        <v>32</v>
      </c>
      <c r="M3" s="75">
        <f>23+13</f>
        <v>36</v>
      </c>
      <c r="N3" s="75">
        <f>-(Movement!Y6+Movement!Y24+Movement!Y44)</f>
        <v>38</v>
      </c>
      <c r="O3" s="75">
        <f>-(Movement!Z6+Movement!Z24+Movement!Z44)</f>
        <v>56</v>
      </c>
      <c r="P3" s="75">
        <f>-(Movement!AA6+Movement!AA24+Movement!AA44)</f>
        <v>41</v>
      </c>
      <c r="Q3" s="75">
        <f>-(Movement!AB6+Movement!AB24+Movement!AB44)</f>
        <v>49</v>
      </c>
      <c r="R3" s="75">
        <f>-(Movement!AC6+Movement!AC24+Movement!AC44)</f>
        <v>41</v>
      </c>
    </row>
    <row r="4" spans="1:32" ht="15.75" thickBot="1">
      <c r="A4" s="72" t="s">
        <v>216</v>
      </c>
      <c r="B4" s="366" t="s">
        <v>399</v>
      </c>
      <c r="F4" s="76">
        <v>280</v>
      </c>
      <c r="G4" s="76">
        <f>2+330</f>
        <v>332</v>
      </c>
      <c r="H4" s="76">
        <f>215+1</f>
        <v>216</v>
      </c>
      <c r="I4" s="76">
        <f>164+6</f>
        <v>170</v>
      </c>
      <c r="J4" s="76">
        <v>137</v>
      </c>
      <c r="K4" s="76">
        <v>119</v>
      </c>
      <c r="L4" s="76">
        <f>90+14</f>
        <v>104</v>
      </c>
      <c r="M4" s="76">
        <f>88+13</f>
        <v>101</v>
      </c>
      <c r="N4" s="76">
        <f>92+6</f>
        <v>98</v>
      </c>
      <c r="O4" s="75">
        <f>83+27</f>
        <v>110</v>
      </c>
      <c r="P4" s="75">
        <f>73+21</f>
        <v>94</v>
      </c>
      <c r="Q4" s="75">
        <f>56+31</f>
        <v>87</v>
      </c>
      <c r="R4" s="75">
        <f>52+23</f>
        <v>75</v>
      </c>
    </row>
    <row r="5" spans="1:32" ht="17.25" thickBot="1">
      <c r="A5" s="72" t="s">
        <v>208</v>
      </c>
      <c r="B5" s="366" t="s">
        <v>208</v>
      </c>
      <c r="F5" s="77">
        <f t="shared" ref="F5:M5" si="0">F3/F4</f>
        <v>0.1</v>
      </c>
      <c r="G5" s="77">
        <f t="shared" si="0"/>
        <v>7.2289156626506021E-2</v>
      </c>
      <c r="H5" s="77">
        <f t="shared" si="0"/>
        <v>0.10185185185185185</v>
      </c>
      <c r="I5" s="77">
        <f t="shared" si="0"/>
        <v>0.14117647058823529</v>
      </c>
      <c r="J5" s="77">
        <f t="shared" si="0"/>
        <v>0.13868613138686131</v>
      </c>
      <c r="K5" s="77">
        <f t="shared" si="0"/>
        <v>0.21848739495798319</v>
      </c>
      <c r="L5" s="77">
        <f t="shared" si="0"/>
        <v>0.30769230769230771</v>
      </c>
      <c r="M5" s="77">
        <f t="shared" si="0"/>
        <v>0.35643564356435642</v>
      </c>
      <c r="N5" s="77">
        <f t="shared" ref="N5:O5" si="1">N3/N4</f>
        <v>0.38775510204081631</v>
      </c>
      <c r="O5" s="77">
        <f t="shared" si="1"/>
        <v>0.50909090909090904</v>
      </c>
      <c r="P5" s="77">
        <f>P3/P4</f>
        <v>0.43617021276595747</v>
      </c>
      <c r="Q5" s="77">
        <f>Q3/Q4</f>
        <v>0.56321839080459768</v>
      </c>
      <c r="R5" s="77">
        <f>R3/R4</f>
        <v>0.54666666666666663</v>
      </c>
    </row>
    <row r="6" spans="1:32" ht="16.5">
      <c r="B6" s="366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32">
      <c r="A7" s="78" t="s">
        <v>225</v>
      </c>
      <c r="B7" s="366" t="s">
        <v>400</v>
      </c>
      <c r="F7" s="75">
        <f>6156+2694</f>
        <v>8850</v>
      </c>
      <c r="G7" s="75">
        <f>5792+3794</f>
        <v>9586</v>
      </c>
      <c r="H7" s="75">
        <f>5391+4916</f>
        <v>10307</v>
      </c>
      <c r="I7" s="75">
        <f>4903+6051</f>
        <v>10954</v>
      </c>
      <c r="J7" s="75">
        <f>3987+512+7167</f>
        <v>11666</v>
      </c>
      <c r="K7" s="75">
        <f>3399+720+8365</f>
        <v>12484</v>
      </c>
      <c r="L7" s="75">
        <f>3719+9200</f>
        <v>12919</v>
      </c>
      <c r="M7" s="75">
        <f>3412+10156</f>
        <v>13568</v>
      </c>
      <c r="N7" s="75">
        <f>2023+1056+11434+32</f>
        <v>14545</v>
      </c>
      <c r="O7" s="75">
        <f>2782+12462</f>
        <v>15244</v>
      </c>
      <c r="P7" s="75">
        <f>2752+13408</f>
        <v>16160</v>
      </c>
      <c r="Q7" s="75">
        <f>1137+654+14123</f>
        <v>15914</v>
      </c>
      <c r="R7" s="75">
        <f>948+14696+86+1802</f>
        <v>17532</v>
      </c>
    </row>
    <row r="8" spans="1:32" ht="15.75" thickBot="1">
      <c r="A8" s="78" t="s">
        <v>221</v>
      </c>
      <c r="B8" s="366" t="s">
        <v>401</v>
      </c>
      <c r="F8" s="76">
        <f>F7+18632</f>
        <v>27482</v>
      </c>
      <c r="G8" s="76">
        <f>G7+17437</f>
        <v>27023</v>
      </c>
      <c r="H8" s="76">
        <f>H7+16273</f>
        <v>26580</v>
      </c>
      <c r="I8" s="76">
        <f>I7+15277</f>
        <v>26231</v>
      </c>
      <c r="J8" s="76">
        <f>18698+7167</f>
        <v>25865</v>
      </c>
      <c r="K8" s="76">
        <f>17131+8365</f>
        <v>25496</v>
      </c>
      <c r="L8" s="76">
        <f>15688+9200</f>
        <v>24888</v>
      </c>
      <c r="M8" s="76">
        <f>14232+10156</f>
        <v>24388</v>
      </c>
      <c r="N8" s="76">
        <f>12832+11434+32</f>
        <v>24298</v>
      </c>
      <c r="O8" s="76">
        <f>12462+11622</f>
        <v>24084</v>
      </c>
      <c r="P8" s="76">
        <f>10652+13408</f>
        <v>24060</v>
      </c>
      <c r="Q8" s="76">
        <f>14123+1137+654+6954</f>
        <v>22868</v>
      </c>
      <c r="R8" s="76">
        <f>948+1802+6157+14696+86</f>
        <v>23689</v>
      </c>
    </row>
    <row r="9" spans="1:32" ht="17.25" thickBot="1">
      <c r="A9" s="79" t="s">
        <v>208</v>
      </c>
      <c r="B9" s="366" t="s">
        <v>208</v>
      </c>
      <c r="F9" s="77">
        <f t="shared" ref="F9:M9" si="2">F7/F8</f>
        <v>0.32202896441307038</v>
      </c>
      <c r="G9" s="77">
        <f t="shared" si="2"/>
        <v>0.3547348554934685</v>
      </c>
      <c r="H9" s="77">
        <f t="shared" si="2"/>
        <v>0.38777276147479306</v>
      </c>
      <c r="I9" s="77">
        <f t="shared" si="2"/>
        <v>0.41759749914223626</v>
      </c>
      <c r="J9" s="77">
        <f t="shared" si="2"/>
        <v>0.45103421612217282</v>
      </c>
      <c r="K9" s="77">
        <f t="shared" si="2"/>
        <v>0.48964543457797299</v>
      </c>
      <c r="L9" s="77">
        <f t="shared" si="2"/>
        <v>0.51908550305368051</v>
      </c>
      <c r="M9" s="77">
        <f t="shared" si="2"/>
        <v>0.55633918320485487</v>
      </c>
      <c r="N9" s="77">
        <f t="shared" ref="N9:R9" si="3">N7/N8</f>
        <v>0.5986089390073257</v>
      </c>
      <c r="O9" s="77">
        <f t="shared" si="3"/>
        <v>0.6329513369872114</v>
      </c>
      <c r="P9" s="77">
        <f t="shared" si="3"/>
        <v>0.67165419783873648</v>
      </c>
      <c r="Q9" s="77">
        <f t="shared" si="3"/>
        <v>0.69590694420150434</v>
      </c>
      <c r="R9" s="77">
        <f t="shared" si="3"/>
        <v>0.74009033728734852</v>
      </c>
    </row>
    <row r="10" spans="1:32" ht="16.5" hidden="1">
      <c r="A10" s="79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</row>
    <row r="12" spans="1:32">
      <c r="A12" s="84" t="s">
        <v>51</v>
      </c>
      <c r="B12" s="84"/>
      <c r="C12" s="84" t="s">
        <v>326</v>
      </c>
      <c r="D12" s="84" t="s">
        <v>220</v>
      </c>
      <c r="E12" s="85" t="s">
        <v>226</v>
      </c>
      <c r="F12" s="86" t="s">
        <v>207</v>
      </c>
      <c r="G12" s="86" t="s">
        <v>213</v>
      </c>
      <c r="H12" s="86" t="s">
        <v>217</v>
      </c>
      <c r="I12" s="86" t="s">
        <v>303</v>
      </c>
      <c r="J12" s="86" t="s">
        <v>321</v>
      </c>
      <c r="K12" s="86" t="s">
        <v>361</v>
      </c>
      <c r="L12" s="323" t="s">
        <v>365</v>
      </c>
      <c r="M12" s="323" t="s">
        <v>366</v>
      </c>
      <c r="N12" s="323" t="s">
        <v>397</v>
      </c>
      <c r="O12" s="323" t="s">
        <v>453</v>
      </c>
      <c r="P12" s="323" t="s">
        <v>485</v>
      </c>
      <c r="Q12" s="323" t="s">
        <v>492</v>
      </c>
      <c r="R12" s="323" t="s">
        <v>496</v>
      </c>
      <c r="S12" s="114" t="s">
        <v>50</v>
      </c>
      <c r="T12" s="115" t="s">
        <v>207</v>
      </c>
      <c r="U12" s="115" t="s">
        <v>213</v>
      </c>
      <c r="V12" s="115" t="s">
        <v>217</v>
      </c>
      <c r="W12" s="115" t="s">
        <v>303</v>
      </c>
      <c r="X12" s="115" t="s">
        <v>321</v>
      </c>
      <c r="Y12" s="312" t="s">
        <v>361</v>
      </c>
      <c r="Z12" s="324" t="s">
        <v>365</v>
      </c>
      <c r="AA12" s="324" t="s">
        <v>366</v>
      </c>
      <c r="AB12" s="324" t="s">
        <v>397</v>
      </c>
      <c r="AC12" s="409" t="s">
        <v>453</v>
      </c>
      <c r="AD12" s="409" t="s">
        <v>485</v>
      </c>
      <c r="AE12" s="409" t="s">
        <v>492</v>
      </c>
      <c r="AF12" s="517" t="s">
        <v>496</v>
      </c>
    </row>
    <row r="13" spans="1:32" ht="25.5">
      <c r="A13" s="87" t="s">
        <v>3</v>
      </c>
      <c r="B13" s="204" t="s">
        <v>163</v>
      </c>
      <c r="C13" s="204" t="s">
        <v>327</v>
      </c>
      <c r="D13" s="87"/>
      <c r="E13" s="110" t="s">
        <v>274</v>
      </c>
      <c r="F13" s="88">
        <v>1292417.19</v>
      </c>
      <c r="G13" s="88">
        <v>1382431.5099999995</v>
      </c>
      <c r="H13" s="88">
        <v>1482682.41</v>
      </c>
      <c r="I13" s="88">
        <v>1682761.74</v>
      </c>
      <c r="J13" s="88">
        <v>1714857.68</v>
      </c>
      <c r="K13" s="88">
        <v>1748647.79</v>
      </c>
      <c r="L13" s="88">
        <v>2288745.4699999997</v>
      </c>
      <c r="M13" s="88">
        <v>2326821.67</v>
      </c>
      <c r="N13" s="88">
        <f>2301572.01+473208</f>
        <v>2774780.01</v>
      </c>
      <c r="O13" s="88">
        <f>2419308.39</f>
        <v>2419308.39</v>
      </c>
      <c r="P13" s="88">
        <f>2934525</f>
        <v>2934525</v>
      </c>
      <c r="Q13" s="88">
        <v>2993629.58</v>
      </c>
      <c r="R13" s="88">
        <v>3138872.71</v>
      </c>
      <c r="S13" s="116"/>
      <c r="T13" s="117"/>
      <c r="U13" s="117"/>
      <c r="V13" s="117"/>
      <c r="W13" s="117"/>
      <c r="X13" s="117"/>
      <c r="Y13" s="117">
        <v>252000</v>
      </c>
      <c r="Z13" s="117"/>
      <c r="AA13" s="117"/>
      <c r="AB13" s="117"/>
      <c r="AC13" s="117"/>
      <c r="AD13" s="409">
        <f>VLOOKUP(A13,'[7]งบเปรียบเทียบ&amp;คชจ.ขาย (Page1-6)'!$B$237:$AE$298,30,0)</f>
        <v>0</v>
      </c>
      <c r="AE13" s="409"/>
      <c r="AF13" s="409"/>
    </row>
    <row r="14" spans="1:32" ht="14.25">
      <c r="A14" s="87" t="s">
        <v>3</v>
      </c>
      <c r="B14" s="204" t="s">
        <v>162</v>
      </c>
      <c r="C14" s="204" t="s">
        <v>327</v>
      </c>
      <c r="D14" s="87"/>
      <c r="E14" s="87"/>
      <c r="F14" s="89"/>
      <c r="G14" s="89"/>
      <c r="H14" s="89"/>
      <c r="I14" s="89"/>
      <c r="J14" s="89"/>
      <c r="K14" s="89">
        <v>5678496</v>
      </c>
      <c r="L14" s="89"/>
      <c r="M14" s="89"/>
      <c r="N14" s="89"/>
      <c r="O14" s="89"/>
      <c r="P14" s="89"/>
      <c r="Q14" s="89"/>
      <c r="R14" s="89"/>
      <c r="S14" s="116"/>
      <c r="T14" s="117"/>
      <c r="U14" s="117"/>
      <c r="V14" s="117"/>
      <c r="W14" s="117"/>
      <c r="X14" s="117"/>
      <c r="Y14" s="117"/>
      <c r="Z14" s="117"/>
      <c r="AA14" s="117"/>
      <c r="AB14" s="117">
        <v>0</v>
      </c>
      <c r="AC14" s="117"/>
      <c r="AD14" s="409">
        <f>VLOOKUP(A14,'[7]งบเปรียบเทียบ&amp;คชจ.ขาย (Page1-6)'!$B$237:$AE$298,30,0)</f>
        <v>0</v>
      </c>
      <c r="AE14" s="409"/>
      <c r="AF14" s="409"/>
    </row>
    <row r="15" spans="1:32" ht="14.25">
      <c r="A15" s="87" t="s">
        <v>4</v>
      </c>
      <c r="B15" s="255" t="s">
        <v>5</v>
      </c>
      <c r="C15" s="255" t="s">
        <v>480</v>
      </c>
      <c r="D15" s="87"/>
      <c r="E15" s="109" t="s">
        <v>86</v>
      </c>
      <c r="F15" s="91">
        <f t="shared" ref="F15:R15" si="4">T15</f>
        <v>11262.5</v>
      </c>
      <c r="G15" s="91">
        <f t="shared" si="4"/>
        <v>10150</v>
      </c>
      <c r="H15" s="91">
        <f t="shared" si="4"/>
        <v>10600</v>
      </c>
      <c r="I15" s="91">
        <f t="shared" si="4"/>
        <v>12306.25</v>
      </c>
      <c r="J15" s="91">
        <f t="shared" si="4"/>
        <v>7900</v>
      </c>
      <c r="K15" s="91">
        <f t="shared" si="4"/>
        <v>8650</v>
      </c>
      <c r="L15" s="91">
        <f t="shared" si="4"/>
        <v>7400</v>
      </c>
      <c r="M15" s="91">
        <f t="shared" si="4"/>
        <v>8950</v>
      </c>
      <c r="N15" s="91">
        <f t="shared" si="4"/>
        <v>13850</v>
      </c>
      <c r="O15" s="91">
        <f t="shared" si="4"/>
        <v>5050</v>
      </c>
      <c r="P15" s="91">
        <f t="shared" si="4"/>
        <v>15037.5</v>
      </c>
      <c r="Q15" s="91">
        <f t="shared" si="4"/>
        <v>20400</v>
      </c>
      <c r="R15" s="91">
        <f t="shared" si="4"/>
        <v>13750</v>
      </c>
      <c r="S15" s="118"/>
      <c r="T15" s="117">
        <v>11262.5</v>
      </c>
      <c r="U15" s="117">
        <v>10150</v>
      </c>
      <c r="V15" s="117">
        <v>10600</v>
      </c>
      <c r="W15" s="117">
        <v>12306.25</v>
      </c>
      <c r="X15" s="117">
        <v>7900</v>
      </c>
      <c r="Y15" s="117">
        <v>8650</v>
      </c>
      <c r="Z15" s="117">
        <v>7400</v>
      </c>
      <c r="AA15" s="117">
        <v>8950</v>
      </c>
      <c r="AB15" s="117">
        <v>13850</v>
      </c>
      <c r="AC15" s="117">
        <f>VLOOKUP(A15,'[8]งบเปรียบเทียบ&amp;คชจ.ขาย (Page1-6)'!$B$237:$O$297,14,0)</f>
        <v>5050</v>
      </c>
      <c r="AD15" s="409">
        <f>VLOOKUP(A15,'[7]งบเปรียบเทียบ&amp;คชจ.ขาย (Page1-6)'!$B$237:$AE$298,30,0)</f>
        <v>15037.5</v>
      </c>
      <c r="AE15" s="409">
        <f>VLOOKUP(A15,'[9]งบเปรียบเทียบ&amp;คชจ.ขาย (Page1-6)'!$B$237:$AC$302,28,0)</f>
        <v>20400</v>
      </c>
      <c r="AF15" s="409">
        <f>VLOOKUP(A15,'[10]งบเปรียบเทียบ&amp;คชจ.ขาย (Page1-6)'!$B$237:$AA$302,26,0)</f>
        <v>13750</v>
      </c>
    </row>
    <row r="16" spans="1:32" ht="14.25">
      <c r="A16" s="87" t="s">
        <v>119</v>
      </c>
      <c r="B16" s="87" t="s">
        <v>87</v>
      </c>
      <c r="C16" s="87"/>
      <c r="D16" s="87"/>
      <c r="E16" s="87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118"/>
      <c r="T16" s="117">
        <v>0</v>
      </c>
      <c r="U16" s="117">
        <v>0</v>
      </c>
      <c r="V16" s="117">
        <v>0</v>
      </c>
      <c r="W16" s="117">
        <v>0</v>
      </c>
      <c r="X16" s="117">
        <v>0</v>
      </c>
      <c r="Y16" s="117">
        <v>0</v>
      </c>
      <c r="Z16" s="117">
        <v>0</v>
      </c>
      <c r="AA16" s="117">
        <v>0</v>
      </c>
      <c r="AB16" s="117">
        <v>0</v>
      </c>
      <c r="AC16" s="117">
        <f>VLOOKUP(A16,'[8]งบเปรียบเทียบ&amp;คชจ.ขาย (Page1-6)'!$B$237:$O$297,14,0)</f>
        <v>0</v>
      </c>
      <c r="AD16" s="409">
        <f>VLOOKUP(A16,'[7]งบเปรียบเทียบ&amp;คชจ.ขาย (Page1-6)'!$B$237:$AE$298,30,0)</f>
        <v>0</v>
      </c>
      <c r="AE16" s="409">
        <f>VLOOKUP(A16,'[9]งบเปรียบเทียบ&amp;คชจ.ขาย (Page1-6)'!$B$237:$AC$302,28,0)</f>
        <v>0</v>
      </c>
      <c r="AF16" s="409">
        <f>VLOOKUP(A16,'[10]งบเปรียบเทียบ&amp;คชจ.ขาย (Page1-6)'!$B$237:$AA$302,26,0)</f>
        <v>0</v>
      </c>
    </row>
    <row r="17" spans="1:32" ht="14.25">
      <c r="A17" s="87" t="s">
        <v>120</v>
      </c>
      <c r="B17" s="87" t="s">
        <v>88</v>
      </c>
      <c r="C17" s="87"/>
      <c r="D17" s="87"/>
      <c r="E17" s="87"/>
      <c r="F17" s="91">
        <v>0</v>
      </c>
      <c r="G17" s="91">
        <v>0</v>
      </c>
      <c r="H17" s="91">
        <f>V17</f>
        <v>0</v>
      </c>
      <c r="I17" s="91"/>
      <c r="J17" s="91">
        <f>X17</f>
        <v>0</v>
      </c>
      <c r="K17" s="91">
        <f>Y17</f>
        <v>0</v>
      </c>
      <c r="L17" s="91">
        <f>Z17</f>
        <v>0</v>
      </c>
      <c r="M17" s="91"/>
      <c r="N17" s="91"/>
      <c r="O17" s="91"/>
      <c r="P17" s="91"/>
      <c r="Q17" s="91"/>
      <c r="R17" s="91"/>
      <c r="S17" s="118"/>
      <c r="T17" s="117">
        <v>0</v>
      </c>
      <c r="U17" s="117">
        <v>0</v>
      </c>
      <c r="V17" s="117">
        <v>0</v>
      </c>
      <c r="W17" s="117">
        <v>0</v>
      </c>
      <c r="X17" s="117">
        <v>0</v>
      </c>
      <c r="Y17" s="117">
        <v>0</v>
      </c>
      <c r="Z17" s="117">
        <v>0</v>
      </c>
      <c r="AA17" s="117">
        <v>0</v>
      </c>
      <c r="AB17" s="117">
        <v>0</v>
      </c>
      <c r="AC17" s="117">
        <f>VLOOKUP(A17,'[8]งบเปรียบเทียบ&amp;คชจ.ขาย (Page1-6)'!$B$237:$O$297,14,0)</f>
        <v>0</v>
      </c>
      <c r="AD17" s="409">
        <f>VLOOKUP(A17,'[7]งบเปรียบเทียบ&amp;คชจ.ขาย (Page1-6)'!$B$237:$AE$298,30,0)</f>
        <v>0</v>
      </c>
      <c r="AE17" s="409">
        <f>VLOOKUP(A17,'[9]งบเปรียบเทียบ&amp;คชจ.ขาย (Page1-6)'!$B$237:$AC$302,28,0)</f>
        <v>0</v>
      </c>
      <c r="AF17" s="409">
        <f>VLOOKUP(A17,'[10]งบเปรียบเทียบ&amp;คชจ.ขาย (Page1-6)'!$B$237:$AA$302,26,0)</f>
        <v>0</v>
      </c>
    </row>
    <row r="18" spans="1:32" ht="14.25">
      <c r="A18" s="87" t="s">
        <v>121</v>
      </c>
      <c r="B18" s="87" t="s">
        <v>89</v>
      </c>
      <c r="C18" s="87"/>
      <c r="D18" s="87"/>
      <c r="E18" s="87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118"/>
      <c r="T18" s="117">
        <v>0</v>
      </c>
      <c r="U18" s="117">
        <v>0</v>
      </c>
      <c r="V18" s="117">
        <v>0</v>
      </c>
      <c r="W18" s="117">
        <v>0</v>
      </c>
      <c r="X18" s="117">
        <v>0</v>
      </c>
      <c r="Y18" s="117">
        <v>0</v>
      </c>
      <c r="Z18" s="117">
        <v>0</v>
      </c>
      <c r="AA18" s="117">
        <v>0</v>
      </c>
      <c r="AB18" s="117">
        <v>0</v>
      </c>
      <c r="AC18" s="117">
        <f>VLOOKUP(A18,'[8]งบเปรียบเทียบ&amp;คชจ.ขาย (Page1-6)'!$B$237:$O$297,14,0)</f>
        <v>0</v>
      </c>
      <c r="AD18" s="409">
        <f>VLOOKUP(A18,'[7]งบเปรียบเทียบ&amp;คชจ.ขาย (Page1-6)'!$B$237:$AE$298,30,0)</f>
        <v>0</v>
      </c>
      <c r="AE18" s="409">
        <f>VLOOKUP(A18,'[9]งบเปรียบเทียบ&amp;คชจ.ขาย (Page1-6)'!$B$237:$AC$302,28,0)</f>
        <v>0</v>
      </c>
      <c r="AF18" s="409">
        <f>VLOOKUP(A18,'[10]งบเปรียบเทียบ&amp;คชจ.ขาย (Page1-6)'!$B$237:$AA$302,26,0)</f>
        <v>0</v>
      </c>
    </row>
    <row r="19" spans="1:32" ht="14.25">
      <c r="A19" s="87" t="s">
        <v>122</v>
      </c>
      <c r="B19" s="87" t="s">
        <v>90</v>
      </c>
      <c r="C19" s="87" t="s">
        <v>481</v>
      </c>
      <c r="D19" s="87"/>
      <c r="E19" s="87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118"/>
      <c r="T19" s="117">
        <v>0</v>
      </c>
      <c r="U19" s="117">
        <v>0</v>
      </c>
      <c r="V19" s="117">
        <v>0</v>
      </c>
      <c r="W19" s="117">
        <v>0</v>
      </c>
      <c r="X19" s="117">
        <v>0</v>
      </c>
      <c r="Y19" s="117">
        <v>0</v>
      </c>
      <c r="Z19" s="117">
        <v>0</v>
      </c>
      <c r="AA19" s="117">
        <v>0</v>
      </c>
      <c r="AB19" s="117">
        <v>0</v>
      </c>
      <c r="AC19" s="117">
        <f>VLOOKUP(A19,'[8]งบเปรียบเทียบ&amp;คชจ.ขาย (Page1-6)'!$B$237:$O$297,14,0)</f>
        <v>0</v>
      </c>
      <c r="AD19" s="409">
        <f>VLOOKUP(A19,'[7]งบเปรียบเทียบ&amp;คชจ.ขาย (Page1-6)'!$B$237:$AE$298,30,0)</f>
        <v>0</v>
      </c>
      <c r="AE19" s="409">
        <f>VLOOKUP(A19,'[9]งบเปรียบเทียบ&amp;คชจ.ขาย (Page1-6)'!$B$237:$AC$302,28,0)</f>
        <v>0</v>
      </c>
      <c r="AF19" s="409">
        <f>VLOOKUP(A19,'[10]งบเปรียบเทียบ&amp;คชจ.ขาย (Page1-6)'!$B$237:$AA$302,26,0)</f>
        <v>0</v>
      </c>
    </row>
    <row r="20" spans="1:32" ht="14.25">
      <c r="A20" s="87" t="s">
        <v>148</v>
      </c>
      <c r="B20" s="87" t="s">
        <v>87</v>
      </c>
      <c r="C20" s="87" t="s">
        <v>338</v>
      </c>
      <c r="D20" s="87"/>
      <c r="E20" s="87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118"/>
      <c r="T20" s="117"/>
      <c r="U20" s="117">
        <v>0</v>
      </c>
      <c r="V20" s="117">
        <v>0</v>
      </c>
      <c r="W20" s="117">
        <v>0</v>
      </c>
      <c r="X20" s="117">
        <v>0</v>
      </c>
      <c r="Y20" s="117">
        <v>0</v>
      </c>
      <c r="Z20" s="117">
        <v>0</v>
      </c>
      <c r="AA20" s="117">
        <v>0</v>
      </c>
      <c r="AB20" s="117">
        <v>0</v>
      </c>
      <c r="AC20" s="117">
        <f>VLOOKUP(A20,'[8]งบเปรียบเทียบ&amp;คชจ.ขาย (Page1-6)'!$B$237:$O$297,14,0)</f>
        <v>0</v>
      </c>
      <c r="AD20" s="409">
        <f>VLOOKUP(A20,'[7]งบเปรียบเทียบ&amp;คชจ.ขาย (Page1-6)'!$B$237:$AE$298,30,0)</f>
        <v>0</v>
      </c>
      <c r="AE20" s="409">
        <f>VLOOKUP(A20,'[9]งบเปรียบเทียบ&amp;คชจ.ขาย (Page1-6)'!$B$237:$AC$302,28,0)</f>
        <v>0</v>
      </c>
      <c r="AF20" s="409">
        <f>VLOOKUP(A20,'[10]งบเปรียบเทียบ&amp;คชจ.ขาย (Page1-6)'!$B$237:$AA$302,26,0)</f>
        <v>0</v>
      </c>
    </row>
    <row r="21" spans="1:32" ht="14.25">
      <c r="A21" s="87" t="s">
        <v>149</v>
      </c>
      <c r="B21" s="87" t="s">
        <v>91</v>
      </c>
      <c r="C21" s="87" t="s">
        <v>481</v>
      </c>
      <c r="D21" s="92" t="s">
        <v>150</v>
      </c>
      <c r="E21" s="109" t="s">
        <v>86</v>
      </c>
      <c r="F21" s="91">
        <f t="shared" ref="F21:R21" si="5">T21</f>
        <v>104000</v>
      </c>
      <c r="G21" s="91">
        <f t="shared" si="5"/>
        <v>156000</v>
      </c>
      <c r="H21" s="91">
        <f t="shared" si="5"/>
        <v>146000</v>
      </c>
      <c r="I21" s="91">
        <f t="shared" si="5"/>
        <v>104000</v>
      </c>
      <c r="J21" s="91">
        <f t="shared" si="5"/>
        <v>156000</v>
      </c>
      <c r="K21" s="91">
        <f t="shared" si="5"/>
        <v>156000</v>
      </c>
      <c r="L21" s="91">
        <f t="shared" si="5"/>
        <v>114000</v>
      </c>
      <c r="M21" s="91">
        <f t="shared" si="5"/>
        <v>198000</v>
      </c>
      <c r="N21" s="91">
        <f t="shared" si="5"/>
        <v>114000</v>
      </c>
      <c r="O21" s="91">
        <f t="shared" si="5"/>
        <v>42000</v>
      </c>
      <c r="P21" s="91">
        <f t="shared" si="5"/>
        <v>220000</v>
      </c>
      <c r="Q21" s="91">
        <f t="shared" si="5"/>
        <v>114000</v>
      </c>
      <c r="R21" s="91">
        <f t="shared" si="5"/>
        <v>94000</v>
      </c>
      <c r="S21" s="118"/>
      <c r="T21" s="117">
        <v>104000</v>
      </c>
      <c r="U21" s="117">
        <v>156000</v>
      </c>
      <c r="V21" s="117">
        <v>146000</v>
      </c>
      <c r="W21" s="117">
        <v>104000</v>
      </c>
      <c r="X21" s="117">
        <v>156000</v>
      </c>
      <c r="Y21" s="117">
        <v>156000</v>
      </c>
      <c r="Z21" s="117">
        <v>114000</v>
      </c>
      <c r="AA21" s="117">
        <v>198000</v>
      </c>
      <c r="AB21" s="117">
        <v>114000</v>
      </c>
      <c r="AC21" s="117">
        <f>VLOOKUP(A21,'[8]งบเปรียบเทียบ&amp;คชจ.ขาย (Page1-6)'!$B$237:$O$297,14,0)</f>
        <v>42000</v>
      </c>
      <c r="AD21" s="409">
        <f>VLOOKUP(A21,'[7]งบเปรียบเทียบ&amp;คชจ.ขาย (Page1-6)'!$B$237:$AE$298,30,0)</f>
        <v>220000</v>
      </c>
      <c r="AE21" s="409">
        <f>VLOOKUP(A21,'[9]งบเปรียบเทียบ&amp;คชจ.ขาย (Page1-6)'!$B$237:$AC$302,28,0)</f>
        <v>114000</v>
      </c>
      <c r="AF21" s="409">
        <f>VLOOKUP(A21,'[10]งบเปรียบเทียบ&amp;คชจ.ขาย (Page1-6)'!$B$237:$AA$302,26,0)</f>
        <v>94000</v>
      </c>
    </row>
    <row r="22" spans="1:32" ht="14.25">
      <c r="A22" s="87" t="s">
        <v>123</v>
      </c>
      <c r="B22" s="87" t="s">
        <v>87</v>
      </c>
      <c r="C22" s="87"/>
      <c r="D22" s="92" t="s">
        <v>150</v>
      </c>
      <c r="E22" s="109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118"/>
      <c r="T22" s="117">
        <v>0</v>
      </c>
      <c r="U22" s="117">
        <v>0</v>
      </c>
      <c r="V22" s="117">
        <v>0</v>
      </c>
      <c r="W22" s="117">
        <v>0</v>
      </c>
      <c r="X22" s="117">
        <v>0</v>
      </c>
      <c r="Y22" s="117">
        <v>0</v>
      </c>
      <c r="Z22" s="117">
        <v>0</v>
      </c>
      <c r="AA22" s="117">
        <v>0</v>
      </c>
      <c r="AB22" s="117">
        <v>0</v>
      </c>
      <c r="AC22" s="117">
        <f>VLOOKUP(A22,'[8]งบเปรียบเทียบ&amp;คชจ.ขาย (Page1-6)'!$B$237:$O$297,14,0)</f>
        <v>0</v>
      </c>
      <c r="AD22" s="409">
        <f>VLOOKUP(A22,'[7]งบเปรียบเทียบ&amp;คชจ.ขาย (Page1-6)'!$B$237:$AE$298,30,0)</f>
        <v>0</v>
      </c>
      <c r="AE22" s="409">
        <f>VLOOKUP(A22,'[9]งบเปรียบเทียบ&amp;คชจ.ขาย (Page1-6)'!$B$237:$AC$302,28,0)</f>
        <v>0</v>
      </c>
      <c r="AF22" s="409">
        <f>VLOOKUP(A22,'[10]งบเปรียบเทียบ&amp;คชจ.ขาย (Page1-6)'!$B$237:$AA$302,26,0)</f>
        <v>0</v>
      </c>
    </row>
    <row r="23" spans="1:32" ht="14.25">
      <c r="A23" s="87" t="s">
        <v>6</v>
      </c>
      <c r="B23" s="87" t="s">
        <v>214</v>
      </c>
      <c r="C23" s="87" t="s">
        <v>332</v>
      </c>
      <c r="D23" s="92" t="s">
        <v>86</v>
      </c>
      <c r="E23" s="109" t="str">
        <f>D23</f>
        <v>100% For MFC</v>
      </c>
      <c r="F23" s="91">
        <f t="shared" ref="F23:R24" si="6">T23</f>
        <v>25906.369999999995</v>
      </c>
      <c r="G23" s="91">
        <f t="shared" si="6"/>
        <v>9875.5</v>
      </c>
      <c r="H23" s="91">
        <f t="shared" si="6"/>
        <v>10500</v>
      </c>
      <c r="I23" s="91">
        <f t="shared" si="6"/>
        <v>13400</v>
      </c>
      <c r="J23" s="91">
        <f t="shared" si="6"/>
        <v>29000</v>
      </c>
      <c r="K23" s="91">
        <f t="shared" ref="K23:R23" si="7">Y23</f>
        <v>31441</v>
      </c>
      <c r="L23" s="91">
        <f t="shared" si="7"/>
        <v>7800</v>
      </c>
      <c r="M23" s="91">
        <f t="shared" si="7"/>
        <v>50766.36</v>
      </c>
      <c r="N23" s="91">
        <f t="shared" si="7"/>
        <v>29214.819999999992</v>
      </c>
      <c r="O23" s="91">
        <f t="shared" si="7"/>
        <v>20411.400000000009</v>
      </c>
      <c r="P23" s="91">
        <f t="shared" si="7"/>
        <v>44868.749999999985</v>
      </c>
      <c r="Q23" s="91">
        <f t="shared" si="7"/>
        <v>21000</v>
      </c>
      <c r="R23" s="91">
        <f t="shared" si="7"/>
        <v>19200</v>
      </c>
      <c r="S23" s="118"/>
      <c r="T23" s="117">
        <v>25906.369999999995</v>
      </c>
      <c r="U23" s="117">
        <v>9875.5</v>
      </c>
      <c r="V23" s="117">
        <v>10500</v>
      </c>
      <c r="W23" s="117">
        <v>13400</v>
      </c>
      <c r="X23" s="117">
        <v>29000</v>
      </c>
      <c r="Y23" s="117">
        <v>31441</v>
      </c>
      <c r="Z23" s="117">
        <v>7800</v>
      </c>
      <c r="AA23" s="117">
        <v>50766.36</v>
      </c>
      <c r="AB23" s="117">
        <v>29214.819999999992</v>
      </c>
      <c r="AC23" s="117">
        <f>VLOOKUP(A23,'[8]งบเปรียบเทียบ&amp;คชจ.ขาย (Page1-6)'!$B$237:$O$297,14,0)</f>
        <v>20411.400000000009</v>
      </c>
      <c r="AD23" s="409">
        <f>VLOOKUP(A23,'[7]งบเปรียบเทียบ&amp;คชจ.ขาย (Page1-6)'!$B$237:$AE$298,30,0)</f>
        <v>44868.749999999985</v>
      </c>
      <c r="AE23" s="409">
        <f>VLOOKUP(A23,'[9]งบเปรียบเทียบ&amp;คชจ.ขาย (Page1-6)'!$B$237:$AC$302,28,0)</f>
        <v>21000</v>
      </c>
      <c r="AF23" s="409">
        <f>VLOOKUP(A23,'[10]งบเปรียบเทียบ&amp;คชจ.ขาย (Page1-6)'!$B$237:$AA$302,26,0)</f>
        <v>19200</v>
      </c>
    </row>
    <row r="24" spans="1:32" ht="14.25">
      <c r="A24" s="87" t="s">
        <v>124</v>
      </c>
      <c r="B24" s="87" t="s">
        <v>92</v>
      </c>
      <c r="C24" s="87" t="s">
        <v>332</v>
      </c>
      <c r="D24" s="92" t="s">
        <v>150</v>
      </c>
      <c r="E24" s="109" t="s">
        <v>86</v>
      </c>
      <c r="F24" s="91">
        <f t="shared" si="6"/>
        <v>58494.159999999974</v>
      </c>
      <c r="G24" s="91">
        <f t="shared" si="6"/>
        <v>45451</v>
      </c>
      <c r="H24" s="91">
        <f t="shared" si="6"/>
        <v>48144.860000000044</v>
      </c>
      <c r="I24" s="91">
        <f t="shared" si="6"/>
        <v>50000</v>
      </c>
      <c r="J24" s="91">
        <f t="shared" si="6"/>
        <v>49999.999999999942</v>
      </c>
      <c r="K24" s="91">
        <f t="shared" si="6"/>
        <v>52566.580000000075</v>
      </c>
      <c r="L24" s="91">
        <f t="shared" si="6"/>
        <v>49279.46</v>
      </c>
      <c r="M24" s="91">
        <f t="shared" si="6"/>
        <v>44783.000000000007</v>
      </c>
      <c r="N24" s="91">
        <f t="shared" si="6"/>
        <v>49999.999999999985</v>
      </c>
      <c r="O24" s="91">
        <f t="shared" si="6"/>
        <v>52447.450000000012</v>
      </c>
      <c r="P24" s="91">
        <f t="shared" si="6"/>
        <v>50000</v>
      </c>
      <c r="Q24" s="91">
        <f t="shared" si="6"/>
        <v>84777.110000000015</v>
      </c>
      <c r="R24" s="91">
        <f t="shared" si="6"/>
        <v>91440</v>
      </c>
      <c r="S24" s="118"/>
      <c r="T24" s="117">
        <v>58494.159999999974</v>
      </c>
      <c r="U24" s="117">
        <v>45451</v>
      </c>
      <c r="V24" s="117">
        <v>48144.860000000044</v>
      </c>
      <c r="W24" s="117">
        <v>50000</v>
      </c>
      <c r="X24" s="117">
        <v>49999.999999999942</v>
      </c>
      <c r="Y24" s="117">
        <v>52566.580000000075</v>
      </c>
      <c r="Z24" s="117">
        <v>49279.46</v>
      </c>
      <c r="AA24" s="117">
        <v>44783.000000000007</v>
      </c>
      <c r="AB24" s="117">
        <v>49999.999999999985</v>
      </c>
      <c r="AC24" s="117">
        <f>VLOOKUP(A24,'[8]งบเปรียบเทียบ&amp;คชจ.ขาย (Page1-6)'!$B$237:$O$297,14,0)</f>
        <v>52447.450000000012</v>
      </c>
      <c r="AD24" s="409">
        <f>VLOOKUP(A24,'[7]งบเปรียบเทียบ&amp;คชจ.ขาย (Page1-6)'!$B$237:$AE$298,30,0)</f>
        <v>50000</v>
      </c>
      <c r="AE24" s="409">
        <f>VLOOKUP(A24,'[9]งบเปรียบเทียบ&amp;คชจ.ขาย (Page1-6)'!$B$237:$AC$302,28,0)</f>
        <v>84777.110000000015</v>
      </c>
      <c r="AF24" s="409">
        <f>VLOOKUP(A24,'[10]งบเปรียบเทียบ&amp;คชจ.ขาย (Page1-6)'!$B$237:$AA$302,26,0)</f>
        <v>91440</v>
      </c>
    </row>
    <row r="25" spans="1:32" ht="21" customHeight="1">
      <c r="A25" s="87" t="s">
        <v>93</v>
      </c>
      <c r="B25" s="87" t="s">
        <v>93</v>
      </c>
      <c r="C25" s="87"/>
      <c r="D25" s="92"/>
      <c r="E25" s="109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118"/>
      <c r="T25" s="117">
        <v>0</v>
      </c>
      <c r="U25" s="117">
        <v>0</v>
      </c>
      <c r="V25" s="117">
        <v>0</v>
      </c>
      <c r="W25" s="117">
        <v>0</v>
      </c>
      <c r="X25" s="117">
        <v>0</v>
      </c>
      <c r="Y25" s="117">
        <v>0</v>
      </c>
      <c r="Z25" s="117">
        <v>0</v>
      </c>
      <c r="AA25" s="117">
        <v>0</v>
      </c>
      <c r="AB25" s="117">
        <v>0</v>
      </c>
      <c r="AC25" s="117">
        <f>VLOOKUP(A25,'[8]งบเปรียบเทียบ&amp;คชจ.ขาย (Page1-6)'!$B$237:$O$297,14,0)</f>
        <v>0</v>
      </c>
      <c r="AD25" s="409">
        <f>VLOOKUP(A25,'[7]งบเปรียบเทียบ&amp;คชจ.ขาย (Page1-6)'!$B$237:$AE$298,30,0)</f>
        <v>0</v>
      </c>
      <c r="AE25" s="409">
        <f>VLOOKUP(A25,'[9]งบเปรียบเทียบ&amp;คชจ.ขาย (Page1-6)'!$B$237:$AC$302,28,0)</f>
        <v>0</v>
      </c>
      <c r="AF25" s="409">
        <f>VLOOKUP(A25,'[10]งบเปรียบเทียบ&amp;คชจ.ขาย (Page1-6)'!$B$237:$AA$302,26,0)</f>
        <v>0</v>
      </c>
    </row>
    <row r="26" spans="1:32" ht="14.25">
      <c r="A26" s="87" t="s">
        <v>7</v>
      </c>
      <c r="B26" s="87" t="s">
        <v>8</v>
      </c>
      <c r="C26" s="87" t="s">
        <v>333</v>
      </c>
      <c r="D26" s="92" t="s">
        <v>52</v>
      </c>
      <c r="E26" s="197" t="s">
        <v>227</v>
      </c>
      <c r="F26" s="91">
        <f t="shared" ref="F26:R26" si="8">F$9*T26</f>
        <v>177231.53882541301</v>
      </c>
      <c r="G26" s="91">
        <f t="shared" si="8"/>
        <v>199680.6048921289</v>
      </c>
      <c r="H26" s="91">
        <f t="shared" si="8"/>
        <v>233882.42667419111</v>
      </c>
      <c r="I26" s="91">
        <f t="shared" si="8"/>
        <v>254266.7652777248</v>
      </c>
      <c r="J26" s="91">
        <f t="shared" si="8"/>
        <v>254813.13350086991</v>
      </c>
      <c r="K26" s="91">
        <f t="shared" si="8"/>
        <v>378656.03498588013</v>
      </c>
      <c r="L26" s="91">
        <f t="shared" si="8"/>
        <v>313308.07067663129</v>
      </c>
      <c r="M26" s="91">
        <f t="shared" si="8"/>
        <v>401838.2286370346</v>
      </c>
      <c r="N26" s="91">
        <f t="shared" si="8"/>
        <v>468204.37608033582</v>
      </c>
      <c r="O26" s="91">
        <f t="shared" si="8"/>
        <v>437449.75867796043</v>
      </c>
      <c r="P26" s="91">
        <f t="shared" si="8"/>
        <v>470369.50955943472</v>
      </c>
      <c r="Q26" s="91">
        <f t="shared" si="8"/>
        <v>475376.12130488025</v>
      </c>
      <c r="R26" s="91">
        <f t="shared" si="8"/>
        <v>522587.40833298152</v>
      </c>
      <c r="S26" s="118"/>
      <c r="T26" s="117">
        <v>550359</v>
      </c>
      <c r="U26" s="117">
        <v>562901</v>
      </c>
      <c r="V26" s="117">
        <v>603143</v>
      </c>
      <c r="W26" s="117">
        <v>608880</v>
      </c>
      <c r="X26" s="117">
        <v>564953</v>
      </c>
      <c r="Y26" s="117">
        <v>773327</v>
      </c>
      <c r="Z26" s="117">
        <v>603577</v>
      </c>
      <c r="AA26" s="117">
        <v>722290</v>
      </c>
      <c r="AB26" s="117">
        <v>782154</v>
      </c>
      <c r="AC26" s="117">
        <f>VLOOKUP(A26,'[8]งบเปรียบเทียบ&amp;คชจ.ขาย (Page1-6)'!$B$237:$O$297,14,0)</f>
        <v>691127</v>
      </c>
      <c r="AD26" s="409">
        <f>VLOOKUP(A26,'[7]งบเปรียบเทียบ&amp;คชจ.ขาย (Page1-6)'!$B$237:$AE$298,30,0)</f>
        <v>700315</v>
      </c>
      <c r="AE26" s="409">
        <f>VLOOKUP(A26,'[9]งบเปรียบเทียบ&amp;คชจ.ขาย (Page1-6)'!$B$237:$AC$302,28,0)</f>
        <v>683103</v>
      </c>
      <c r="AF26" s="409">
        <f>VLOOKUP(A26,'[10]งบเปรียบเทียบ&amp;คชจ.ขาย (Page1-6)'!$B$237:$AA$302,26,0)</f>
        <v>706113</v>
      </c>
    </row>
    <row r="27" spans="1:32" ht="38.25">
      <c r="A27" s="87" t="s">
        <v>125</v>
      </c>
      <c r="B27" s="87" t="s">
        <v>94</v>
      </c>
      <c r="C27" s="87" t="s">
        <v>334</v>
      </c>
      <c r="D27" s="93" t="s">
        <v>151</v>
      </c>
      <c r="E27" s="110" t="s">
        <v>86</v>
      </c>
      <c r="F27" s="91">
        <f t="shared" ref="F27:R30" si="9">T27</f>
        <v>120</v>
      </c>
      <c r="G27" s="91">
        <f t="shared" si="9"/>
        <v>1082</v>
      </c>
      <c r="H27" s="91">
        <f t="shared" si="9"/>
        <v>550</v>
      </c>
      <c r="I27" s="91">
        <f t="shared" si="9"/>
        <v>150</v>
      </c>
      <c r="J27" s="91">
        <f t="shared" si="9"/>
        <v>575</v>
      </c>
      <c r="K27" s="91">
        <f t="shared" si="9"/>
        <v>660</v>
      </c>
      <c r="L27" s="91">
        <f t="shared" si="9"/>
        <v>70</v>
      </c>
      <c r="M27" s="91">
        <f t="shared" si="9"/>
        <v>380</v>
      </c>
      <c r="N27" s="91">
        <f t="shared" si="9"/>
        <v>857.33999999999992</v>
      </c>
      <c r="O27" s="91">
        <f t="shared" si="9"/>
        <v>445</v>
      </c>
      <c r="P27" s="91">
        <f t="shared" si="9"/>
        <v>6257</v>
      </c>
      <c r="Q27" s="91">
        <f t="shared" si="9"/>
        <v>2070</v>
      </c>
      <c r="R27" s="91">
        <f t="shared" si="9"/>
        <v>2275</v>
      </c>
      <c r="S27" s="118"/>
      <c r="T27" s="117">
        <v>120</v>
      </c>
      <c r="U27" s="117">
        <v>1082</v>
      </c>
      <c r="V27" s="117">
        <v>550</v>
      </c>
      <c r="W27" s="117">
        <v>150</v>
      </c>
      <c r="X27" s="117">
        <v>575</v>
      </c>
      <c r="Y27" s="117">
        <v>660</v>
      </c>
      <c r="Z27" s="117">
        <v>70</v>
      </c>
      <c r="AA27" s="117">
        <v>380</v>
      </c>
      <c r="AB27" s="117">
        <v>857.33999999999992</v>
      </c>
      <c r="AC27" s="117">
        <f>VLOOKUP(A27,'[8]งบเปรียบเทียบ&amp;คชจ.ขาย (Page1-6)'!$B$237:$O$297,14,0)</f>
        <v>445</v>
      </c>
      <c r="AD27" s="409">
        <f>VLOOKUP(A27,'[7]งบเปรียบเทียบ&amp;คชจ.ขาย (Page1-6)'!$B$237:$AE$298,30,0)</f>
        <v>6257</v>
      </c>
      <c r="AE27" s="409">
        <f>VLOOKUP(A27,'[9]งบเปรียบเทียบ&amp;คชจ.ขาย (Page1-6)'!$B$237:$AC$302,28,0)</f>
        <v>2070</v>
      </c>
      <c r="AF27" s="409">
        <f>VLOOKUP(A27,'[10]งบเปรียบเทียบ&amp;คชจ.ขาย (Page1-6)'!$B$237:$AA$302,26,0)</f>
        <v>2275</v>
      </c>
    </row>
    <row r="28" spans="1:32" ht="54.75" customHeight="1">
      <c r="A28" s="87" t="s">
        <v>9</v>
      </c>
      <c r="B28" s="87" t="s">
        <v>10</v>
      </c>
      <c r="C28" s="87" t="s">
        <v>334</v>
      </c>
      <c r="D28" s="93" t="s">
        <v>154</v>
      </c>
      <c r="E28" s="109" t="s">
        <v>86</v>
      </c>
      <c r="F28" s="91">
        <f t="shared" si="9"/>
        <v>229347.95999999996</v>
      </c>
      <c r="G28" s="91">
        <f t="shared" si="9"/>
        <v>245001.63000000012</v>
      </c>
      <c r="H28" s="91">
        <f t="shared" si="9"/>
        <v>245640.52000000002</v>
      </c>
      <c r="I28" s="91">
        <f t="shared" si="9"/>
        <v>287746.71999999974</v>
      </c>
      <c r="J28" s="91">
        <f t="shared" si="9"/>
        <v>325640.95000000019</v>
      </c>
      <c r="K28" s="91">
        <f t="shared" si="9"/>
        <v>355640.95000000019</v>
      </c>
      <c r="L28" s="91">
        <f t="shared" si="9"/>
        <v>379456.74</v>
      </c>
      <c r="M28" s="91">
        <f t="shared" si="9"/>
        <v>394614.54000000004</v>
      </c>
      <c r="N28" s="91">
        <f t="shared" si="9"/>
        <v>461600.93999999994</v>
      </c>
      <c r="O28" s="91">
        <f t="shared" si="9"/>
        <v>480022.01</v>
      </c>
      <c r="P28" s="91">
        <f t="shared" si="9"/>
        <v>492969.35999999987</v>
      </c>
      <c r="Q28" s="91">
        <f t="shared" si="9"/>
        <v>520337.79000000004</v>
      </c>
      <c r="R28" s="91">
        <f t="shared" si="9"/>
        <v>640320.37999999989</v>
      </c>
      <c r="S28" s="118"/>
      <c r="T28" s="117">
        <v>229347.95999999996</v>
      </c>
      <c r="U28" s="117">
        <v>245001.63000000012</v>
      </c>
      <c r="V28" s="117">
        <v>245640.52000000002</v>
      </c>
      <c r="W28" s="117">
        <v>287746.71999999974</v>
      </c>
      <c r="X28" s="117">
        <v>325640.95000000019</v>
      </c>
      <c r="Y28" s="117">
        <v>355640.95000000019</v>
      </c>
      <c r="Z28" s="117">
        <v>379456.74</v>
      </c>
      <c r="AA28" s="117">
        <v>394614.54000000004</v>
      </c>
      <c r="AB28" s="117">
        <v>461600.93999999994</v>
      </c>
      <c r="AC28" s="117">
        <f>VLOOKUP(A28,'[8]งบเปรียบเทียบ&amp;คชจ.ขาย (Page1-6)'!$B$237:$O$297,14,0)</f>
        <v>480022.01</v>
      </c>
      <c r="AD28" s="409">
        <f>VLOOKUP(A28,'[7]งบเปรียบเทียบ&amp;คชจ.ขาย (Page1-6)'!$B$237:$AE$298,30,0)</f>
        <v>492969.35999999987</v>
      </c>
      <c r="AE28" s="409">
        <f>VLOOKUP(A28,'[9]งบเปรียบเทียบ&amp;คชจ.ขาย (Page1-6)'!$B$237:$AC$302,28,0)</f>
        <v>520337.79000000004</v>
      </c>
      <c r="AF28" s="409">
        <f>VLOOKUP(A28,'[10]งบเปรียบเทียบ&amp;คชจ.ขาย (Page1-6)'!$B$237:$AA$302,26,0)</f>
        <v>640320.37999999989</v>
      </c>
    </row>
    <row r="29" spans="1:32" ht="14.25">
      <c r="A29" s="87" t="s">
        <v>11</v>
      </c>
      <c r="B29" s="87" t="s">
        <v>12</v>
      </c>
      <c r="C29" s="87" t="s">
        <v>334</v>
      </c>
      <c r="D29" s="92" t="s">
        <v>150</v>
      </c>
      <c r="E29" s="109" t="s">
        <v>86</v>
      </c>
      <c r="F29" s="91">
        <f t="shared" si="9"/>
        <v>39055.000000000029</v>
      </c>
      <c r="G29" s="91">
        <f t="shared" si="9"/>
        <v>39055</v>
      </c>
      <c r="H29" s="91">
        <f t="shared" si="9"/>
        <v>39055</v>
      </c>
      <c r="I29" s="91">
        <f t="shared" si="9"/>
        <v>39055</v>
      </c>
      <c r="J29" s="91">
        <f t="shared" si="9"/>
        <v>39055</v>
      </c>
      <c r="K29" s="91">
        <f t="shared" si="9"/>
        <v>39055</v>
      </c>
      <c r="L29" s="91">
        <f t="shared" si="9"/>
        <v>39055</v>
      </c>
      <c r="M29" s="91">
        <f t="shared" si="9"/>
        <v>39055</v>
      </c>
      <c r="N29" s="91">
        <f t="shared" si="9"/>
        <v>38591.320000000007</v>
      </c>
      <c r="O29" s="91">
        <f t="shared" si="9"/>
        <v>34775</v>
      </c>
      <c r="P29" s="91">
        <f t="shared" si="9"/>
        <v>34775</v>
      </c>
      <c r="Q29" s="91">
        <f t="shared" si="9"/>
        <v>34775</v>
      </c>
      <c r="R29" s="91">
        <f t="shared" si="9"/>
        <v>34775</v>
      </c>
      <c r="S29" s="118"/>
      <c r="T29" s="117">
        <v>39055.000000000029</v>
      </c>
      <c r="U29" s="117">
        <v>39055</v>
      </c>
      <c r="V29" s="117">
        <v>39055</v>
      </c>
      <c r="W29" s="117">
        <v>39055</v>
      </c>
      <c r="X29" s="117">
        <v>39055</v>
      </c>
      <c r="Y29" s="117">
        <v>39055</v>
      </c>
      <c r="Z29" s="117">
        <v>39055</v>
      </c>
      <c r="AA29" s="117">
        <v>39055</v>
      </c>
      <c r="AB29" s="117">
        <v>38591.320000000007</v>
      </c>
      <c r="AC29" s="117">
        <f>VLOOKUP(A29,'[8]งบเปรียบเทียบ&amp;คชจ.ขาย (Page1-6)'!$B$237:$O$297,14,0)</f>
        <v>34775</v>
      </c>
      <c r="AD29" s="409">
        <f>VLOOKUP(A29,'[7]งบเปรียบเทียบ&amp;คชจ.ขาย (Page1-6)'!$B$237:$AE$298,30,0)</f>
        <v>34775</v>
      </c>
      <c r="AE29" s="409">
        <f>VLOOKUP(A29,'[9]งบเปรียบเทียบ&amp;คชจ.ขาย (Page1-6)'!$B$237:$AC$302,28,0)</f>
        <v>34775</v>
      </c>
      <c r="AF29" s="409">
        <f>VLOOKUP(A29,'[10]งบเปรียบเทียบ&amp;คชจ.ขาย (Page1-6)'!$B$237:$AA$302,26,0)</f>
        <v>34775</v>
      </c>
    </row>
    <row r="30" spans="1:32" ht="14.25">
      <c r="A30" s="87" t="s">
        <v>13</v>
      </c>
      <c r="B30" s="87" t="s">
        <v>14</v>
      </c>
      <c r="C30" s="87" t="s">
        <v>334</v>
      </c>
      <c r="D30" s="92" t="s">
        <v>53</v>
      </c>
      <c r="E30" s="111">
        <v>1</v>
      </c>
      <c r="F30" s="91">
        <f t="shared" si="9"/>
        <v>27904</v>
      </c>
      <c r="G30" s="91">
        <f t="shared" si="9"/>
        <v>27904</v>
      </c>
      <c r="H30" s="91">
        <f t="shared" si="9"/>
        <v>27904</v>
      </c>
      <c r="I30" s="91">
        <f t="shared" si="9"/>
        <v>27904</v>
      </c>
      <c r="J30" s="91">
        <f t="shared" si="9"/>
        <v>15749</v>
      </c>
      <c r="K30" s="91">
        <f t="shared" si="9"/>
        <v>15749</v>
      </c>
      <c r="L30" s="91">
        <f t="shared" si="9"/>
        <v>8048</v>
      </c>
      <c r="M30" s="91">
        <f t="shared" si="9"/>
        <v>0</v>
      </c>
      <c r="N30" s="91">
        <f t="shared" si="9"/>
        <v>281.68000000000029</v>
      </c>
      <c r="O30" s="91">
        <f t="shared" si="9"/>
        <v>0</v>
      </c>
      <c r="P30" s="91">
        <f t="shared" si="9"/>
        <v>0</v>
      </c>
      <c r="Q30" s="91">
        <f t="shared" si="9"/>
        <v>0</v>
      </c>
      <c r="R30" s="91">
        <f t="shared" si="9"/>
        <v>0</v>
      </c>
      <c r="S30" s="118"/>
      <c r="T30" s="117">
        <v>27904</v>
      </c>
      <c r="U30" s="117">
        <v>27904</v>
      </c>
      <c r="V30" s="117">
        <v>27904</v>
      </c>
      <c r="W30" s="117">
        <v>27904</v>
      </c>
      <c r="X30" s="117">
        <v>15749</v>
      </c>
      <c r="Y30" s="117">
        <v>15749</v>
      </c>
      <c r="Z30" s="117">
        <v>8048</v>
      </c>
      <c r="AA30" s="117">
        <v>0</v>
      </c>
      <c r="AB30" s="117">
        <v>281.68000000000029</v>
      </c>
      <c r="AC30" s="117">
        <f>VLOOKUP(A30,'[8]งบเปรียบเทียบ&amp;คชจ.ขาย (Page1-6)'!$B$237:$O$297,14,0)</f>
        <v>0</v>
      </c>
      <c r="AD30" s="409">
        <f>VLOOKUP(A30,'[7]งบเปรียบเทียบ&amp;คชจ.ขาย (Page1-6)'!$B$237:$AE$298,30,0)</f>
        <v>0</v>
      </c>
      <c r="AE30" s="409">
        <f>VLOOKUP(A30,'[9]งบเปรียบเทียบ&amp;คชจ.ขาย (Page1-6)'!$B$237:$AC$302,28,0)</f>
        <v>0</v>
      </c>
      <c r="AF30" s="409">
        <f>VLOOKUP(A30,'[10]งบเปรียบเทียบ&amp;คชจ.ขาย (Page1-6)'!$B$237:$AA$302,26,0)</f>
        <v>0</v>
      </c>
    </row>
    <row r="31" spans="1:32" ht="14.25">
      <c r="A31" s="87" t="s">
        <v>126</v>
      </c>
      <c r="B31" s="87" t="s">
        <v>95</v>
      </c>
      <c r="C31" s="87" t="s">
        <v>334</v>
      </c>
      <c r="D31" s="92" t="s">
        <v>150</v>
      </c>
      <c r="E31" s="109"/>
      <c r="F31" s="91">
        <v>0</v>
      </c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118"/>
      <c r="T31" s="117">
        <v>0</v>
      </c>
      <c r="U31" s="117">
        <v>0</v>
      </c>
      <c r="V31" s="117">
        <v>0</v>
      </c>
      <c r="W31" s="117">
        <v>0</v>
      </c>
      <c r="X31" s="117">
        <v>0</v>
      </c>
      <c r="Y31" s="117">
        <v>0</v>
      </c>
      <c r="Z31" s="117">
        <v>0</v>
      </c>
      <c r="AA31" s="117">
        <v>0</v>
      </c>
      <c r="AB31" s="117">
        <v>0</v>
      </c>
      <c r="AC31" s="117">
        <f>VLOOKUP(A31,'[8]งบเปรียบเทียบ&amp;คชจ.ขาย (Page1-6)'!$B$237:$O$297,14,0)</f>
        <v>0</v>
      </c>
      <c r="AD31" s="409">
        <f>VLOOKUP(A31,'[7]งบเปรียบเทียบ&amp;คชจ.ขาย (Page1-6)'!$B$237:$AE$298,30,0)</f>
        <v>0</v>
      </c>
      <c r="AE31" s="409">
        <f>VLOOKUP(A31,'[9]งบเปรียบเทียบ&amp;คชจ.ขาย (Page1-6)'!$B$237:$AC$302,28,0)</f>
        <v>0</v>
      </c>
      <c r="AF31" s="409">
        <f>VLOOKUP(A31,'[10]งบเปรียบเทียบ&amp;คชจ.ขาย (Page1-6)'!$B$237:$AA$302,26,0)</f>
        <v>0</v>
      </c>
    </row>
    <row r="32" spans="1:32" ht="25.5">
      <c r="A32" s="87" t="s">
        <v>15</v>
      </c>
      <c r="B32" s="87" t="s">
        <v>16</v>
      </c>
      <c r="C32" s="87"/>
      <c r="D32" s="93" t="s">
        <v>152</v>
      </c>
      <c r="E32" s="110"/>
      <c r="F32" s="91">
        <v>0</v>
      </c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118"/>
      <c r="T32" s="117">
        <v>0</v>
      </c>
      <c r="U32" s="117">
        <v>0</v>
      </c>
      <c r="V32" s="117">
        <v>0</v>
      </c>
      <c r="W32" s="117">
        <v>0</v>
      </c>
      <c r="X32" s="117">
        <v>0</v>
      </c>
      <c r="Y32" s="117">
        <v>0</v>
      </c>
      <c r="Z32" s="117">
        <v>0</v>
      </c>
      <c r="AA32" s="117">
        <v>0</v>
      </c>
      <c r="AB32" s="117">
        <v>0</v>
      </c>
      <c r="AC32" s="117">
        <f>VLOOKUP(A32,'[8]งบเปรียบเทียบ&amp;คชจ.ขาย (Page1-6)'!$B$237:$O$297,14,0)</f>
        <v>0</v>
      </c>
      <c r="AD32" s="409">
        <f>VLOOKUP(A32,'[7]งบเปรียบเทียบ&amp;คชจ.ขาย (Page1-6)'!$B$237:$AE$298,30,0)</f>
        <v>0</v>
      </c>
      <c r="AE32" s="409">
        <f>VLOOKUP(A32,'[9]งบเปรียบเทียบ&amp;คชจ.ขาย (Page1-6)'!$B$237:$AC$302,28,0)</f>
        <v>0</v>
      </c>
      <c r="AF32" s="409">
        <f>VLOOKUP(A32,'[10]งบเปรียบเทียบ&amp;คชจ.ขาย (Page1-6)'!$B$237:$AA$302,26,0)</f>
        <v>0</v>
      </c>
    </row>
    <row r="33" spans="1:32" ht="14.25">
      <c r="A33" s="87" t="s">
        <v>17</v>
      </c>
      <c r="B33" s="87" t="s">
        <v>18</v>
      </c>
      <c r="C33" s="87" t="s">
        <v>330</v>
      </c>
      <c r="D33" s="92" t="s">
        <v>86</v>
      </c>
      <c r="E33" s="112">
        <v>1</v>
      </c>
      <c r="F33" s="91">
        <f t="shared" ref="F33:I34" si="10">T33</f>
        <v>25789</v>
      </c>
      <c r="G33" s="91">
        <f t="shared" si="10"/>
        <v>24911</v>
      </c>
      <c r="H33" s="91">
        <f t="shared" si="10"/>
        <v>25454</v>
      </c>
      <c r="I33" s="91">
        <f t="shared" si="10"/>
        <v>25055</v>
      </c>
      <c r="J33" s="91">
        <f t="shared" ref="J33:R34" si="11">X33</f>
        <v>26422</v>
      </c>
      <c r="K33" s="91">
        <f t="shared" si="11"/>
        <v>35037</v>
      </c>
      <c r="L33" s="91">
        <f t="shared" si="11"/>
        <v>-19130</v>
      </c>
      <c r="M33" s="91">
        <f t="shared" si="11"/>
        <v>-26564</v>
      </c>
      <c r="N33" s="91">
        <f t="shared" si="11"/>
        <v>126110</v>
      </c>
      <c r="O33" s="91">
        <f t="shared" si="11"/>
        <v>31969</v>
      </c>
      <c r="P33" s="91">
        <f t="shared" si="11"/>
        <v>39697</v>
      </c>
      <c r="Q33" s="91">
        <f t="shared" si="11"/>
        <v>50048</v>
      </c>
      <c r="R33" s="91">
        <f t="shared" si="11"/>
        <v>36077</v>
      </c>
      <c r="S33" s="118"/>
      <c r="T33" s="117">
        <v>25789</v>
      </c>
      <c r="U33" s="117">
        <v>24911</v>
      </c>
      <c r="V33" s="117">
        <v>25454</v>
      </c>
      <c r="W33" s="117">
        <v>25055</v>
      </c>
      <c r="X33" s="117">
        <v>26422</v>
      </c>
      <c r="Y33" s="117">
        <v>35037</v>
      </c>
      <c r="Z33" s="117">
        <v>-19130</v>
      </c>
      <c r="AA33" s="117">
        <v>-26564</v>
      </c>
      <c r="AB33" s="117">
        <v>126110</v>
      </c>
      <c r="AC33" s="117">
        <f>VLOOKUP(A33,'[8]งบเปรียบเทียบ&amp;คชจ.ขาย (Page1-6)'!$B$237:$O$297,14,0)</f>
        <v>31969</v>
      </c>
      <c r="AD33" s="409">
        <f>VLOOKUP(A33,'[7]งบเปรียบเทียบ&amp;คชจ.ขาย (Page1-6)'!$B$237:$AE$298,30,0)</f>
        <v>39697</v>
      </c>
      <c r="AE33" s="409">
        <f>VLOOKUP(A33,'[9]งบเปรียบเทียบ&amp;คชจ.ขาย (Page1-6)'!$B$237:$AC$302,28,0)</f>
        <v>50048</v>
      </c>
      <c r="AF33" s="409">
        <f>VLOOKUP(A33,'[10]งบเปรียบเทียบ&amp;คชจ.ขาย (Page1-6)'!$B$237:$AA$302,26,0)</f>
        <v>36077</v>
      </c>
    </row>
    <row r="34" spans="1:32" ht="14.25">
      <c r="A34" s="87" t="s">
        <v>204</v>
      </c>
      <c r="B34" s="87" t="s">
        <v>205</v>
      </c>
      <c r="C34" s="87" t="s">
        <v>335</v>
      </c>
      <c r="D34" s="94" t="s">
        <v>86</v>
      </c>
      <c r="E34" s="109" t="str">
        <f>D34</f>
        <v>100% For MFC</v>
      </c>
      <c r="F34" s="91">
        <f t="shared" si="10"/>
        <v>41654</v>
      </c>
      <c r="G34" s="91">
        <f t="shared" si="10"/>
        <v>67538.599999999991</v>
      </c>
      <c r="H34" s="91">
        <f t="shared" si="10"/>
        <v>93372.989999999991</v>
      </c>
      <c r="I34" s="91">
        <f t="shared" si="10"/>
        <v>119779.25</v>
      </c>
      <c r="J34" s="91">
        <f t="shared" si="11"/>
        <v>148990.34999999998</v>
      </c>
      <c r="K34" s="91">
        <f t="shared" si="11"/>
        <v>178523.03000000003</v>
      </c>
      <c r="L34" s="91">
        <f t="shared" si="11"/>
        <v>199048.7</v>
      </c>
      <c r="M34" s="91">
        <f t="shared" si="11"/>
        <v>214188.09999999998</v>
      </c>
      <c r="N34" s="91">
        <f t="shared" si="11"/>
        <v>230921.96000000002</v>
      </c>
      <c r="O34" s="91">
        <f t="shared" si="11"/>
        <v>252697.37</v>
      </c>
      <c r="P34" s="91">
        <f t="shared" si="11"/>
        <v>274773.50999999989</v>
      </c>
      <c r="Q34" s="91">
        <f t="shared" si="11"/>
        <v>299626.51</v>
      </c>
      <c r="R34" s="91">
        <f t="shared" si="11"/>
        <v>319770.14000000013</v>
      </c>
      <c r="S34" s="118"/>
      <c r="T34" s="117">
        <v>41654</v>
      </c>
      <c r="U34" s="117">
        <v>67538.599999999991</v>
      </c>
      <c r="V34" s="117">
        <v>93372.989999999991</v>
      </c>
      <c r="W34" s="117">
        <v>119779.25</v>
      </c>
      <c r="X34" s="117">
        <v>148990.34999999998</v>
      </c>
      <c r="Y34" s="117">
        <v>178523.03000000003</v>
      </c>
      <c r="Z34" s="117">
        <v>199048.7</v>
      </c>
      <c r="AA34" s="117">
        <v>214188.09999999998</v>
      </c>
      <c r="AB34" s="117">
        <v>230921.96000000002</v>
      </c>
      <c r="AC34" s="117">
        <f>VLOOKUP(A34,'[8]งบเปรียบเทียบ&amp;คชจ.ขาย (Page1-6)'!$B$237:$O$297,14,0)</f>
        <v>252697.37</v>
      </c>
      <c r="AD34" s="409">
        <f>VLOOKUP(A34,'[7]งบเปรียบเทียบ&amp;คชจ.ขาย (Page1-6)'!$B$237:$AE$298,30,0)</f>
        <v>274773.50999999989</v>
      </c>
      <c r="AE34" s="409">
        <f>VLOOKUP(A34,'[9]งบเปรียบเทียบ&amp;คชจ.ขาย (Page1-6)'!$B$237:$AC$302,28,0)</f>
        <v>299626.51</v>
      </c>
      <c r="AF34" s="409">
        <f>VLOOKUP(A34,'[10]งบเปรียบเทียบ&amp;คชจ.ขาย (Page1-6)'!$B$237:$AA$302,26,0)</f>
        <v>319770.14000000013</v>
      </c>
    </row>
    <row r="35" spans="1:32" ht="14.25">
      <c r="A35" s="87" t="s">
        <v>127</v>
      </c>
      <c r="B35" s="87" t="s">
        <v>96</v>
      </c>
      <c r="C35" s="87" t="s">
        <v>338</v>
      </c>
      <c r="D35" s="92" t="s">
        <v>153</v>
      </c>
      <c r="E35" s="109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118"/>
      <c r="T35" s="117">
        <v>92669.870000000112</v>
      </c>
      <c r="U35" s="117">
        <v>216631.43000000005</v>
      </c>
      <c r="V35" s="117">
        <v>174900.82999999984</v>
      </c>
      <c r="W35" s="117">
        <v>104267.46999999997</v>
      </c>
      <c r="X35" s="117">
        <v>151602.70999999996</v>
      </c>
      <c r="Y35" s="117">
        <v>163342.70999999996</v>
      </c>
      <c r="Z35" s="117">
        <v>141104.15</v>
      </c>
      <c r="AA35" s="117">
        <v>128990.21000000005</v>
      </c>
      <c r="AB35" s="117">
        <v>149072.67999999993</v>
      </c>
      <c r="AC35" s="117">
        <f>VLOOKUP(A35,'[8]งบเปรียบเทียบ&amp;คชจ.ขาย (Page1-6)'!$B$237:$O$297,14,0)</f>
        <v>147330.09000000003</v>
      </c>
      <c r="AD35" s="409">
        <f>VLOOKUP(A35,'[7]งบเปรียบเทียบ&amp;คชจ.ขาย (Page1-6)'!$B$237:$AE$298,30,0)</f>
        <v>203156.55999999994</v>
      </c>
      <c r="AE35" s="409">
        <f>VLOOKUP(A35,'[9]งบเปรียบเทียบ&amp;คชจ.ขาย (Page1-6)'!$B$237:$AC$302,28,0)</f>
        <v>189825.15000000014</v>
      </c>
      <c r="AF35" s="409">
        <f>VLOOKUP(A35,'[10]งบเปรียบเทียบ&amp;คชจ.ขาย (Page1-6)'!$B$237:$AA$302,26,0)</f>
        <v>205045.52000000002</v>
      </c>
    </row>
    <row r="36" spans="1:32" ht="38.25">
      <c r="A36" s="87" t="s">
        <v>19</v>
      </c>
      <c r="B36" s="87" t="s">
        <v>20</v>
      </c>
      <c r="C36" s="87" t="s">
        <v>336</v>
      </c>
      <c r="D36" s="93" t="s">
        <v>155</v>
      </c>
      <c r="E36" s="109" t="s">
        <v>86</v>
      </c>
      <c r="F36" s="91">
        <f t="shared" ref="F36:R38" si="12">T36</f>
        <v>44158.920000000042</v>
      </c>
      <c r="G36" s="91">
        <f t="shared" si="12"/>
        <v>42040.469999999972</v>
      </c>
      <c r="H36" s="91">
        <f t="shared" si="12"/>
        <v>46344.080000000016</v>
      </c>
      <c r="I36" s="91">
        <f t="shared" si="12"/>
        <v>49783.640000000014</v>
      </c>
      <c r="J36" s="91">
        <f t="shared" si="12"/>
        <v>53709.069999999949</v>
      </c>
      <c r="K36" s="91">
        <f t="shared" si="12"/>
        <v>69835.850000000035</v>
      </c>
      <c r="L36" s="91">
        <f t="shared" si="12"/>
        <v>54283.54</v>
      </c>
      <c r="M36" s="91">
        <f t="shared" si="12"/>
        <v>61843.35</v>
      </c>
      <c r="N36" s="91">
        <f t="shared" si="12"/>
        <v>56188.900000000009</v>
      </c>
      <c r="O36" s="91">
        <f t="shared" si="12"/>
        <v>78284.899999999965</v>
      </c>
      <c r="P36" s="91">
        <f t="shared" si="12"/>
        <v>75405.550000000017</v>
      </c>
      <c r="Q36" s="91">
        <f t="shared" si="12"/>
        <v>93117.990000000049</v>
      </c>
      <c r="R36" s="91">
        <f t="shared" si="12"/>
        <v>77276.159999999974</v>
      </c>
      <c r="S36" s="118"/>
      <c r="T36" s="117">
        <v>44158.920000000042</v>
      </c>
      <c r="U36" s="117">
        <v>42040.469999999972</v>
      </c>
      <c r="V36" s="117">
        <v>46344.080000000016</v>
      </c>
      <c r="W36" s="117">
        <v>49783.640000000014</v>
      </c>
      <c r="X36" s="117">
        <v>53709.069999999949</v>
      </c>
      <c r="Y36" s="117">
        <v>69835.850000000035</v>
      </c>
      <c r="Z36" s="117">
        <v>54283.54</v>
      </c>
      <c r="AA36" s="117">
        <v>61843.35</v>
      </c>
      <c r="AB36" s="117">
        <v>56188.900000000009</v>
      </c>
      <c r="AC36" s="117">
        <f>VLOOKUP(A36,'[8]งบเปรียบเทียบ&amp;คชจ.ขาย (Page1-6)'!$B$237:$O$297,14,0)</f>
        <v>78284.899999999965</v>
      </c>
      <c r="AD36" s="409">
        <f>VLOOKUP(A36,'[7]งบเปรียบเทียบ&amp;คชจ.ขาย (Page1-6)'!$B$237:$AE$298,30,0)</f>
        <v>75405.550000000017</v>
      </c>
      <c r="AE36" s="409">
        <f>VLOOKUP(A36,'[9]งบเปรียบเทียบ&amp;คชจ.ขาย (Page1-6)'!$B$237:$AC$302,28,0)</f>
        <v>93117.990000000049</v>
      </c>
      <c r="AF36" s="409">
        <f>VLOOKUP(A36,'[10]งบเปรียบเทียบ&amp;คชจ.ขาย (Page1-6)'!$B$237:$AA$302,26,0)</f>
        <v>77276.159999999974</v>
      </c>
    </row>
    <row r="37" spans="1:32" ht="14.25">
      <c r="A37" s="87" t="s">
        <v>455</v>
      </c>
      <c r="B37" s="87" t="s">
        <v>21</v>
      </c>
      <c r="C37" s="87" t="s">
        <v>336</v>
      </c>
      <c r="D37" s="92" t="s">
        <v>55</v>
      </c>
      <c r="E37" s="109" t="str">
        <f>E36</f>
        <v>100% For MFC</v>
      </c>
      <c r="F37" s="91">
        <f t="shared" si="12"/>
        <v>394351.46999999974</v>
      </c>
      <c r="G37" s="91">
        <f t="shared" si="12"/>
        <v>326261.37999999989</v>
      </c>
      <c r="H37" s="91">
        <f t="shared" si="12"/>
        <v>344398</v>
      </c>
      <c r="I37" s="91">
        <f t="shared" si="12"/>
        <v>302789.0700000003</v>
      </c>
      <c r="J37" s="91">
        <f t="shared" si="12"/>
        <v>429679.78000000026</v>
      </c>
      <c r="K37" s="91">
        <f t="shared" si="12"/>
        <v>331466.09999999963</v>
      </c>
      <c r="L37" s="91">
        <f t="shared" si="12"/>
        <v>511962.54000000004</v>
      </c>
      <c r="M37" s="91">
        <f t="shared" si="12"/>
        <v>318787.34999999998</v>
      </c>
      <c r="N37" s="91">
        <f t="shared" si="12"/>
        <v>425948.31999999995</v>
      </c>
      <c r="O37" s="91">
        <f t="shared" si="12"/>
        <v>340648.49000000022</v>
      </c>
      <c r="P37" s="91">
        <f t="shared" si="12"/>
        <v>369344.44999999972</v>
      </c>
      <c r="Q37" s="91">
        <f t="shared" si="12"/>
        <v>342129.63000000035</v>
      </c>
      <c r="R37" s="91">
        <f t="shared" si="12"/>
        <v>341847.36999999965</v>
      </c>
      <c r="S37" s="118"/>
      <c r="T37" s="117">
        <v>394351.46999999974</v>
      </c>
      <c r="U37" s="117">
        <v>326261.37999999989</v>
      </c>
      <c r="V37" s="117">
        <v>344398</v>
      </c>
      <c r="W37" s="117">
        <v>302789.0700000003</v>
      </c>
      <c r="X37" s="117">
        <v>429679.78000000026</v>
      </c>
      <c r="Y37" s="117">
        <v>331466.09999999963</v>
      </c>
      <c r="Z37" s="117">
        <v>511962.54000000004</v>
      </c>
      <c r="AA37" s="117">
        <v>318787.34999999998</v>
      </c>
      <c r="AB37" s="117">
        <v>425948.31999999995</v>
      </c>
      <c r="AC37" s="117">
        <f>VLOOKUP(A37,'[8]งบเปรียบเทียบ&amp;คชจ.ขาย (Page1-6)'!$B$237:$O$297,14,0)</f>
        <v>340648.49000000022</v>
      </c>
      <c r="AD37" s="409">
        <f>VLOOKUP(A37,'[7]งบเปรียบเทียบ&amp;คชจ.ขาย (Page1-6)'!$B$237:$AE$298,30,0)</f>
        <v>369344.44999999972</v>
      </c>
      <c r="AE37" s="409">
        <f>VLOOKUP(A37,'[9]งบเปรียบเทียบ&amp;คชจ.ขาย (Page1-6)'!$B$237:$AC$302,28,0)</f>
        <v>342129.63000000035</v>
      </c>
      <c r="AF37" s="409">
        <f>VLOOKUP(A37,'[10]งบเปรียบเทียบ&amp;คชจ.ขาย (Page1-6)'!$B$237:$AA$302,26,0)</f>
        <v>341847.36999999965</v>
      </c>
    </row>
    <row r="38" spans="1:32" ht="14.25">
      <c r="A38" s="87" t="s">
        <v>22</v>
      </c>
      <c r="B38" s="87" t="s">
        <v>23</v>
      </c>
      <c r="C38" s="87" t="s">
        <v>336</v>
      </c>
      <c r="D38" s="92" t="s">
        <v>54</v>
      </c>
      <c r="E38" s="109" t="str">
        <f>E36</f>
        <v>100% For MFC</v>
      </c>
      <c r="F38" s="91">
        <f t="shared" si="12"/>
        <v>166550.71999999997</v>
      </c>
      <c r="G38" s="91">
        <f t="shared" si="12"/>
        <v>25795</v>
      </c>
      <c r="H38" s="91">
        <f t="shared" si="12"/>
        <v>116380.56000000006</v>
      </c>
      <c r="I38" s="91">
        <f t="shared" si="12"/>
        <v>46977.959999999963</v>
      </c>
      <c r="J38" s="91">
        <f t="shared" si="12"/>
        <v>127711.00000000012</v>
      </c>
      <c r="K38" s="91">
        <f t="shared" si="12"/>
        <v>73176.25</v>
      </c>
      <c r="L38" s="91">
        <f t="shared" si="12"/>
        <v>64297.4</v>
      </c>
      <c r="M38" s="91">
        <f t="shared" si="12"/>
        <v>182455.4</v>
      </c>
      <c r="N38" s="91">
        <f t="shared" si="12"/>
        <v>98682.81</v>
      </c>
      <c r="O38" s="91">
        <f t="shared" si="12"/>
        <v>35744.299999999988</v>
      </c>
      <c r="P38" s="91">
        <f t="shared" si="12"/>
        <v>68356.910000000033</v>
      </c>
      <c r="Q38" s="91">
        <f t="shared" si="12"/>
        <v>55419.27999999997</v>
      </c>
      <c r="R38" s="91">
        <f t="shared" si="12"/>
        <v>14366.20000000007</v>
      </c>
      <c r="S38" s="118"/>
      <c r="T38" s="117">
        <v>166550.71999999997</v>
      </c>
      <c r="U38" s="117">
        <v>25795</v>
      </c>
      <c r="V38" s="117">
        <v>116380.56000000006</v>
      </c>
      <c r="W38" s="117">
        <v>46977.959999999963</v>
      </c>
      <c r="X38" s="117">
        <v>127711.00000000012</v>
      </c>
      <c r="Y38" s="117">
        <v>73176.25</v>
      </c>
      <c r="Z38" s="117">
        <v>64297.4</v>
      </c>
      <c r="AA38" s="117">
        <v>182455.4</v>
      </c>
      <c r="AB38" s="117">
        <v>98682.81</v>
      </c>
      <c r="AC38" s="117">
        <f>VLOOKUP(A38,'[8]งบเปรียบเทียบ&amp;คชจ.ขาย (Page1-6)'!$B$237:$O$297,14,0)</f>
        <v>35744.299999999988</v>
      </c>
      <c r="AD38" s="409">
        <f>VLOOKUP(A38,'[7]งบเปรียบเทียบ&amp;คชจ.ขาย (Page1-6)'!$B$237:$AE$298,30,0)</f>
        <v>68356.910000000033</v>
      </c>
      <c r="AE38" s="409">
        <f>VLOOKUP(A38,'[9]งบเปรียบเทียบ&amp;คชจ.ขาย (Page1-6)'!$B$237:$AC$302,28,0)</f>
        <v>55419.27999999997</v>
      </c>
      <c r="AF38" s="409">
        <f>VLOOKUP(A38,'[10]งบเปรียบเทียบ&amp;คชจ.ขาย (Page1-6)'!$B$237:$AA$302,26,0)</f>
        <v>14366.20000000007</v>
      </c>
    </row>
    <row r="39" spans="1:32" ht="14.25">
      <c r="A39" s="87" t="s">
        <v>128</v>
      </c>
      <c r="B39" s="87" t="s">
        <v>97</v>
      </c>
      <c r="C39" s="87" t="s">
        <v>337</v>
      </c>
      <c r="D39" s="92" t="s">
        <v>55</v>
      </c>
      <c r="E39" s="198" t="s">
        <v>227</v>
      </c>
      <c r="F39" s="91">
        <f t="shared" ref="F39:R39" si="13">F$9*T39</f>
        <v>8088.5625136452954</v>
      </c>
      <c r="G39" s="91">
        <f t="shared" si="13"/>
        <v>9030.8399511527205</v>
      </c>
      <c r="H39" s="91">
        <f t="shared" si="13"/>
        <v>10140.645485327314</v>
      </c>
      <c r="I39" s="91">
        <f t="shared" si="13"/>
        <v>10609.273264458083</v>
      </c>
      <c r="J39" s="91">
        <f t="shared" si="13"/>
        <v>11561.585578967717</v>
      </c>
      <c r="K39" s="91">
        <f t="shared" si="13"/>
        <v>12491.589504235959</v>
      </c>
      <c r="L39" s="91">
        <f t="shared" si="13"/>
        <v>13305.459157023466</v>
      </c>
      <c r="M39" s="91">
        <f t="shared" si="13"/>
        <v>14584.431687715271</v>
      </c>
      <c r="N39" s="91">
        <f t="shared" si="13"/>
        <v>17654.9889373611</v>
      </c>
      <c r="O39" s="91">
        <f t="shared" si="13"/>
        <v>16111.972497923931</v>
      </c>
      <c r="P39" s="91">
        <f t="shared" si="13"/>
        <v>16287.647880299253</v>
      </c>
      <c r="Q39" s="91">
        <f t="shared" si="13"/>
        <v>16962.209834703517</v>
      </c>
      <c r="R39" s="91">
        <f t="shared" si="13"/>
        <v>17704.441048587953</v>
      </c>
      <c r="S39" s="118"/>
      <c r="T39" s="117">
        <v>25117.5</v>
      </c>
      <c r="U39" s="117">
        <v>25458</v>
      </c>
      <c r="V39" s="117">
        <v>26151</v>
      </c>
      <c r="W39" s="117">
        <v>25405.5</v>
      </c>
      <c r="X39" s="117">
        <v>25633.5</v>
      </c>
      <c r="Y39" s="117">
        <v>25511.5</v>
      </c>
      <c r="Z39" s="117">
        <v>25632.5</v>
      </c>
      <c r="AA39" s="117">
        <v>26215</v>
      </c>
      <c r="AB39" s="117">
        <v>29493.360000000001</v>
      </c>
      <c r="AC39" s="117">
        <f>VLOOKUP(A39,'[8]งบเปรียบเทียบ&amp;คชจ.ขาย (Page1-6)'!$B$237:$O$297,14,0)</f>
        <v>25455.309999999998</v>
      </c>
      <c r="AD39" s="409">
        <f>VLOOKUP(A39,'[7]งบเปรียบเทียบ&amp;คชจ.ขาย (Page1-6)'!$B$237:$AE$298,30,0)</f>
        <v>24250.050000000003</v>
      </c>
      <c r="AE39" s="409">
        <f>VLOOKUP(A39,'[9]งบเปรียบเทียบ&amp;คชจ.ขาย (Page1-6)'!$B$237:$AC$302,28,0)</f>
        <v>24374.25</v>
      </c>
      <c r="AF39" s="409">
        <f>VLOOKUP(A39,'[10]งบเปรียบเทียบ&amp;คชจ.ขาย (Page1-6)'!$B$237:$AA$302,26,0)</f>
        <v>23922</v>
      </c>
    </row>
    <row r="40" spans="1:32" ht="14.25">
      <c r="A40" s="87" t="s">
        <v>129</v>
      </c>
      <c r="B40" s="87" t="s">
        <v>98</v>
      </c>
      <c r="C40" s="87" t="s">
        <v>338</v>
      </c>
      <c r="D40" s="92" t="s">
        <v>53</v>
      </c>
      <c r="E40" s="109" t="s">
        <v>86</v>
      </c>
      <c r="F40" s="91">
        <f t="shared" ref="F40:R40" si="14">T40</f>
        <v>0</v>
      </c>
      <c r="G40" s="91">
        <f t="shared" si="14"/>
        <v>0</v>
      </c>
      <c r="H40" s="91">
        <f t="shared" si="14"/>
        <v>0</v>
      </c>
      <c r="I40" s="91">
        <f t="shared" si="14"/>
        <v>0</v>
      </c>
      <c r="J40" s="91">
        <f t="shared" si="14"/>
        <v>0</v>
      </c>
      <c r="K40" s="91">
        <f t="shared" si="14"/>
        <v>0</v>
      </c>
      <c r="L40" s="91">
        <f t="shared" si="14"/>
        <v>0</v>
      </c>
      <c r="M40" s="91">
        <f t="shared" si="14"/>
        <v>762.49</v>
      </c>
      <c r="N40" s="91">
        <f t="shared" si="14"/>
        <v>0</v>
      </c>
      <c r="O40" s="91">
        <f t="shared" si="14"/>
        <v>0</v>
      </c>
      <c r="P40" s="91">
        <f t="shared" si="14"/>
        <v>1072.06</v>
      </c>
      <c r="Q40" s="91">
        <f t="shared" si="14"/>
        <v>8380.2400000000016</v>
      </c>
      <c r="R40" s="91">
        <f t="shared" si="14"/>
        <v>0</v>
      </c>
      <c r="S40" s="118"/>
      <c r="T40" s="117">
        <v>0</v>
      </c>
      <c r="U40" s="117">
        <v>0</v>
      </c>
      <c r="V40" s="117">
        <v>0</v>
      </c>
      <c r="W40" s="117">
        <v>0</v>
      </c>
      <c r="X40" s="117">
        <v>0</v>
      </c>
      <c r="Y40" s="117">
        <v>0</v>
      </c>
      <c r="Z40" s="117">
        <v>0</v>
      </c>
      <c r="AA40" s="117">
        <v>762.49</v>
      </c>
      <c r="AB40" s="117">
        <v>0</v>
      </c>
      <c r="AC40" s="117">
        <f>VLOOKUP(A40,'[8]งบเปรียบเทียบ&amp;คชจ.ขาย (Page1-6)'!$B$237:$O$297,14,0)</f>
        <v>0</v>
      </c>
      <c r="AD40" s="409">
        <f>VLOOKUP(A40,'[7]งบเปรียบเทียบ&amp;คชจ.ขาย (Page1-6)'!$B$237:$AE$298,30,0)</f>
        <v>1072.06</v>
      </c>
      <c r="AE40" s="409">
        <f>VLOOKUP(A40,'[9]งบเปรียบเทียบ&amp;คชจ.ขาย (Page1-6)'!$B$237:$AC$302,28,0)</f>
        <v>8380.2400000000016</v>
      </c>
      <c r="AF40" s="409">
        <f>VLOOKUP(A40,'[10]งบเปรียบเทียบ&amp;คชจ.ขาย (Page1-6)'!$B$237:$AA$302,26,0)</f>
        <v>0</v>
      </c>
    </row>
    <row r="41" spans="1:32" ht="14.25">
      <c r="A41" s="87" t="s">
        <v>130</v>
      </c>
      <c r="B41" s="87" t="s">
        <v>99</v>
      </c>
      <c r="C41" s="87" t="s">
        <v>329</v>
      </c>
      <c r="D41" s="92" t="s">
        <v>55</v>
      </c>
      <c r="E41" s="198" t="s">
        <v>227</v>
      </c>
      <c r="F41" s="91">
        <f t="shared" ref="F41:R41" si="15">F$9*T41</f>
        <v>7388.928826140751</v>
      </c>
      <c r="G41" s="91">
        <f t="shared" si="15"/>
        <v>7623.6777263812237</v>
      </c>
      <c r="H41" s="91">
        <f t="shared" si="15"/>
        <v>8794.8956275395067</v>
      </c>
      <c r="I41" s="91">
        <f t="shared" si="15"/>
        <v>8958.8486043231278</v>
      </c>
      <c r="J41" s="91">
        <f t="shared" si="15"/>
        <v>9203.0960904697567</v>
      </c>
      <c r="K41" s="91">
        <f t="shared" si="15"/>
        <v>11266.942204267323</v>
      </c>
      <c r="L41" s="91">
        <f t="shared" si="15"/>
        <v>10528.351715686274</v>
      </c>
      <c r="M41" s="91">
        <f t="shared" si="15"/>
        <v>11030.264379202888</v>
      </c>
      <c r="N41" s="91">
        <f t="shared" si="15"/>
        <v>14723.511171701373</v>
      </c>
      <c r="O41" s="91">
        <f t="shared" si="15"/>
        <v>12236.721607706362</v>
      </c>
      <c r="P41" s="91">
        <f t="shared" si="15"/>
        <v>14539.157373233578</v>
      </c>
      <c r="Q41" s="91">
        <f t="shared" si="15"/>
        <v>14324.687720832604</v>
      </c>
      <c r="R41" s="91">
        <f t="shared" si="15"/>
        <v>14638.150569462627</v>
      </c>
      <c r="S41" s="118"/>
      <c r="T41" s="117">
        <v>22944.920000000013</v>
      </c>
      <c r="U41" s="117">
        <v>21491.199999999983</v>
      </c>
      <c r="V41" s="117">
        <v>22680.540000000008</v>
      </c>
      <c r="W41" s="117">
        <v>21453.309999999998</v>
      </c>
      <c r="X41" s="117">
        <v>20404.430000000022</v>
      </c>
      <c r="Y41" s="117">
        <v>23010.409999999974</v>
      </c>
      <c r="Z41" s="117">
        <v>20282.5</v>
      </c>
      <c r="AA41" s="117">
        <v>19826.510000000002</v>
      </c>
      <c r="AB41" s="117">
        <v>24596.21</v>
      </c>
      <c r="AC41" s="117">
        <f>VLOOKUP(A41,'[8]งบเปรียบเทียบ&amp;คชจ.ขาย (Page1-6)'!$B$237:$O$297,14,0)</f>
        <v>19332.800000000003</v>
      </c>
      <c r="AD41" s="409">
        <f>VLOOKUP(A41,'[7]งบเปรียบเทียบ&amp;คชจ.ขาย (Page1-6)'!$B$237:$AE$298,30,0)</f>
        <v>21646.789999999994</v>
      </c>
      <c r="AE41" s="409">
        <f>VLOOKUP(A41,'[9]งบเปรียบเทียบ&amp;คชจ.ขาย (Page1-6)'!$B$237:$AC$302,28,0)</f>
        <v>20584.199999999997</v>
      </c>
      <c r="AF41" s="409">
        <f>VLOOKUP(A41,'[10]งบเปรียบเทียบ&amp;คชจ.ขาย (Page1-6)'!$B$237:$AA$302,26,0)</f>
        <v>19778.87000000001</v>
      </c>
    </row>
    <row r="42" spans="1:32" ht="14.25">
      <c r="A42" s="515" t="s">
        <v>497</v>
      </c>
      <c r="B42" s="87" t="s">
        <v>100</v>
      </c>
      <c r="C42" s="87" t="s">
        <v>329</v>
      </c>
      <c r="D42" s="92" t="s">
        <v>55</v>
      </c>
      <c r="E42" s="109" t="s">
        <v>86</v>
      </c>
      <c r="F42" s="91">
        <f t="shared" ref="F42:R46" si="16">T42</f>
        <v>3506</v>
      </c>
      <c r="G42" s="91">
        <f t="shared" si="16"/>
        <v>4020</v>
      </c>
      <c r="H42" s="91">
        <f t="shared" si="16"/>
        <v>3612</v>
      </c>
      <c r="I42" s="91">
        <f t="shared" si="16"/>
        <v>3616</v>
      </c>
      <c r="J42" s="91">
        <f t="shared" ref="J42:R43" si="17">X42</f>
        <v>4702</v>
      </c>
      <c r="K42" s="91">
        <f t="shared" si="17"/>
        <v>5176</v>
      </c>
      <c r="L42" s="91">
        <f t="shared" si="17"/>
        <v>4258</v>
      </c>
      <c r="M42" s="91">
        <f t="shared" si="17"/>
        <v>9606.4500000000007</v>
      </c>
      <c r="N42" s="91">
        <f t="shared" si="17"/>
        <v>22265.37</v>
      </c>
      <c r="O42" s="91">
        <f t="shared" si="17"/>
        <v>12088</v>
      </c>
      <c r="P42" s="91">
        <f t="shared" si="17"/>
        <v>15105</v>
      </c>
      <c r="Q42" s="91">
        <f t="shared" si="17"/>
        <v>16045.70000000007</v>
      </c>
      <c r="R42" s="91">
        <f t="shared" si="17"/>
        <v>14500</v>
      </c>
      <c r="S42" s="118"/>
      <c r="T42" s="117">
        <v>3506</v>
      </c>
      <c r="U42" s="117">
        <v>4020</v>
      </c>
      <c r="V42" s="117">
        <v>3612</v>
      </c>
      <c r="W42" s="117">
        <v>3616</v>
      </c>
      <c r="X42" s="117">
        <v>4702</v>
      </c>
      <c r="Y42" s="117">
        <v>5176</v>
      </c>
      <c r="Z42" s="117">
        <v>4258</v>
      </c>
      <c r="AA42" s="117">
        <v>9606.4500000000007</v>
      </c>
      <c r="AB42" s="117">
        <v>22265.37</v>
      </c>
      <c r="AC42" s="117">
        <v>12088</v>
      </c>
      <c r="AD42" s="409">
        <v>15105</v>
      </c>
      <c r="AE42" s="516">
        <v>16045.70000000007</v>
      </c>
      <c r="AF42" s="516">
        <f>VLOOKUP(A42,'[10]งบเปรียบเทียบ&amp;คชจ.ขาย (Page1-6)'!$B$237:$AA$302,26,0)</f>
        <v>14500</v>
      </c>
    </row>
    <row r="43" spans="1:32" ht="14.25">
      <c r="A43" s="87" t="s">
        <v>131</v>
      </c>
      <c r="B43" s="87" t="s">
        <v>24</v>
      </c>
      <c r="C43" s="87" t="s">
        <v>329</v>
      </c>
      <c r="D43" s="92" t="s">
        <v>86</v>
      </c>
      <c r="E43" s="109" t="str">
        <f>D43</f>
        <v>100% For MFC</v>
      </c>
      <c r="F43" s="91">
        <f t="shared" si="16"/>
        <v>110660</v>
      </c>
      <c r="G43" s="91">
        <f t="shared" si="16"/>
        <v>110880</v>
      </c>
      <c r="H43" s="91">
        <f t="shared" si="16"/>
        <v>111110</v>
      </c>
      <c r="I43" s="91">
        <f t="shared" si="16"/>
        <v>161380</v>
      </c>
      <c r="J43" s="91">
        <f t="shared" si="17"/>
        <v>111350</v>
      </c>
      <c r="K43" s="91">
        <f t="shared" si="17"/>
        <v>112064</v>
      </c>
      <c r="L43" s="91">
        <f t="shared" si="17"/>
        <v>108220</v>
      </c>
      <c r="M43" s="91">
        <f t="shared" si="17"/>
        <v>97441.78</v>
      </c>
      <c r="N43" s="91">
        <f t="shared" si="17"/>
        <v>74753.000000000029</v>
      </c>
      <c r="O43" s="91">
        <f t="shared" si="17"/>
        <v>-12434.880000000005</v>
      </c>
      <c r="P43" s="91">
        <f t="shared" si="17"/>
        <v>35144</v>
      </c>
      <c r="Q43" s="91">
        <f t="shared" si="17"/>
        <v>38405</v>
      </c>
      <c r="R43" s="91">
        <f t="shared" si="17"/>
        <v>37950.139999999956</v>
      </c>
      <c r="S43" s="118"/>
      <c r="T43" s="117">
        <v>110660</v>
      </c>
      <c r="U43" s="117">
        <v>110880</v>
      </c>
      <c r="V43" s="117">
        <v>111110</v>
      </c>
      <c r="W43" s="117">
        <v>161380</v>
      </c>
      <c r="X43" s="117">
        <v>111350</v>
      </c>
      <c r="Y43" s="117">
        <v>112064</v>
      </c>
      <c r="Z43" s="117">
        <v>108220</v>
      </c>
      <c r="AA43" s="117">
        <v>97441.78</v>
      </c>
      <c r="AB43" s="117">
        <v>74753.000000000029</v>
      </c>
      <c r="AC43" s="117">
        <f>VLOOKUP(A43,'[8]งบเปรียบเทียบ&amp;คชจ.ขาย (Page1-6)'!$B$237:$O$297,14,0)</f>
        <v>-12434.880000000005</v>
      </c>
      <c r="AD43" s="409">
        <f>VLOOKUP(A43,'[7]งบเปรียบเทียบ&amp;คชจ.ขาย (Page1-6)'!$B$237:$AE$298,30,0)</f>
        <v>35144</v>
      </c>
      <c r="AE43" s="409">
        <f>VLOOKUP(A43,'[9]งบเปรียบเทียบ&amp;คชจ.ขาย (Page1-6)'!$B$237:$AC$302,28,0)</f>
        <v>38405</v>
      </c>
      <c r="AF43" s="409">
        <f>VLOOKUP(A43,'[10]งบเปรียบเทียบ&amp;คชจ.ขาย (Page1-6)'!$B$237:$AA$302,26,0)</f>
        <v>37950.139999999956</v>
      </c>
    </row>
    <row r="44" spans="1:32" ht="14.25">
      <c r="A44" s="87" t="s">
        <v>25</v>
      </c>
      <c r="B44" s="87" t="s">
        <v>26</v>
      </c>
      <c r="C44" s="87" t="s">
        <v>329</v>
      </c>
      <c r="D44" s="92" t="s">
        <v>86</v>
      </c>
      <c r="E44" s="109" t="str">
        <f>D44</f>
        <v>100% For MFC</v>
      </c>
      <c r="F44" s="91">
        <f t="shared" si="16"/>
        <v>3862</v>
      </c>
      <c r="G44" s="91">
        <f t="shared" si="16"/>
        <v>11314</v>
      </c>
      <c r="H44" s="91">
        <f t="shared" si="16"/>
        <v>4294.2099999999991</v>
      </c>
      <c r="I44" s="91">
        <f t="shared" si="16"/>
        <v>5478</v>
      </c>
      <c r="J44" s="91">
        <f t="shared" si="16"/>
        <v>3558</v>
      </c>
      <c r="K44" s="91">
        <f t="shared" si="16"/>
        <v>4503</v>
      </c>
      <c r="L44" s="91">
        <f t="shared" si="16"/>
        <v>2070</v>
      </c>
      <c r="M44" s="91">
        <f t="shared" si="16"/>
        <v>783</v>
      </c>
      <c r="N44" s="91">
        <f t="shared" si="16"/>
        <v>8720</v>
      </c>
      <c r="O44" s="91">
        <f t="shared" si="16"/>
        <v>400</v>
      </c>
      <c r="P44" s="91">
        <f t="shared" si="16"/>
        <v>350</v>
      </c>
      <c r="Q44" s="91">
        <f t="shared" si="16"/>
        <v>60</v>
      </c>
      <c r="R44" s="91">
        <f t="shared" si="16"/>
        <v>2860</v>
      </c>
      <c r="S44" s="118"/>
      <c r="T44" s="117">
        <v>3862</v>
      </c>
      <c r="U44" s="117">
        <v>11314</v>
      </c>
      <c r="V44" s="117">
        <v>4294.2099999999991</v>
      </c>
      <c r="W44" s="117">
        <v>5478</v>
      </c>
      <c r="X44" s="117">
        <v>3558</v>
      </c>
      <c r="Y44" s="117">
        <v>4503</v>
      </c>
      <c r="Z44" s="117">
        <v>2070</v>
      </c>
      <c r="AA44" s="117">
        <v>783</v>
      </c>
      <c r="AB44" s="117">
        <v>8720</v>
      </c>
      <c r="AC44" s="117">
        <f>VLOOKUP(A44,'[8]งบเปรียบเทียบ&amp;คชจ.ขาย (Page1-6)'!$B$237:$O$297,14,0)</f>
        <v>400</v>
      </c>
      <c r="AD44" s="409">
        <f>VLOOKUP(A44,'[7]งบเปรียบเทียบ&amp;คชจ.ขาย (Page1-6)'!$B$237:$AE$298,30,0)</f>
        <v>350</v>
      </c>
      <c r="AE44" s="409">
        <f>VLOOKUP(A44,'[9]งบเปรียบเทียบ&amp;คชจ.ขาย (Page1-6)'!$B$237:$AC$302,28,0)</f>
        <v>60</v>
      </c>
      <c r="AF44" s="409">
        <f>VLOOKUP(A44,'[10]งบเปรียบเทียบ&amp;คชจ.ขาย (Page1-6)'!$B$237:$AA$302,26,0)</f>
        <v>2860</v>
      </c>
    </row>
    <row r="45" spans="1:32" ht="14.25">
      <c r="A45" s="96" t="s">
        <v>27</v>
      </c>
      <c r="B45" s="87" t="s">
        <v>28</v>
      </c>
      <c r="C45" s="87" t="s">
        <v>336</v>
      </c>
      <c r="D45" s="92" t="s">
        <v>53</v>
      </c>
      <c r="E45" s="109" t="s">
        <v>86</v>
      </c>
      <c r="F45" s="91">
        <f t="shared" si="16"/>
        <v>69158.879999999946</v>
      </c>
      <c r="G45" s="91">
        <f t="shared" si="16"/>
        <v>69158.880000000063</v>
      </c>
      <c r="H45" s="91">
        <f t="shared" si="16"/>
        <v>69158.880000000005</v>
      </c>
      <c r="I45" s="91">
        <f t="shared" si="16"/>
        <v>69158.880000000005</v>
      </c>
      <c r="J45" s="91">
        <f t="shared" si="16"/>
        <v>69158.880000000005</v>
      </c>
      <c r="K45" s="91">
        <f t="shared" si="16"/>
        <v>69158.880000000005</v>
      </c>
      <c r="L45" s="91">
        <f t="shared" si="16"/>
        <v>81158.880000000005</v>
      </c>
      <c r="M45" s="91">
        <f t="shared" si="16"/>
        <v>86806.97</v>
      </c>
      <c r="N45" s="91">
        <f t="shared" si="16"/>
        <v>104348.03</v>
      </c>
      <c r="O45" s="91">
        <f t="shared" si="16"/>
        <v>96022</v>
      </c>
      <c r="P45" s="91">
        <f t="shared" si="16"/>
        <v>96022</v>
      </c>
      <c r="Q45" s="91">
        <f t="shared" si="16"/>
        <v>107322</v>
      </c>
      <c r="R45" s="91">
        <f t="shared" si="16"/>
        <v>24442.559999999939</v>
      </c>
      <c r="S45" s="118"/>
      <c r="T45" s="117">
        <v>69158.879999999946</v>
      </c>
      <c r="U45" s="117">
        <v>69158.880000000063</v>
      </c>
      <c r="V45" s="117">
        <v>69158.880000000005</v>
      </c>
      <c r="W45" s="117">
        <v>69158.880000000005</v>
      </c>
      <c r="X45" s="117">
        <v>69158.880000000005</v>
      </c>
      <c r="Y45" s="117">
        <v>69158.880000000005</v>
      </c>
      <c r="Z45" s="117">
        <v>81158.880000000005</v>
      </c>
      <c r="AA45" s="117">
        <v>86806.97</v>
      </c>
      <c r="AB45" s="117">
        <v>104348.03</v>
      </c>
      <c r="AC45" s="117">
        <f>VLOOKUP(A45,'[8]งบเปรียบเทียบ&amp;คชจ.ขาย (Page1-6)'!$B$237:$O$297,14,0)</f>
        <v>96022</v>
      </c>
      <c r="AD45" s="409">
        <f>VLOOKUP(A45,'[7]งบเปรียบเทียบ&amp;คชจ.ขาย (Page1-6)'!$B$237:$AE$298,30,0)</f>
        <v>96022</v>
      </c>
      <c r="AE45" s="409">
        <f>VLOOKUP(A45,'[9]งบเปรียบเทียบ&amp;คชจ.ขาย (Page1-6)'!$B$237:$AC$302,28,0)</f>
        <v>107322</v>
      </c>
      <c r="AF45" s="409">
        <f>VLOOKUP(A45,'[10]งบเปรียบเทียบ&amp;คชจ.ขาย (Page1-6)'!$B$237:$AA$302,26,0)</f>
        <v>24442.559999999939</v>
      </c>
    </row>
    <row r="46" spans="1:32" ht="14.25">
      <c r="A46" s="254" t="s">
        <v>362</v>
      </c>
      <c r="B46" s="255" t="s">
        <v>304</v>
      </c>
      <c r="C46" s="255" t="s">
        <v>336</v>
      </c>
      <c r="D46" s="256"/>
      <c r="E46" s="257" t="s">
        <v>86</v>
      </c>
      <c r="F46" s="91">
        <f t="shared" si="16"/>
        <v>0</v>
      </c>
      <c r="G46" s="91">
        <f t="shared" si="16"/>
        <v>0</v>
      </c>
      <c r="H46" s="91">
        <f t="shared" si="16"/>
        <v>0</v>
      </c>
      <c r="I46" s="91">
        <f t="shared" si="16"/>
        <v>32849.53</v>
      </c>
      <c r="J46" s="91">
        <f t="shared" ref="J46:R46" si="18">X46</f>
        <v>69904.659999999974</v>
      </c>
      <c r="K46" s="91">
        <f t="shared" si="18"/>
        <v>61400.34</v>
      </c>
      <c r="L46" s="91">
        <f t="shared" si="18"/>
        <v>24044.86</v>
      </c>
      <c r="M46" s="91">
        <f t="shared" si="18"/>
        <v>51696.350000000006</v>
      </c>
      <c r="N46" s="91">
        <f t="shared" si="18"/>
        <v>91715.05</v>
      </c>
      <c r="O46" s="91">
        <f t="shared" si="18"/>
        <v>95004.459999999963</v>
      </c>
      <c r="P46" s="91">
        <f t="shared" si="18"/>
        <v>11544.530000000028</v>
      </c>
      <c r="Q46" s="91">
        <f t="shared" si="18"/>
        <v>0</v>
      </c>
      <c r="R46" s="91">
        <f t="shared" si="18"/>
        <v>64625.590000000026</v>
      </c>
      <c r="S46" s="118"/>
      <c r="T46" s="117"/>
      <c r="U46" s="117"/>
      <c r="V46" s="117"/>
      <c r="W46" s="117">
        <v>32849.53</v>
      </c>
      <c r="X46" s="117">
        <v>69904.659999999974</v>
      </c>
      <c r="Y46" s="117">
        <v>61400.34</v>
      </c>
      <c r="Z46" s="117">
        <v>24044.86</v>
      </c>
      <c r="AA46" s="117">
        <v>51696.350000000006</v>
      </c>
      <c r="AB46" s="117">
        <v>91715.05</v>
      </c>
      <c r="AC46" s="117">
        <f>VLOOKUP(A46,'[8]งบเปรียบเทียบ&amp;คชจ.ขาย (Page1-6)'!$B$237:$O$297,14,0)</f>
        <v>95004.459999999963</v>
      </c>
      <c r="AD46" s="409">
        <f>VLOOKUP(A46,'[7]งบเปรียบเทียบ&amp;คชจ.ขาย (Page1-6)'!$B$237:$AE$298,30,0)</f>
        <v>11544.530000000028</v>
      </c>
      <c r="AE46" s="409">
        <f>VLOOKUP(A46,'[9]งบเปรียบเทียบ&amp;คชจ.ขาย (Page1-6)'!$B$237:$AC$302,28,0)</f>
        <v>0</v>
      </c>
      <c r="AF46" s="409">
        <f>VLOOKUP(A46,'[10]งบเปรียบเทียบ&amp;คชจ.ขาย (Page1-6)'!$B$237:$AA$302,26,0)</f>
        <v>64625.590000000026</v>
      </c>
    </row>
    <row r="47" spans="1:32" ht="14.25">
      <c r="A47" s="254" t="s">
        <v>486</v>
      </c>
      <c r="B47" s="255" t="s">
        <v>487</v>
      </c>
      <c r="C47" s="255" t="s">
        <v>336</v>
      </c>
      <c r="D47" s="256"/>
      <c r="E47" s="257" t="s">
        <v>86</v>
      </c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118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409">
        <f>VLOOKUP(A47,'[7]งบเปรียบเทียบ&amp;คชจ.ขาย (Page1-6)'!$B$237:$AE$298,30,0)</f>
        <v>6000</v>
      </c>
      <c r="AE47" s="409">
        <f>VLOOKUP(A47,'[9]งบเปรียบเทียบ&amp;คชจ.ขาย (Page1-6)'!$B$237:$AC$302,28,0)</f>
        <v>6000</v>
      </c>
      <c r="AF47" s="409">
        <f>VLOOKUP(A47,'[10]งบเปรียบเทียบ&amp;คชจ.ขาย (Page1-6)'!$B$237:$AA$302,26,0)</f>
        <v>6000</v>
      </c>
    </row>
    <row r="48" spans="1:32" ht="14.25">
      <c r="A48" s="254" t="s">
        <v>132</v>
      </c>
      <c r="B48" s="255" t="s">
        <v>101</v>
      </c>
      <c r="C48" s="255" t="s">
        <v>336</v>
      </c>
      <c r="D48" s="256" t="s">
        <v>153</v>
      </c>
      <c r="E48" s="257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118"/>
      <c r="T48" s="117">
        <v>1476</v>
      </c>
      <c r="U48" s="117">
        <v>186</v>
      </c>
      <c r="V48" s="117">
        <v>1100</v>
      </c>
      <c r="W48" s="117">
        <v>0</v>
      </c>
      <c r="X48" s="117">
        <v>0</v>
      </c>
      <c r="Y48" s="117">
        <v>1600</v>
      </c>
      <c r="Z48" s="117">
        <v>0</v>
      </c>
      <c r="AA48" s="117">
        <v>0</v>
      </c>
      <c r="AB48" s="117">
        <v>0</v>
      </c>
      <c r="AC48" s="117">
        <f>VLOOKUP(A48,'[8]งบเปรียบเทียบ&amp;คชจ.ขาย (Page1-6)'!$B$237:$O$297,14,0)</f>
        <v>-918</v>
      </c>
      <c r="AD48" s="409">
        <f>VLOOKUP(A48,'[7]งบเปรียบเทียบ&amp;คชจ.ขาย (Page1-6)'!$B$237:$AE$298,30,0)</f>
        <v>0</v>
      </c>
      <c r="AE48" s="409">
        <f>VLOOKUP(A48,'[9]งบเปรียบเทียบ&amp;คชจ.ขาย (Page1-6)'!$B$237:$AC$302,28,0)</f>
        <v>0</v>
      </c>
      <c r="AF48" s="409">
        <f>VLOOKUP(A48,'[10]งบเปรียบเทียบ&amp;คชจ.ขาย (Page1-6)'!$B$237:$AA$302,26,0)</f>
        <v>0</v>
      </c>
    </row>
    <row r="49" spans="1:32" ht="14.25">
      <c r="A49" s="96" t="s">
        <v>133</v>
      </c>
      <c r="B49" s="87"/>
      <c r="C49" s="87"/>
      <c r="D49" s="92"/>
      <c r="E49" s="109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118"/>
      <c r="T49" s="117">
        <v>0</v>
      </c>
      <c r="U49" s="117">
        <v>0</v>
      </c>
      <c r="V49" s="117">
        <v>0</v>
      </c>
      <c r="W49" s="117">
        <v>0</v>
      </c>
      <c r="X49" s="117">
        <v>0</v>
      </c>
      <c r="Y49" s="117">
        <v>0</v>
      </c>
      <c r="Z49" s="117">
        <v>0</v>
      </c>
      <c r="AA49" s="117">
        <v>0</v>
      </c>
      <c r="AB49" s="117">
        <v>0</v>
      </c>
      <c r="AC49" s="117">
        <f>VLOOKUP(A49,'[8]งบเปรียบเทียบ&amp;คชจ.ขาย (Page1-6)'!$B$237:$O$297,14,0)</f>
        <v>0</v>
      </c>
      <c r="AD49" s="409">
        <f>VLOOKUP(A49,'[7]งบเปรียบเทียบ&amp;คชจ.ขาย (Page1-6)'!$B$237:$AE$298,30,0)</f>
        <v>0</v>
      </c>
      <c r="AE49" s="409">
        <f>VLOOKUP(A49,'[9]งบเปรียบเทียบ&amp;คชจ.ขาย (Page1-6)'!$B$237:$AC$302,28,0)</f>
        <v>0</v>
      </c>
      <c r="AF49" s="409">
        <f>VLOOKUP(A49,'[10]งบเปรียบเทียบ&amp;คชจ.ขาย (Page1-6)'!$B$237:$AA$302,26,0)</f>
        <v>0</v>
      </c>
    </row>
    <row r="50" spans="1:32" ht="25.5">
      <c r="A50" s="87" t="s">
        <v>29</v>
      </c>
      <c r="B50" s="87" t="s">
        <v>30</v>
      </c>
      <c r="C50" s="87" t="s">
        <v>338</v>
      </c>
      <c r="D50" s="93" t="s">
        <v>156</v>
      </c>
      <c r="E50" s="109" t="str">
        <f>E44</f>
        <v>100% For MFC</v>
      </c>
      <c r="F50" s="91">
        <f t="shared" ref="F50:R50" si="19">T50</f>
        <v>11945.369999999995</v>
      </c>
      <c r="G50" s="91">
        <f t="shared" si="19"/>
        <v>28239.059999999998</v>
      </c>
      <c r="H50" s="91">
        <f t="shared" si="19"/>
        <v>103290.44000000002</v>
      </c>
      <c r="I50" s="91">
        <f t="shared" si="19"/>
        <v>15281.959999999992</v>
      </c>
      <c r="J50" s="91">
        <f t="shared" si="19"/>
        <v>24483.48000000001</v>
      </c>
      <c r="K50" s="91">
        <f t="shared" si="19"/>
        <v>17700.809999999969</v>
      </c>
      <c r="L50" s="91">
        <f t="shared" si="19"/>
        <v>14386.43</v>
      </c>
      <c r="M50" s="91">
        <f t="shared" si="19"/>
        <v>14422.870000000003</v>
      </c>
      <c r="N50" s="91">
        <f t="shared" si="19"/>
        <v>27623.829999999994</v>
      </c>
      <c r="O50" s="91">
        <f t="shared" si="19"/>
        <v>53866.880000000012</v>
      </c>
      <c r="P50" s="91">
        <f t="shared" si="19"/>
        <v>26109</v>
      </c>
      <c r="Q50" s="91">
        <f t="shared" si="19"/>
        <v>32869.630000000005</v>
      </c>
      <c r="R50" s="91">
        <f t="shared" si="19"/>
        <v>30342.26999999999</v>
      </c>
      <c r="S50" s="118"/>
      <c r="T50" s="117">
        <v>11945.369999999995</v>
      </c>
      <c r="U50" s="117">
        <v>28239.059999999998</v>
      </c>
      <c r="V50" s="117">
        <v>103290.44000000002</v>
      </c>
      <c r="W50" s="117">
        <v>15281.959999999992</v>
      </c>
      <c r="X50" s="117">
        <v>24483.48000000001</v>
      </c>
      <c r="Y50" s="117">
        <v>17700.809999999969</v>
      </c>
      <c r="Z50" s="117">
        <v>14386.43</v>
      </c>
      <c r="AA50" s="117">
        <v>14422.870000000003</v>
      </c>
      <c r="AB50" s="117">
        <v>27623.829999999994</v>
      </c>
      <c r="AC50" s="117">
        <f>VLOOKUP(A50,'[8]งบเปรียบเทียบ&amp;คชจ.ขาย (Page1-6)'!$B$237:$O$297,14,0)</f>
        <v>53866.880000000012</v>
      </c>
      <c r="AD50" s="409">
        <f>VLOOKUP(A50,'[7]งบเปรียบเทียบ&amp;คชจ.ขาย (Page1-6)'!$B$237:$AE$298,30,0)</f>
        <v>26109</v>
      </c>
      <c r="AE50" s="409">
        <f>VLOOKUP(A50,'[9]งบเปรียบเทียบ&amp;คชจ.ขาย (Page1-6)'!$B$237:$AC$302,28,0)</f>
        <v>32869.630000000005</v>
      </c>
      <c r="AF50" s="409">
        <f>VLOOKUP(A50,'[10]งบเปรียบเทียบ&amp;คชจ.ขาย (Page1-6)'!$B$237:$AA$302,26,0)</f>
        <v>30342.26999999999</v>
      </c>
    </row>
    <row r="51" spans="1:32" ht="14.25">
      <c r="A51" s="87" t="s">
        <v>134</v>
      </c>
      <c r="B51" s="87" t="s">
        <v>102</v>
      </c>
      <c r="C51" s="87"/>
      <c r="D51" s="92"/>
      <c r="E51" s="109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118"/>
      <c r="T51" s="117">
        <v>0</v>
      </c>
      <c r="U51" s="117">
        <v>0</v>
      </c>
      <c r="V51" s="117">
        <v>0</v>
      </c>
      <c r="W51" s="117">
        <v>0</v>
      </c>
      <c r="X51" s="117">
        <v>0</v>
      </c>
      <c r="Y51" s="117">
        <v>0</v>
      </c>
      <c r="Z51" s="117">
        <v>0</v>
      </c>
      <c r="AA51" s="117">
        <v>0</v>
      </c>
      <c r="AB51" s="117">
        <v>0</v>
      </c>
      <c r="AC51" s="117">
        <f>VLOOKUP(A51,'[8]งบเปรียบเทียบ&amp;คชจ.ขาย (Page1-6)'!$B$237:$O$297,14,0)</f>
        <v>0</v>
      </c>
      <c r="AD51" s="409">
        <f>VLOOKUP(A51,'[7]งบเปรียบเทียบ&amp;คชจ.ขาย (Page1-6)'!$B$237:$AE$298,30,0)</f>
        <v>0</v>
      </c>
      <c r="AE51" s="409">
        <f>VLOOKUP(A51,'[9]งบเปรียบเทียบ&amp;คชจ.ขาย (Page1-6)'!$B$237:$AC$302,28,0)</f>
        <v>0</v>
      </c>
      <c r="AF51" s="409">
        <f>VLOOKUP(A51,'[10]งบเปรียบเทียบ&amp;คชจ.ขาย (Page1-6)'!$B$237:$AA$302,26,0)</f>
        <v>0</v>
      </c>
    </row>
    <row r="52" spans="1:32" ht="14.25">
      <c r="A52" s="87" t="s">
        <v>31</v>
      </c>
      <c r="B52" s="87" t="s">
        <v>308</v>
      </c>
      <c r="C52" s="87" t="s">
        <v>336</v>
      </c>
      <c r="D52" s="92" t="s">
        <v>53</v>
      </c>
      <c r="E52" s="109" t="s">
        <v>86</v>
      </c>
      <c r="F52" s="91">
        <f t="shared" ref="F52:R52" si="20">T52</f>
        <v>0</v>
      </c>
      <c r="G52" s="91">
        <f t="shared" si="20"/>
        <v>20000</v>
      </c>
      <c r="H52" s="91">
        <f t="shared" si="20"/>
        <v>38000</v>
      </c>
      <c r="I52" s="91">
        <f t="shared" si="20"/>
        <v>23800</v>
      </c>
      <c r="J52" s="91">
        <f t="shared" si="20"/>
        <v>8940</v>
      </c>
      <c r="K52" s="91">
        <f t="shared" si="20"/>
        <v>24300</v>
      </c>
      <c r="L52" s="91">
        <f t="shared" si="20"/>
        <v>1980</v>
      </c>
      <c r="M52" s="91">
        <f t="shared" si="20"/>
        <v>21175</v>
      </c>
      <c r="N52" s="91">
        <f t="shared" si="20"/>
        <v>30126.449999999997</v>
      </c>
      <c r="O52" s="91">
        <f t="shared" si="20"/>
        <v>5775.3000000000029</v>
      </c>
      <c r="P52" s="91">
        <f t="shared" si="20"/>
        <v>43221.600000000006</v>
      </c>
      <c r="Q52" s="91">
        <f t="shared" si="20"/>
        <v>1221.2999999999884</v>
      </c>
      <c r="R52" s="91">
        <f t="shared" si="20"/>
        <v>9687.6000000000058</v>
      </c>
      <c r="S52" s="118"/>
      <c r="T52" s="117">
        <v>0</v>
      </c>
      <c r="U52" s="117">
        <v>20000</v>
      </c>
      <c r="V52" s="117">
        <v>38000</v>
      </c>
      <c r="W52" s="117">
        <v>23800</v>
      </c>
      <c r="X52" s="117">
        <v>8940</v>
      </c>
      <c r="Y52" s="117">
        <v>24300</v>
      </c>
      <c r="Z52" s="117">
        <v>1980</v>
      </c>
      <c r="AA52" s="117">
        <v>21175</v>
      </c>
      <c r="AB52" s="117">
        <v>30126.449999999997</v>
      </c>
      <c r="AC52" s="117">
        <f>VLOOKUP(A52,'[8]งบเปรียบเทียบ&amp;คชจ.ขาย (Page1-6)'!$B$237:$O$297,14,0)</f>
        <v>5775.3000000000029</v>
      </c>
      <c r="AD52" s="409">
        <f>VLOOKUP(A52,'[7]งบเปรียบเทียบ&amp;คชจ.ขาย (Page1-6)'!$B$237:$AE$298,30,0)</f>
        <v>43221.600000000006</v>
      </c>
      <c r="AE52" s="409">
        <f>VLOOKUP(A52,'[9]งบเปรียบเทียบ&amp;คชจ.ขาย (Page1-6)'!$B$237:$AC$302,28,0)</f>
        <v>1221.2999999999884</v>
      </c>
      <c r="AF52" s="409">
        <f>VLOOKUP(A52,'[10]งบเปรียบเทียบ&amp;คชจ.ขาย (Page1-6)'!$B$237:$AA$302,26,0)</f>
        <v>9687.6000000000058</v>
      </c>
    </row>
    <row r="53" spans="1:32" ht="14.25">
      <c r="A53" s="97" t="s">
        <v>32</v>
      </c>
      <c r="B53" s="87" t="s">
        <v>33</v>
      </c>
      <c r="C53" s="87" t="s">
        <v>339</v>
      </c>
      <c r="D53" s="92" t="s">
        <v>150</v>
      </c>
      <c r="E53" s="198" t="s">
        <v>227</v>
      </c>
      <c r="F53" s="91">
        <f t="shared" ref="F53:R53" si="21">F$9*T53</f>
        <v>26835.745960992674</v>
      </c>
      <c r="G53" s="91">
        <f t="shared" si="21"/>
        <v>29561.236775339508</v>
      </c>
      <c r="H53" s="91">
        <f t="shared" si="21"/>
        <v>32314.395496990201</v>
      </c>
      <c r="I53" s="91">
        <f t="shared" si="21"/>
        <v>34799.790203194723</v>
      </c>
      <c r="J53" s="91">
        <f t="shared" si="21"/>
        <v>37586.183173400328</v>
      </c>
      <c r="K53" s="91">
        <f t="shared" si="21"/>
        <v>40803.804168497016</v>
      </c>
      <c r="L53" s="91">
        <f t="shared" si="21"/>
        <v>43257.12352418837</v>
      </c>
      <c r="M53" s="91">
        <f t="shared" si="21"/>
        <v>46361.596745940631</v>
      </c>
      <c r="N53" s="91">
        <f t="shared" si="21"/>
        <v>64849.317688698669</v>
      </c>
      <c r="O53" s="91">
        <f t="shared" si="21"/>
        <v>58020.535004152116</v>
      </c>
      <c r="P53" s="91">
        <f t="shared" si="21"/>
        <v>61568.296990856215</v>
      </c>
      <c r="Q53" s="91">
        <f t="shared" si="21"/>
        <v>63791.465245758249</v>
      </c>
      <c r="R53" s="91">
        <f t="shared" si="21"/>
        <v>67841.609317404727</v>
      </c>
      <c r="S53" s="118"/>
      <c r="T53" s="117">
        <v>83333.330000000075</v>
      </c>
      <c r="U53" s="117">
        <v>83333.329999999958</v>
      </c>
      <c r="V53" s="117">
        <v>83333.329999999958</v>
      </c>
      <c r="W53" s="117">
        <v>83333.330000000075</v>
      </c>
      <c r="X53" s="117">
        <v>83333.329999999958</v>
      </c>
      <c r="Y53" s="117">
        <v>83333.37</v>
      </c>
      <c r="Z53" s="117">
        <v>83333.33</v>
      </c>
      <c r="AA53" s="117">
        <v>83333.33</v>
      </c>
      <c r="AB53" s="117">
        <v>108333.36000000002</v>
      </c>
      <c r="AC53" s="117">
        <f>VLOOKUP(A53,'[8]งบเปรียบเทียบ&amp;คชจ.ขาย (Page1-6)'!$B$237:$O$297,14,0)</f>
        <v>91666.659999999974</v>
      </c>
      <c r="AD53" s="409">
        <f>VLOOKUP(A53,'[7]งบเปรียบเทียบ&amp;คชจ.ขาย (Page1-6)'!$B$237:$AE$298,30,0)</f>
        <v>91666.660000000033</v>
      </c>
      <c r="AE53" s="409">
        <f>VLOOKUP(A53,'[9]งบเปรียบเทียบ&amp;คชจ.ขาย (Page1-6)'!$B$237:$AC$302,28,0)</f>
        <v>91666.659999999974</v>
      </c>
      <c r="AF53" s="409">
        <f>VLOOKUP(A53,'[10]งบเปรียบเทียบ&amp;คชจ.ขาย (Page1-6)'!$B$237:$AA$302,26,0)</f>
        <v>91666.660000000033</v>
      </c>
    </row>
    <row r="54" spans="1:32" ht="14.25">
      <c r="A54" s="97" t="s">
        <v>135</v>
      </c>
      <c r="B54" s="87" t="s">
        <v>103</v>
      </c>
      <c r="C54" s="308" t="s">
        <v>332</v>
      </c>
      <c r="D54" s="92" t="s">
        <v>86</v>
      </c>
      <c r="E54" s="109" t="str">
        <f>D54</f>
        <v>100% For MFC</v>
      </c>
      <c r="F54" s="91">
        <f t="shared" ref="F54:R55" si="22">T54</f>
        <v>15917</v>
      </c>
      <c r="G54" s="91">
        <f t="shared" si="22"/>
        <v>11910</v>
      </c>
      <c r="H54" s="91">
        <f t="shared" si="22"/>
        <v>0</v>
      </c>
      <c r="I54" s="91">
        <f t="shared" si="22"/>
        <v>8400</v>
      </c>
      <c r="J54" s="91">
        <f t="shared" si="22"/>
        <v>0</v>
      </c>
      <c r="K54" s="91">
        <f t="shared" si="22"/>
        <v>0</v>
      </c>
      <c r="L54" s="91">
        <f t="shared" si="22"/>
        <v>1714.29</v>
      </c>
      <c r="M54" s="91">
        <f t="shared" si="22"/>
        <v>12997.759999999998</v>
      </c>
      <c r="N54" s="91">
        <f t="shared" si="22"/>
        <v>301951.94</v>
      </c>
      <c r="O54" s="91">
        <f t="shared" si="22"/>
        <v>70827.429999999993</v>
      </c>
      <c r="P54" s="91">
        <f t="shared" si="22"/>
        <v>119541.29000000004</v>
      </c>
      <c r="Q54" s="91">
        <f t="shared" si="22"/>
        <v>26836.429999999993</v>
      </c>
      <c r="R54" s="91">
        <f t="shared" si="22"/>
        <v>3483.4299999999348</v>
      </c>
      <c r="S54" s="118"/>
      <c r="T54" s="117">
        <v>15917</v>
      </c>
      <c r="U54" s="117">
        <v>11910</v>
      </c>
      <c r="V54" s="117">
        <v>0</v>
      </c>
      <c r="W54" s="117">
        <v>8400</v>
      </c>
      <c r="X54" s="117">
        <v>0</v>
      </c>
      <c r="Y54" s="117">
        <v>0</v>
      </c>
      <c r="Z54" s="117">
        <v>1714.29</v>
      </c>
      <c r="AA54" s="117">
        <v>12997.759999999998</v>
      </c>
      <c r="AB54" s="117">
        <v>301951.94</v>
      </c>
      <c r="AC54" s="117">
        <f>VLOOKUP(A54,'[8]งบเปรียบเทียบ&amp;คชจ.ขาย (Page1-6)'!$B$237:$O$297,14,0)</f>
        <v>70827.429999999993</v>
      </c>
      <c r="AD54" s="409">
        <f>VLOOKUP(A54,'[7]งบเปรียบเทียบ&amp;คชจ.ขาย (Page1-6)'!$B$237:$AE$298,30,0)</f>
        <v>119541.29000000004</v>
      </c>
      <c r="AE54" s="409">
        <f>VLOOKUP(A54,'[9]งบเปรียบเทียบ&amp;คชจ.ขาย (Page1-6)'!$B$237:$AC$302,28,0)</f>
        <v>26836.429999999993</v>
      </c>
      <c r="AF54" s="409">
        <f>VLOOKUP(A54,'[10]งบเปรียบเทียบ&amp;คชจ.ขาย (Page1-6)'!$B$237:$AA$302,26,0)</f>
        <v>3483.4299999999348</v>
      </c>
    </row>
    <row r="55" spans="1:32" ht="14.25">
      <c r="A55" s="87" t="s">
        <v>34</v>
      </c>
      <c r="B55" s="87" t="s">
        <v>35</v>
      </c>
      <c r="C55" s="87" t="s">
        <v>336</v>
      </c>
      <c r="D55" s="92" t="s">
        <v>150</v>
      </c>
      <c r="E55" s="109" t="s">
        <v>86</v>
      </c>
      <c r="F55" s="91">
        <f t="shared" si="22"/>
        <v>25500</v>
      </c>
      <c r="G55" s="91">
        <f t="shared" si="22"/>
        <v>4018.6900000000023</v>
      </c>
      <c r="H55" s="91">
        <f t="shared" si="22"/>
        <v>34132.25</v>
      </c>
      <c r="I55" s="91">
        <f t="shared" si="22"/>
        <v>0</v>
      </c>
      <c r="J55" s="91">
        <f t="shared" si="22"/>
        <v>21512</v>
      </c>
      <c r="K55" s="91">
        <f t="shared" si="22"/>
        <v>12400</v>
      </c>
      <c r="L55" s="91">
        <f t="shared" si="22"/>
        <v>23090</v>
      </c>
      <c r="M55" s="91">
        <f t="shared" si="22"/>
        <v>10000</v>
      </c>
      <c r="N55" s="91">
        <f t="shared" si="22"/>
        <v>10781.54</v>
      </c>
      <c r="O55" s="91">
        <f t="shared" si="22"/>
        <v>2665</v>
      </c>
      <c r="P55" s="91">
        <f t="shared" si="22"/>
        <v>28886.409999999996</v>
      </c>
      <c r="Q55" s="91">
        <f t="shared" si="22"/>
        <v>9263.25</v>
      </c>
      <c r="R55" s="91">
        <f t="shared" si="22"/>
        <v>250</v>
      </c>
      <c r="S55" s="118"/>
      <c r="T55" s="117">
        <v>25500</v>
      </c>
      <c r="U55" s="117">
        <v>4018.6900000000023</v>
      </c>
      <c r="V55" s="117">
        <v>34132.25</v>
      </c>
      <c r="W55" s="117">
        <v>0</v>
      </c>
      <c r="X55" s="117">
        <v>21512</v>
      </c>
      <c r="Y55" s="117">
        <v>12400</v>
      </c>
      <c r="Z55" s="117">
        <v>23090</v>
      </c>
      <c r="AA55" s="117">
        <v>10000</v>
      </c>
      <c r="AB55" s="117">
        <v>10781.54</v>
      </c>
      <c r="AC55" s="117">
        <f>VLOOKUP(A55,'[8]งบเปรียบเทียบ&amp;คชจ.ขาย (Page1-6)'!$B$237:$O$297,14,0)</f>
        <v>2665</v>
      </c>
      <c r="AD55" s="409">
        <f>VLOOKUP(A55,'[7]งบเปรียบเทียบ&amp;คชจ.ขาย (Page1-6)'!$B$237:$AE$298,30,0)</f>
        <v>28886.409999999996</v>
      </c>
      <c r="AE55" s="409">
        <f>VLOOKUP(A55,'[9]งบเปรียบเทียบ&amp;คชจ.ขาย (Page1-6)'!$B$237:$AC$302,28,0)</f>
        <v>9263.25</v>
      </c>
      <c r="AF55" s="409">
        <f>VLOOKUP(A55,'[10]งบเปรียบเทียบ&amp;คชจ.ขาย (Page1-6)'!$B$237:$AA$302,26,0)</f>
        <v>250</v>
      </c>
    </row>
    <row r="56" spans="1:32" ht="14.25">
      <c r="A56" s="87" t="s">
        <v>136</v>
      </c>
      <c r="B56" s="87" t="s">
        <v>104</v>
      </c>
      <c r="C56" s="87"/>
      <c r="D56" s="92"/>
      <c r="E56" s="109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118"/>
      <c r="T56" s="117">
        <v>0</v>
      </c>
      <c r="U56" s="117">
        <v>0</v>
      </c>
      <c r="V56" s="117">
        <v>0</v>
      </c>
      <c r="W56" s="117">
        <v>0</v>
      </c>
      <c r="X56" s="117">
        <v>0</v>
      </c>
      <c r="Y56" s="117">
        <v>0</v>
      </c>
      <c r="Z56" s="117">
        <v>0</v>
      </c>
      <c r="AA56" s="117">
        <v>0</v>
      </c>
      <c r="AB56" s="117">
        <v>0</v>
      </c>
      <c r="AC56" s="117">
        <f>VLOOKUP(A56,'[8]งบเปรียบเทียบ&amp;คชจ.ขาย (Page1-6)'!$B$237:$O$297,14,0)</f>
        <v>0</v>
      </c>
      <c r="AD56" s="409">
        <f>VLOOKUP(A56,'[7]งบเปรียบเทียบ&amp;คชจ.ขาย (Page1-6)'!$B$237:$AE$298,30,0)</f>
        <v>0</v>
      </c>
      <c r="AE56" s="409">
        <f>VLOOKUP(A56,'[9]งบเปรียบเทียบ&amp;คชจ.ขาย (Page1-6)'!$B$237:$AC$302,28,0)</f>
        <v>0</v>
      </c>
      <c r="AF56" s="409">
        <f>VLOOKUP(A56,'[10]งบเปรียบเทียบ&amp;คชจ.ขาย (Page1-6)'!$B$237:$AA$302,26,0)</f>
        <v>0</v>
      </c>
    </row>
    <row r="57" spans="1:32" ht="14.25">
      <c r="A57" s="87" t="s">
        <v>137</v>
      </c>
      <c r="B57" s="87" t="s">
        <v>105</v>
      </c>
      <c r="C57" s="87"/>
      <c r="D57" s="92" t="s">
        <v>153</v>
      </c>
      <c r="E57" s="109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118"/>
      <c r="T57" s="117">
        <v>0</v>
      </c>
      <c r="U57" s="117">
        <v>0</v>
      </c>
      <c r="V57" s="117">
        <v>0</v>
      </c>
      <c r="W57" s="117">
        <v>0</v>
      </c>
      <c r="X57" s="117">
        <v>0</v>
      </c>
      <c r="Y57" s="117">
        <v>0</v>
      </c>
      <c r="Z57" s="117">
        <v>0</v>
      </c>
      <c r="AA57" s="117">
        <v>0</v>
      </c>
      <c r="AB57" s="117">
        <v>0</v>
      </c>
      <c r="AC57" s="117">
        <f>VLOOKUP(A57,'[8]งบเปรียบเทียบ&amp;คชจ.ขาย (Page1-6)'!$B$237:$O$297,14,0)</f>
        <v>0</v>
      </c>
      <c r="AD57" s="409">
        <f>VLOOKUP(A57,'[7]งบเปรียบเทียบ&amp;คชจ.ขาย (Page1-6)'!$B$237:$AE$298,30,0)</f>
        <v>0</v>
      </c>
      <c r="AE57" s="409">
        <f>VLOOKUP(A57,'[9]งบเปรียบเทียบ&amp;คชจ.ขาย (Page1-6)'!$B$237:$AC$302,28,0)</f>
        <v>0</v>
      </c>
      <c r="AF57" s="409">
        <f>VLOOKUP(A57,'[10]งบเปรียบเทียบ&amp;คชจ.ขาย (Page1-6)'!$B$237:$AA$302,26,0)</f>
        <v>0</v>
      </c>
    </row>
    <row r="58" spans="1:32" ht="14.25">
      <c r="A58" s="87" t="s">
        <v>138</v>
      </c>
      <c r="B58" s="87" t="s">
        <v>106</v>
      </c>
      <c r="C58" s="87" t="s">
        <v>332</v>
      </c>
      <c r="D58" s="92" t="s">
        <v>86</v>
      </c>
      <c r="E58" s="109" t="str">
        <f>D58</f>
        <v>100% For MFC</v>
      </c>
      <c r="F58" s="91">
        <f t="shared" ref="F58:R58" si="23">T58</f>
        <v>12600</v>
      </c>
      <c r="G58" s="91">
        <f t="shared" si="23"/>
        <v>33181.819999999949</v>
      </c>
      <c r="H58" s="91">
        <f t="shared" si="23"/>
        <v>100050</v>
      </c>
      <c r="I58" s="91">
        <f t="shared" si="23"/>
        <v>49048.400000000023</v>
      </c>
      <c r="J58" s="91">
        <f t="shared" si="23"/>
        <v>4025</v>
      </c>
      <c r="K58" s="91">
        <f t="shared" si="23"/>
        <v>35484.020000000019</v>
      </c>
      <c r="L58" s="91">
        <f t="shared" si="23"/>
        <v>16000</v>
      </c>
      <c r="M58" s="91">
        <f t="shared" si="23"/>
        <v>172230.64</v>
      </c>
      <c r="N58" s="91">
        <f t="shared" si="23"/>
        <v>38945.279999999999</v>
      </c>
      <c r="O58" s="91">
        <f t="shared" si="23"/>
        <v>84435.299999999959</v>
      </c>
      <c r="P58" s="91">
        <f t="shared" si="23"/>
        <v>17932.910000000033</v>
      </c>
      <c r="Q58" s="91">
        <f t="shared" si="23"/>
        <v>11914.260000000009</v>
      </c>
      <c r="R58" s="91">
        <f t="shared" si="23"/>
        <v>87294.039999999979</v>
      </c>
      <c r="S58" s="118"/>
      <c r="T58" s="117">
        <v>12600</v>
      </c>
      <c r="U58" s="117">
        <v>33181.819999999949</v>
      </c>
      <c r="V58" s="117">
        <v>100050</v>
      </c>
      <c r="W58" s="117">
        <v>49048.400000000023</v>
      </c>
      <c r="X58" s="117">
        <v>4025</v>
      </c>
      <c r="Y58" s="117">
        <v>35484.020000000019</v>
      </c>
      <c r="Z58" s="117">
        <v>16000</v>
      </c>
      <c r="AA58" s="117">
        <v>172230.64</v>
      </c>
      <c r="AB58" s="117">
        <v>38945.279999999999</v>
      </c>
      <c r="AC58" s="117">
        <f>VLOOKUP(A58,'[8]งบเปรียบเทียบ&amp;คชจ.ขาย (Page1-6)'!$B$237:$O$297,14,0)</f>
        <v>84435.299999999959</v>
      </c>
      <c r="AD58" s="409">
        <f>VLOOKUP(A58,'[7]งบเปรียบเทียบ&amp;คชจ.ขาย (Page1-6)'!$B$237:$AE$298,30,0)</f>
        <v>17932.910000000033</v>
      </c>
      <c r="AE58" s="409">
        <f>VLOOKUP(A58,'[9]งบเปรียบเทียบ&amp;คชจ.ขาย (Page1-6)'!$B$237:$AC$302,28,0)</f>
        <v>11914.260000000009</v>
      </c>
      <c r="AF58" s="409">
        <f>VLOOKUP(A58,'[10]งบเปรียบเทียบ&amp;คชจ.ขาย (Page1-6)'!$B$237:$AA$302,26,0)</f>
        <v>87294.039999999979</v>
      </c>
    </row>
    <row r="59" spans="1:32" ht="14.25">
      <c r="A59" s="87" t="s">
        <v>139</v>
      </c>
      <c r="B59" s="87" t="s">
        <v>107</v>
      </c>
      <c r="C59" s="87"/>
      <c r="D59" s="92" t="s">
        <v>153</v>
      </c>
      <c r="E59" s="109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118"/>
      <c r="T59" s="117">
        <v>0</v>
      </c>
      <c r="U59" s="117">
        <v>0</v>
      </c>
      <c r="V59" s="117">
        <v>0</v>
      </c>
      <c r="W59" s="117">
        <v>0</v>
      </c>
      <c r="X59" s="117">
        <v>0</v>
      </c>
      <c r="Y59" s="117">
        <v>0</v>
      </c>
      <c r="Z59" s="117">
        <v>0</v>
      </c>
      <c r="AA59" s="117">
        <v>0</v>
      </c>
      <c r="AB59" s="117">
        <v>0</v>
      </c>
      <c r="AC59" s="117">
        <f>VLOOKUP(A59,'[8]งบเปรียบเทียบ&amp;คชจ.ขาย (Page1-6)'!$B$237:$O$297,14,0)</f>
        <v>0</v>
      </c>
      <c r="AD59" s="409">
        <f>VLOOKUP(A59,'[7]งบเปรียบเทียบ&amp;คชจ.ขาย (Page1-6)'!$B$237:$AE$298,30,0)</f>
        <v>0</v>
      </c>
      <c r="AE59" s="409">
        <f>VLOOKUP(A59,'[9]งบเปรียบเทียบ&amp;คชจ.ขาย (Page1-6)'!$B$237:$AC$302,28,0)</f>
        <v>0</v>
      </c>
      <c r="AF59" s="409">
        <f>VLOOKUP(A59,'[10]งบเปรียบเทียบ&amp;คชจ.ขาย (Page1-6)'!$B$237:$AA$302,26,0)</f>
        <v>0</v>
      </c>
    </row>
    <row r="60" spans="1:32" ht="14.25">
      <c r="A60" s="87" t="s">
        <v>140</v>
      </c>
      <c r="B60" s="87" t="s">
        <v>108</v>
      </c>
      <c r="C60" s="87" t="s">
        <v>338</v>
      </c>
      <c r="D60" s="92" t="s">
        <v>153</v>
      </c>
      <c r="E60" s="109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118"/>
      <c r="T60" s="117">
        <v>0</v>
      </c>
      <c r="U60" s="117">
        <v>0</v>
      </c>
      <c r="V60" s="117">
        <v>0</v>
      </c>
      <c r="W60" s="117">
        <v>0</v>
      </c>
      <c r="X60" s="117">
        <v>178105.92</v>
      </c>
      <c r="Y60" s="117">
        <v>0</v>
      </c>
      <c r="Z60" s="117">
        <v>0</v>
      </c>
      <c r="AA60" s="117">
        <v>0</v>
      </c>
      <c r="AB60" s="117">
        <v>15525</v>
      </c>
      <c r="AC60" s="117">
        <f>VLOOKUP(A60,'[8]งบเปรียบเทียบ&amp;คชจ.ขาย (Page1-6)'!$B$237:$O$297,14,0)</f>
        <v>-15525</v>
      </c>
      <c r="AD60" s="409">
        <f>VLOOKUP(A60,'[7]งบเปรียบเทียบ&amp;คชจ.ขาย (Page1-6)'!$B$237:$AE$298,30,0)</f>
        <v>0</v>
      </c>
      <c r="AE60" s="409">
        <f>VLOOKUP(A60,'[9]งบเปรียบเทียบ&amp;คชจ.ขาย (Page1-6)'!$B$237:$AC$302,28,0)</f>
        <v>0</v>
      </c>
      <c r="AF60" s="409">
        <f>VLOOKUP(A60,'[10]งบเปรียบเทียบ&amp;คชจ.ขาย (Page1-6)'!$B$237:$AA$302,26,0)</f>
        <v>0</v>
      </c>
    </row>
    <row r="61" spans="1:32" ht="14.25">
      <c r="A61" s="87" t="s">
        <v>141</v>
      </c>
      <c r="B61" s="87" t="s">
        <v>109</v>
      </c>
      <c r="C61" s="87" t="s">
        <v>340</v>
      </c>
      <c r="D61" s="92" t="s">
        <v>55</v>
      </c>
      <c r="E61" s="197" t="s">
        <v>229</v>
      </c>
      <c r="F61" s="95">
        <f t="shared" ref="F61:R61" si="24">T61*F$5</f>
        <v>36351.700000000004</v>
      </c>
      <c r="G61" s="95">
        <f t="shared" si="24"/>
        <v>33312</v>
      </c>
      <c r="H61" s="95">
        <f t="shared" si="24"/>
        <v>32628.342592592591</v>
      </c>
      <c r="I61" s="95">
        <f t="shared" si="24"/>
        <v>42772.235294117643</v>
      </c>
      <c r="J61" s="95">
        <f t="shared" si="24"/>
        <v>32993.56934306569</v>
      </c>
      <c r="K61" s="95">
        <f t="shared" si="24"/>
        <v>59601.875630252143</v>
      </c>
      <c r="L61" s="91">
        <f t="shared" si="24"/>
        <v>82726.707692307697</v>
      </c>
      <c r="M61" s="91">
        <f t="shared" si="24"/>
        <v>88831.390099009906</v>
      </c>
      <c r="N61" s="91">
        <f t="shared" si="24"/>
        <v>115221.2851020408</v>
      </c>
      <c r="O61" s="91">
        <f t="shared" si="24"/>
        <v>117560.22472727271</v>
      </c>
      <c r="P61" s="91">
        <f t="shared" si="24"/>
        <v>119142.03957446816</v>
      </c>
      <c r="Q61" s="91">
        <f t="shared" si="24"/>
        <v>120144.02367816088</v>
      </c>
      <c r="R61" s="91">
        <f t="shared" si="24"/>
        <v>83326.754533333326</v>
      </c>
      <c r="S61" s="118"/>
      <c r="T61" s="117">
        <v>363517</v>
      </c>
      <c r="U61" s="117">
        <v>460816</v>
      </c>
      <c r="V61" s="117">
        <v>320351</v>
      </c>
      <c r="W61" s="117">
        <v>302970</v>
      </c>
      <c r="X61" s="117">
        <v>237901</v>
      </c>
      <c r="Y61" s="117">
        <v>272793.20000000019</v>
      </c>
      <c r="Z61" s="117">
        <v>268861.8</v>
      </c>
      <c r="AA61" s="117">
        <v>249221.40000000002</v>
      </c>
      <c r="AB61" s="117">
        <v>297149.62999999995</v>
      </c>
      <c r="AC61" s="117">
        <f>VLOOKUP(A61,'[8]งบเปรียบเทียบ&amp;คชจ.ขาย (Page1-6)'!$B$237:$O$297,14,0)</f>
        <v>230921.87</v>
      </c>
      <c r="AD61" s="409">
        <f>VLOOKUP(A61,'[7]งบเปรียบเทียบ&amp;คชจ.ขาย (Page1-6)'!$B$237:$AE$298,30,0)</f>
        <v>273154.92000000016</v>
      </c>
      <c r="AE61" s="409">
        <f>VLOOKUP(A61,'[9]งบเปรียบเทียบ&amp;คชจ.ขาย (Page1-6)'!$B$237:$AC$302,28,0)</f>
        <v>213316.93999999994</v>
      </c>
      <c r="AF61" s="409">
        <f>VLOOKUP(A61,'[10]งบเปรียบเทียบ&amp;คชจ.ขาย (Page1-6)'!$B$237:$AA$302,26,0)</f>
        <v>152426.99</v>
      </c>
    </row>
    <row r="62" spans="1:32" ht="14.25">
      <c r="A62" s="87" t="s">
        <v>142</v>
      </c>
      <c r="B62" s="87" t="s">
        <v>110</v>
      </c>
      <c r="C62" s="87"/>
      <c r="D62" s="92" t="s">
        <v>153</v>
      </c>
      <c r="E62" s="109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118"/>
      <c r="T62" s="117"/>
      <c r="U62" s="117"/>
      <c r="V62" s="117"/>
      <c r="W62" s="117">
        <v>0</v>
      </c>
      <c r="X62" s="117"/>
      <c r="Y62" s="117"/>
      <c r="Z62" s="117"/>
      <c r="AA62" s="117"/>
      <c r="AB62" s="117"/>
      <c r="AC62" s="117"/>
      <c r="AD62" s="409"/>
      <c r="AE62" s="409"/>
      <c r="AF62" s="409"/>
    </row>
    <row r="63" spans="1:32" ht="14.25">
      <c r="A63" s="87" t="s">
        <v>143</v>
      </c>
      <c r="B63" s="87" t="s">
        <v>111</v>
      </c>
      <c r="C63" s="87" t="s">
        <v>338</v>
      </c>
      <c r="D63" s="92" t="s">
        <v>153</v>
      </c>
      <c r="E63" s="109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118"/>
      <c r="T63" s="117">
        <v>0</v>
      </c>
      <c r="U63" s="117">
        <v>0</v>
      </c>
      <c r="V63" s="117"/>
      <c r="W63" s="117">
        <v>0</v>
      </c>
      <c r="X63" s="117">
        <v>0</v>
      </c>
      <c r="Y63" s="117">
        <v>0</v>
      </c>
      <c r="Z63" s="117">
        <v>0</v>
      </c>
      <c r="AA63" s="117">
        <v>0</v>
      </c>
      <c r="AB63" s="117">
        <v>29443.919999999998</v>
      </c>
      <c r="AC63" s="117">
        <f>VLOOKUP(A63,'[8]งบเปรียบเทียบ&amp;คชจ.ขาย (Page1-6)'!$B$237:$O$297,14,0)</f>
        <v>0</v>
      </c>
      <c r="AD63" s="409">
        <f>VLOOKUP(A63,'[7]งบเปรียบเทียบ&amp;คชจ.ขาย (Page1-6)'!$B$237:$AE$298,30,0)</f>
        <v>0</v>
      </c>
      <c r="AE63" s="409">
        <f>VLOOKUP(A63,'[9]งบเปรียบเทียบ&amp;คชจ.ขาย (Page1-6)'!$B$237:$AC$302,28,0)</f>
        <v>0</v>
      </c>
      <c r="AF63" s="409">
        <f>VLOOKUP(A63,'[10]งบเปรียบเทียบ&amp;คชจ.ขาย (Page1-6)'!$B$237:$AA$302,26,0)</f>
        <v>0</v>
      </c>
    </row>
    <row r="64" spans="1:32" ht="14.25">
      <c r="A64" s="87" t="s">
        <v>415</v>
      </c>
      <c r="B64" s="87"/>
      <c r="C64" s="87" t="s">
        <v>338</v>
      </c>
      <c r="D64" s="92"/>
      <c r="E64" s="109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118"/>
      <c r="T64" s="117"/>
      <c r="U64" s="117"/>
      <c r="V64" s="117"/>
      <c r="W64" s="117"/>
      <c r="X64" s="117"/>
      <c r="Y64" s="117"/>
      <c r="Z64" s="117"/>
      <c r="AA64" s="117"/>
      <c r="AB64" s="117">
        <v>429874.64</v>
      </c>
      <c r="AC64" s="117">
        <f>VLOOKUP(A64,'[8]งบเปรียบเทียบ&amp;คชจ.ขาย (Page1-6)'!$B$237:$O$297,14,0)</f>
        <v>212374.65000000002</v>
      </c>
      <c r="AD64" s="409">
        <f>VLOOKUP(A64,'[7]งบเปรียบเทียบ&amp;คชจ.ขาย (Page1-6)'!$B$237:$AE$298,30,0)</f>
        <v>254727.75</v>
      </c>
      <c r="AE64" s="409">
        <f>VLOOKUP(A64,'[9]งบเปรียบเทียบ&amp;คชจ.ขาย (Page1-6)'!$B$237:$AC$302,28,0)</f>
        <v>280629.41999999993</v>
      </c>
      <c r="AF64" s="409">
        <f>VLOOKUP(A64,'[10]งบเปรียบเทียบ&amp;คชจ.ขาย (Page1-6)'!$B$237:$AA$302,26,0)</f>
        <v>201382.88000000012</v>
      </c>
    </row>
    <row r="65" spans="1:32" ht="14.25">
      <c r="A65" s="87" t="s">
        <v>498</v>
      </c>
      <c r="B65" s="87"/>
      <c r="C65" s="87" t="s">
        <v>338</v>
      </c>
      <c r="D65" s="92"/>
      <c r="E65" s="109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118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409"/>
      <c r="AE65" s="409"/>
      <c r="AF65" s="409">
        <v>63000</v>
      </c>
    </row>
    <row r="66" spans="1:32" ht="14.25">
      <c r="A66" s="87" t="s">
        <v>144</v>
      </c>
      <c r="B66" s="87"/>
      <c r="C66" s="87"/>
      <c r="D66" s="92"/>
      <c r="E66" s="109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118"/>
      <c r="T66" s="117"/>
      <c r="U66" s="117"/>
      <c r="V66" s="117"/>
      <c r="W66" s="117">
        <v>0</v>
      </c>
      <c r="X66" s="117"/>
      <c r="Y66" s="117"/>
      <c r="Z66" s="117"/>
      <c r="AA66" s="117"/>
      <c r="AB66" s="117"/>
      <c r="AC66" s="117"/>
      <c r="AD66" s="409"/>
      <c r="AE66" s="409"/>
      <c r="AF66" s="409"/>
    </row>
    <row r="67" spans="1:32" ht="14.25">
      <c r="A67" s="87" t="s">
        <v>36</v>
      </c>
      <c r="B67" s="87" t="s">
        <v>37</v>
      </c>
      <c r="C67" s="87"/>
      <c r="D67" s="98">
        <v>0.5</v>
      </c>
      <c r="E67" s="111"/>
      <c r="F67" s="91">
        <v>0</v>
      </c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118"/>
      <c r="T67" s="117">
        <v>0</v>
      </c>
      <c r="U67" s="117">
        <v>0</v>
      </c>
      <c r="V67" s="117">
        <v>0</v>
      </c>
      <c r="W67" s="117">
        <v>0</v>
      </c>
      <c r="X67" s="117">
        <v>0</v>
      </c>
      <c r="Y67" s="117">
        <v>0</v>
      </c>
      <c r="Z67" s="117">
        <v>0</v>
      </c>
      <c r="AA67" s="117">
        <v>0</v>
      </c>
      <c r="AB67" s="117">
        <v>0</v>
      </c>
      <c r="AC67" s="117">
        <f>VLOOKUP(A67,'[8]งบเปรียบเทียบ&amp;คชจ.ขาย (Page1-6)'!$B$237:$O$297,14,0)</f>
        <v>0</v>
      </c>
      <c r="AD67" s="409">
        <f>VLOOKUP(A67,'[7]งบเปรียบเทียบ&amp;คชจ.ขาย (Page1-6)'!$B$237:$AE$298,30,0)</f>
        <v>0</v>
      </c>
      <c r="AE67" s="409">
        <f>VLOOKUP(A67,'[9]งบเปรียบเทียบ&amp;คชจ.ขาย (Page1-6)'!$B$237:$AC$302,28,0)</f>
        <v>0</v>
      </c>
      <c r="AF67" s="409">
        <f>VLOOKUP(A67,'[10]งบเปรียบเทียบ&amp;คชจ.ขาย (Page1-6)'!$B$237:$AA$302,26,0)</f>
        <v>0</v>
      </c>
    </row>
    <row r="68" spans="1:32" ht="14.25">
      <c r="A68" s="87" t="s">
        <v>157</v>
      </c>
      <c r="B68" s="87" t="s">
        <v>112</v>
      </c>
      <c r="C68" s="87" t="s">
        <v>331</v>
      </c>
      <c r="D68" s="99"/>
      <c r="E68" s="113" t="s">
        <v>228</v>
      </c>
      <c r="F68" s="91">
        <f t="shared" ref="F68:R68" si="25">F9*T68</f>
        <v>1610144.822065352</v>
      </c>
      <c r="G68" s="91">
        <f t="shared" si="25"/>
        <v>354734.85549346852</v>
      </c>
      <c r="H68" s="91">
        <f t="shared" si="25"/>
        <v>387772.76147479308</v>
      </c>
      <c r="I68" s="91">
        <f t="shared" si="25"/>
        <v>417597.49914223625</v>
      </c>
      <c r="J68" s="91">
        <f t="shared" si="25"/>
        <v>451034.21612217283</v>
      </c>
      <c r="K68" s="91">
        <f t="shared" si="25"/>
        <v>489645.43457797298</v>
      </c>
      <c r="L68" s="91">
        <f t="shared" si="25"/>
        <v>519085.50305368053</v>
      </c>
      <c r="M68" s="91">
        <f t="shared" si="25"/>
        <v>556339.18320485484</v>
      </c>
      <c r="N68" s="91">
        <f t="shared" si="25"/>
        <v>598608.93900732568</v>
      </c>
      <c r="O68" s="91">
        <f t="shared" si="25"/>
        <v>632951.33698721137</v>
      </c>
      <c r="P68" s="91">
        <f t="shared" si="25"/>
        <v>671654.19783873647</v>
      </c>
      <c r="Q68" s="91">
        <f t="shared" si="25"/>
        <v>695906.94420150435</v>
      </c>
      <c r="R68" s="91">
        <f t="shared" si="25"/>
        <v>740090.33728734858</v>
      </c>
      <c r="S68" s="118"/>
      <c r="T68" s="117">
        <v>5000000</v>
      </c>
      <c r="U68" s="117">
        <v>1000000</v>
      </c>
      <c r="V68" s="117">
        <v>1000000</v>
      </c>
      <c r="W68" s="117">
        <v>1000000</v>
      </c>
      <c r="X68" s="117">
        <v>1000000</v>
      </c>
      <c r="Y68" s="117">
        <v>1000000</v>
      </c>
      <c r="Z68" s="117">
        <v>1000000</v>
      </c>
      <c r="AA68" s="117">
        <v>1000000</v>
      </c>
      <c r="AB68" s="117">
        <v>1000000</v>
      </c>
      <c r="AC68" s="117">
        <f>VLOOKUP(A68,'[8]งบเปรียบเทียบ&amp;คชจ.ขาย (Page1-6)'!$B$237:$O$297,14,0)</f>
        <v>1000000</v>
      </c>
      <c r="AD68" s="409">
        <f>VLOOKUP(A68,'[7]งบเปรียบเทียบ&amp;คชจ.ขาย (Page1-6)'!$B$237:$AE$298,30,0)</f>
        <v>1000000</v>
      </c>
      <c r="AE68" s="409">
        <f>VLOOKUP(A68,'[9]งบเปรียบเทียบ&amp;คชจ.ขาย (Page1-6)'!$B$237:$AC$302,28,0)</f>
        <v>1000000</v>
      </c>
      <c r="AF68" s="409">
        <f>VLOOKUP(A68,'[10]งบเปรียบเทียบ&amp;คชจ.ขาย (Page1-6)'!$B$237:$AA$302,26,0)</f>
        <v>1000000</v>
      </c>
    </row>
    <row r="69" spans="1:32" s="78" customFormat="1" ht="14.25">
      <c r="A69" s="100" t="s">
        <v>158</v>
      </c>
      <c r="B69" s="101" t="s">
        <v>113</v>
      </c>
      <c r="C69" s="101" t="s">
        <v>340</v>
      </c>
      <c r="D69" s="102" t="s">
        <v>160</v>
      </c>
      <c r="E69" s="109">
        <v>1000</v>
      </c>
      <c r="F69" s="103">
        <f>-Movement!O82*$E$69</f>
        <v>28000</v>
      </c>
      <c r="G69" s="103">
        <f>-Movement!P82*$E$69</f>
        <v>24000</v>
      </c>
      <c r="H69" s="103">
        <f>-Movement!Q82*$E$69</f>
        <v>22000</v>
      </c>
      <c r="I69" s="103">
        <f t="shared" ref="I69:P69" si="26">I3*1000</f>
        <v>24000</v>
      </c>
      <c r="J69" s="103">
        <f t="shared" si="26"/>
        <v>19000</v>
      </c>
      <c r="K69" s="314">
        <f t="shared" si="26"/>
        <v>26000</v>
      </c>
      <c r="L69" s="103">
        <f t="shared" si="26"/>
        <v>32000</v>
      </c>
      <c r="M69" s="103">
        <f t="shared" si="26"/>
        <v>36000</v>
      </c>
      <c r="N69" s="103">
        <f t="shared" si="26"/>
        <v>38000</v>
      </c>
      <c r="O69" s="103">
        <f t="shared" si="26"/>
        <v>56000</v>
      </c>
      <c r="P69" s="103">
        <f t="shared" si="26"/>
        <v>41000</v>
      </c>
      <c r="Q69" s="103">
        <f t="shared" ref="Q69:R69" si="27">Q3*1000</f>
        <v>49000</v>
      </c>
      <c r="R69" s="103">
        <f t="shared" si="27"/>
        <v>41000</v>
      </c>
      <c r="S69" s="119"/>
      <c r="T69" s="120">
        <v>287200</v>
      </c>
      <c r="U69" s="120">
        <v>300600</v>
      </c>
      <c r="V69" s="117">
        <v>367200</v>
      </c>
      <c r="W69" s="117">
        <v>234600</v>
      </c>
      <c r="X69" s="117">
        <v>227600</v>
      </c>
      <c r="Y69" s="117">
        <v>143600</v>
      </c>
      <c r="Z69" s="117">
        <v>155800</v>
      </c>
      <c r="AA69" s="117">
        <v>162200</v>
      </c>
      <c r="AB69" s="117">
        <v>138493</v>
      </c>
      <c r="AC69" s="117">
        <f>VLOOKUP(A69,'[8]งบเปรียบเทียบ&amp;คชจ.ขาย (Page1-6)'!$B$237:$O$297,14,0)</f>
        <v>115299</v>
      </c>
      <c r="AD69" s="409">
        <f>VLOOKUP(A69,'[7]งบเปรียบเทียบ&amp;คชจ.ขาย (Page1-6)'!$B$237:$AE$298,30,0)</f>
        <v>142416</v>
      </c>
      <c r="AE69" s="409">
        <f>VLOOKUP(A69,'[9]งบเปรียบเทียบ&amp;คชจ.ขาย (Page1-6)'!$B$237:$AC$302,28,0)</f>
        <v>99923</v>
      </c>
      <c r="AF69" s="409">
        <f>VLOOKUP(A69,'[10]งบเปรียบเทียบ&amp;คชจ.ขาย (Page1-6)'!$B$237:$AA$302,26,0)</f>
        <v>100400</v>
      </c>
    </row>
    <row r="70" spans="1:32">
      <c r="A70" s="87" t="s">
        <v>159</v>
      </c>
      <c r="B70" s="87" t="s">
        <v>114</v>
      </c>
      <c r="C70" s="87" t="s">
        <v>341</v>
      </c>
      <c r="D70" s="99"/>
      <c r="E70" s="113" t="s">
        <v>320</v>
      </c>
      <c r="F70" s="91">
        <f t="shared" ref="F70:R70" si="28">(T70-F13)*F9</f>
        <v>1838006.9816061424</v>
      </c>
      <c r="G70" s="91">
        <f t="shared" si="28"/>
        <v>1992747.346524812</v>
      </c>
      <c r="H70" s="91">
        <f t="shared" si="28"/>
        <v>2305084.3099973663</v>
      </c>
      <c r="I70" s="91">
        <f t="shared" si="28"/>
        <v>2232173.7394899204</v>
      </c>
      <c r="J70" s="91">
        <f t="shared" si="28"/>
        <v>2396425.8411057414</v>
      </c>
      <c r="K70" s="91">
        <f t="shared" si="28"/>
        <v>2585029.0101019768</v>
      </c>
      <c r="L70" s="91">
        <f t="shared" si="28"/>
        <v>2460097.7252205885</v>
      </c>
      <c r="M70" s="91">
        <f t="shared" si="28"/>
        <v>2615470.508171232</v>
      </c>
      <c r="N70" s="91">
        <f t="shared" si="28"/>
        <v>3286883.8589410651</v>
      </c>
      <c r="O70" s="91">
        <f t="shared" si="28"/>
        <v>3102081.2042667321</v>
      </c>
      <c r="P70" s="91">
        <f t="shared" si="28"/>
        <v>2913980.0524023268</v>
      </c>
      <c r="Q70" s="91">
        <f t="shared" si="28"/>
        <v>3291227.7299807612</v>
      </c>
      <c r="R70" s="91">
        <f t="shared" si="28"/>
        <v>2929517.0112119531</v>
      </c>
      <c r="S70" s="118"/>
      <c r="T70" s="243">
        <f>7200000-T71-T72</f>
        <v>7000000</v>
      </c>
      <c r="U70" s="243">
        <f>7200000-U71-U72</f>
        <v>7000000</v>
      </c>
      <c r="V70" s="243">
        <f>7827102.8-V71-V72</f>
        <v>7427102.7999999998</v>
      </c>
      <c r="W70" s="243">
        <v>7028037.3800000101</v>
      </c>
      <c r="X70" s="243">
        <v>7028037.3799999999</v>
      </c>
      <c r="Y70" s="243">
        <v>7028037.3799999999</v>
      </c>
      <c r="Z70" s="243">
        <v>7028037.3799999999</v>
      </c>
      <c r="AA70" s="243">
        <v>7028037.3799999999</v>
      </c>
      <c r="AB70" s="243">
        <f>8353687.38-AB71-AB72</f>
        <v>8265650</v>
      </c>
      <c r="AC70" s="243">
        <f>VLOOKUP(A70,'[8]งบเปรียบเทียบ&amp;คชจ.ขาย (Page1-6)'!$B$237:$O$297,14,0)-AC71-AC72</f>
        <v>7320287.379999999</v>
      </c>
      <c r="AD70" s="453">
        <f>VLOOKUP(A70,'[7]งบเปรียบเทียบ&amp;คชจ.ขาย (Page1-6)'!$B$237:$AE$298,30,0)-AD71-AD72</f>
        <v>7273037.379999999</v>
      </c>
      <c r="AE70" s="487">
        <f>'[11]งบเปรียบเทียบ&amp;คชจ.ขาย (Page1-6)'!$O$292-AE71-AE72</f>
        <v>7723037.3800000027</v>
      </c>
      <c r="AF70" s="487">
        <f>VLOOKUP(A70,'[10]งบเปรียบเทียบ&amp;คชจ.ขาย (Page1-6)'!$B$237:$AA$302,26,0)-AF71-AF72</f>
        <v>7097196.2599999979</v>
      </c>
    </row>
    <row r="71" spans="1:32" ht="51">
      <c r="A71" s="87" t="s">
        <v>218</v>
      </c>
      <c r="B71" s="87"/>
      <c r="C71" s="87" t="s">
        <v>328</v>
      </c>
      <c r="D71" s="98"/>
      <c r="E71" s="249" t="s">
        <v>305</v>
      </c>
      <c r="F71" s="91"/>
      <c r="G71" s="91"/>
      <c r="H71" s="91">
        <f>V71</f>
        <v>200000</v>
      </c>
      <c r="I71" s="91">
        <f>W71</f>
        <v>190000</v>
      </c>
      <c r="J71" s="91">
        <f>200000-10000</f>
        <v>190000</v>
      </c>
      <c r="K71" s="91">
        <f t="shared" ref="K71:P72" si="29">Y71</f>
        <v>520000</v>
      </c>
      <c r="L71" s="91">
        <f t="shared" si="29"/>
        <v>300000</v>
      </c>
      <c r="M71" s="91">
        <f t="shared" si="29"/>
        <v>300000</v>
      </c>
      <c r="N71" s="91">
        <f t="shared" si="29"/>
        <v>60000</v>
      </c>
      <c r="O71" s="91">
        <f t="shared" si="29"/>
        <v>220000</v>
      </c>
      <c r="P71" s="91">
        <f>AD71</f>
        <v>220000</v>
      </c>
      <c r="Q71" s="91">
        <f>AE71</f>
        <v>220000</v>
      </c>
      <c r="R71" s="91">
        <f>AF71</f>
        <v>240000</v>
      </c>
      <c r="S71" s="118"/>
      <c r="T71" s="117"/>
      <c r="U71" s="117"/>
      <c r="V71" s="117">
        <v>200000</v>
      </c>
      <c r="W71" s="117">
        <v>190000</v>
      </c>
      <c r="X71" s="117">
        <v>190000</v>
      </c>
      <c r="Y71" s="117">
        <v>520000</v>
      </c>
      <c r="Z71" s="117">
        <v>300000</v>
      </c>
      <c r="AA71" s="117">
        <v>300000</v>
      </c>
      <c r="AB71" s="117">
        <v>60000</v>
      </c>
      <c r="AC71" s="117">
        <v>220000</v>
      </c>
      <c r="AD71" s="409">
        <v>220000</v>
      </c>
      <c r="AE71" s="409">
        <v>220000</v>
      </c>
      <c r="AF71" s="409">
        <v>240000</v>
      </c>
    </row>
    <row r="72" spans="1:32" ht="63.75">
      <c r="A72" s="87" t="s">
        <v>219</v>
      </c>
      <c r="B72" s="87"/>
      <c r="C72" s="87" t="s">
        <v>342</v>
      </c>
      <c r="D72" s="98"/>
      <c r="E72" s="249" t="s">
        <v>306</v>
      </c>
      <c r="F72" s="91">
        <v>200000</v>
      </c>
      <c r="G72" s="91">
        <v>200000</v>
      </c>
      <c r="H72" s="91">
        <f>V72</f>
        <v>200000</v>
      </c>
      <c r="I72" s="91">
        <f>W72</f>
        <v>210000</v>
      </c>
      <c r="J72" s="91">
        <f>200000+10000</f>
        <v>210000</v>
      </c>
      <c r="K72" s="91">
        <f t="shared" si="29"/>
        <v>270000</v>
      </c>
      <c r="L72" s="91">
        <f t="shared" si="29"/>
        <v>230000</v>
      </c>
      <c r="M72" s="91">
        <f t="shared" si="29"/>
        <v>230000</v>
      </c>
      <c r="N72" s="91">
        <f t="shared" si="29"/>
        <v>28037.38</v>
      </c>
      <c r="O72" s="91">
        <f t="shared" si="29"/>
        <v>230000</v>
      </c>
      <c r="P72" s="91">
        <f t="shared" si="29"/>
        <v>230000</v>
      </c>
      <c r="Q72" s="91">
        <f>AE72</f>
        <v>230000</v>
      </c>
      <c r="R72" s="91">
        <f>AF72</f>
        <v>360000</v>
      </c>
      <c r="S72" s="118"/>
      <c r="T72" s="117">
        <v>200000</v>
      </c>
      <c r="U72" s="117">
        <v>200000</v>
      </c>
      <c r="V72" s="117">
        <v>200000</v>
      </c>
      <c r="W72" s="117">
        <v>210000</v>
      </c>
      <c r="X72" s="117">
        <v>210000</v>
      </c>
      <c r="Y72" s="117">
        <v>270000</v>
      </c>
      <c r="Z72" s="117">
        <v>230000</v>
      </c>
      <c r="AA72" s="117">
        <v>230000</v>
      </c>
      <c r="AB72" s="117">
        <v>28037.38</v>
      </c>
      <c r="AC72" s="117">
        <v>230000</v>
      </c>
      <c r="AD72" s="409">
        <v>230000</v>
      </c>
      <c r="AE72" s="409">
        <v>230000</v>
      </c>
      <c r="AF72" s="409">
        <v>360000</v>
      </c>
    </row>
    <row r="73" spans="1:32" ht="14.25">
      <c r="A73" s="87" t="s">
        <v>145</v>
      </c>
      <c r="B73" s="87" t="s">
        <v>115</v>
      </c>
      <c r="C73" s="87" t="s">
        <v>329</v>
      </c>
      <c r="D73" s="98"/>
      <c r="E73" s="11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118"/>
      <c r="T73" s="117">
        <v>0</v>
      </c>
      <c r="U73" s="117">
        <v>0</v>
      </c>
      <c r="V73" s="117">
        <v>0</v>
      </c>
      <c r="W73" s="117"/>
      <c r="X73" s="117">
        <v>6000</v>
      </c>
      <c r="Y73" s="117">
        <v>0</v>
      </c>
      <c r="Z73" s="117">
        <v>0</v>
      </c>
      <c r="AA73" s="117">
        <v>0</v>
      </c>
      <c r="AB73" s="117">
        <v>0</v>
      </c>
      <c r="AC73" s="117">
        <f>VLOOKUP(A73,'[8]งบเปรียบเทียบ&amp;คชจ.ขาย (Page1-6)'!$B$237:$O$297,14,0)</f>
        <v>0</v>
      </c>
      <c r="AD73" s="409">
        <f>VLOOKUP(A73,'[7]งบเปรียบเทียบ&amp;คชจ.ขาย (Page1-6)'!$B$237:$AE$298,30,0)</f>
        <v>0</v>
      </c>
      <c r="AE73" s="409">
        <f>VLOOKUP(A73,'[9]งบเปรียบเทียบ&amp;คชจ.ขาย (Page1-6)'!$B$237:$AC$302,28,0)</f>
        <v>6000</v>
      </c>
      <c r="AF73" s="409">
        <f>VLOOKUP(A73,'[10]งบเปรียบเทียบ&amp;คชจ.ขาย (Page1-6)'!$B$237:$AA$302,26,0)</f>
        <v>44960.4</v>
      </c>
    </row>
    <row r="74" spans="1:32" ht="14.25">
      <c r="A74" s="104" t="s">
        <v>38</v>
      </c>
      <c r="B74" s="87" t="s">
        <v>39</v>
      </c>
      <c r="C74" s="87" t="s">
        <v>329</v>
      </c>
      <c r="D74" s="92" t="s">
        <v>86</v>
      </c>
      <c r="E74" s="109" t="str">
        <f>D74</f>
        <v>100% For MFC</v>
      </c>
      <c r="F74" s="91">
        <f t="shared" ref="F74:I75" si="30">T74</f>
        <v>51791</v>
      </c>
      <c r="G74" s="91">
        <f t="shared" si="30"/>
        <v>51791</v>
      </c>
      <c r="H74" s="91">
        <f t="shared" si="30"/>
        <v>51791</v>
      </c>
      <c r="I74" s="91">
        <f t="shared" si="30"/>
        <v>51791</v>
      </c>
      <c r="J74" s="91">
        <f t="shared" ref="J74:R75" si="31">X74</f>
        <v>51791</v>
      </c>
      <c r="K74" s="91">
        <f t="shared" si="31"/>
        <v>51791</v>
      </c>
      <c r="L74" s="91">
        <f t="shared" si="31"/>
        <v>51799</v>
      </c>
      <c r="M74" s="91">
        <f t="shared" si="31"/>
        <v>51791</v>
      </c>
      <c r="N74" s="91">
        <f t="shared" si="31"/>
        <v>55980.81</v>
      </c>
      <c r="O74" s="91">
        <f t="shared" si="31"/>
        <v>53366</v>
      </c>
      <c r="P74" s="91">
        <f t="shared" si="31"/>
        <v>54941</v>
      </c>
      <c r="Q74" s="91">
        <f t="shared" si="31"/>
        <v>54941</v>
      </c>
      <c r="R74" s="91">
        <f t="shared" si="31"/>
        <v>53366</v>
      </c>
      <c r="S74" s="116"/>
      <c r="T74" s="117">
        <v>51791</v>
      </c>
      <c r="U74" s="117">
        <v>51791</v>
      </c>
      <c r="V74" s="117">
        <v>51791</v>
      </c>
      <c r="W74" s="117">
        <v>51791</v>
      </c>
      <c r="X74" s="117">
        <v>51791</v>
      </c>
      <c r="Y74" s="117">
        <v>51791</v>
      </c>
      <c r="Z74" s="117">
        <v>51799</v>
      </c>
      <c r="AA74" s="117">
        <v>51791</v>
      </c>
      <c r="AB74" s="117">
        <v>55980.81</v>
      </c>
      <c r="AC74" s="117">
        <f>VLOOKUP(A74,'[8]งบเปรียบเทียบ&amp;คชจ.ขาย (Page1-6)'!$B$237:$O$297,14,0)</f>
        <v>53366</v>
      </c>
      <c r="AD74" s="409">
        <f>VLOOKUP(A74,'[7]งบเปรียบเทียบ&amp;คชจ.ขาย (Page1-6)'!$B$237:$AE$298,30,0)</f>
        <v>54941</v>
      </c>
      <c r="AE74" s="409">
        <f>VLOOKUP(A74,'[9]งบเปรียบเทียบ&amp;คชจ.ขาย (Page1-6)'!$B$237:$AC$302,28,0)</f>
        <v>54941</v>
      </c>
      <c r="AF74" s="409">
        <f>VLOOKUP(A74,'[10]งบเปรียบเทียบ&amp;คชจ.ขาย (Page1-6)'!$B$237:$AA$302,26,0)</f>
        <v>53366</v>
      </c>
    </row>
    <row r="75" spans="1:32" ht="14.25">
      <c r="A75" s="104" t="s">
        <v>40</v>
      </c>
      <c r="B75" s="87" t="s">
        <v>41</v>
      </c>
      <c r="C75" s="87" t="s">
        <v>329</v>
      </c>
      <c r="D75" s="92" t="s">
        <v>86</v>
      </c>
      <c r="E75" s="109" t="str">
        <f>D75</f>
        <v>100% For MFC</v>
      </c>
      <c r="F75" s="91">
        <f t="shared" si="30"/>
        <v>17000</v>
      </c>
      <c r="G75" s="91">
        <f t="shared" si="30"/>
        <v>25682.67</v>
      </c>
      <c r="H75" s="91">
        <f t="shared" si="30"/>
        <v>19644.909999999989</v>
      </c>
      <c r="I75" s="91">
        <f t="shared" si="30"/>
        <v>20000</v>
      </c>
      <c r="J75" s="91">
        <f t="shared" si="31"/>
        <v>27708.03</v>
      </c>
      <c r="K75" s="91">
        <f t="shared" si="31"/>
        <v>25151.649999999994</v>
      </c>
      <c r="L75" s="91">
        <f t="shared" si="31"/>
        <v>25933.759999999998</v>
      </c>
      <c r="M75" s="91">
        <f t="shared" si="31"/>
        <v>23552.680000000004</v>
      </c>
      <c r="N75" s="91">
        <f t="shared" si="31"/>
        <v>32867.89</v>
      </c>
      <c r="O75" s="91">
        <f t="shared" si="31"/>
        <v>25824.339999999997</v>
      </c>
      <c r="P75" s="91">
        <f t="shared" si="31"/>
        <v>31320.250000000015</v>
      </c>
      <c r="Q75" s="91">
        <f t="shared" si="31"/>
        <v>25987.479999999981</v>
      </c>
      <c r="R75" s="91">
        <f t="shared" si="31"/>
        <v>33479.160000000003</v>
      </c>
      <c r="S75" s="116"/>
      <c r="T75" s="117">
        <v>17000</v>
      </c>
      <c r="U75" s="117">
        <v>25682.67</v>
      </c>
      <c r="V75" s="117">
        <v>19644.909999999989</v>
      </c>
      <c r="W75" s="117">
        <v>20000</v>
      </c>
      <c r="X75" s="117">
        <v>27708.03</v>
      </c>
      <c r="Y75" s="117">
        <v>25151.649999999994</v>
      </c>
      <c r="Z75" s="117">
        <v>25933.759999999998</v>
      </c>
      <c r="AA75" s="117">
        <v>23552.680000000004</v>
      </c>
      <c r="AB75" s="117">
        <v>32867.89</v>
      </c>
      <c r="AC75" s="117">
        <f>VLOOKUP(A75,'[8]งบเปรียบเทียบ&amp;คชจ.ขาย (Page1-6)'!$B$237:$O$297,14,0)</f>
        <v>25824.339999999997</v>
      </c>
      <c r="AD75" s="409">
        <f>VLOOKUP(A75,'[7]งบเปรียบเทียบ&amp;คชจ.ขาย (Page1-6)'!$B$237:$AE$298,30,0)</f>
        <v>31320.250000000015</v>
      </c>
      <c r="AE75" s="409">
        <f>VLOOKUP(A75,'[9]งบเปรียบเทียบ&amp;คชจ.ขาย (Page1-6)'!$B$237:$AC$302,28,0)</f>
        <v>25987.479999999981</v>
      </c>
      <c r="AF75" s="409">
        <f>VLOOKUP(A75,'[10]งบเปรียบเทียบ&amp;คชจ.ขาย (Page1-6)'!$B$237:$AA$302,26,0)</f>
        <v>33479.160000000003</v>
      </c>
    </row>
    <row r="76" spans="1:32" ht="14.25">
      <c r="A76" s="87" t="s">
        <v>116</v>
      </c>
      <c r="B76" s="87" t="s">
        <v>116</v>
      </c>
      <c r="C76" s="87"/>
      <c r="D76" s="92" t="s">
        <v>153</v>
      </c>
      <c r="E76" s="109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116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409"/>
      <c r="AE76" s="409"/>
      <c r="AF76" s="409"/>
    </row>
    <row r="77" spans="1:32" ht="14.25">
      <c r="A77" s="104" t="s">
        <v>146</v>
      </c>
      <c r="B77" s="87" t="s">
        <v>117</v>
      </c>
      <c r="C77" s="87"/>
      <c r="D77" s="92"/>
      <c r="E77" s="109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116"/>
      <c r="T77" s="117">
        <v>0</v>
      </c>
      <c r="U77" s="117">
        <v>0</v>
      </c>
      <c r="V77" s="117">
        <v>0</v>
      </c>
      <c r="W77" s="117"/>
      <c r="X77" s="117">
        <v>0</v>
      </c>
      <c r="Y77" s="117">
        <v>0</v>
      </c>
      <c r="Z77" s="117">
        <v>0</v>
      </c>
      <c r="AA77" s="117">
        <v>0</v>
      </c>
      <c r="AB77" s="117">
        <v>0</v>
      </c>
      <c r="AC77" s="117">
        <f>VLOOKUP(A77,'[8]งบเปรียบเทียบ&amp;คชจ.ขาย (Page1-6)'!$B$237:$O$297,14,0)</f>
        <v>0</v>
      </c>
      <c r="AD77" s="409">
        <f>VLOOKUP(A77,'[7]งบเปรียบเทียบ&amp;คชจ.ขาย (Page1-6)'!$B$237:$AE$298,30,0)</f>
        <v>0</v>
      </c>
      <c r="AE77" s="409"/>
      <c r="AF77" s="409"/>
    </row>
    <row r="78" spans="1:32" ht="14.25">
      <c r="A78" s="104" t="s">
        <v>147</v>
      </c>
      <c r="B78" s="87" t="s">
        <v>118</v>
      </c>
      <c r="C78" s="87" t="s">
        <v>338</v>
      </c>
      <c r="D78" s="92" t="s">
        <v>153</v>
      </c>
      <c r="E78" s="109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116"/>
      <c r="T78" s="117">
        <v>1301.8700000000026</v>
      </c>
      <c r="U78" s="117">
        <v>1292.8899999999994</v>
      </c>
      <c r="V78" s="117">
        <v>1842.8899999999994</v>
      </c>
      <c r="W78" s="117">
        <v>1536.2099999999991</v>
      </c>
      <c r="X78" s="117">
        <v>2120.5800000000017</v>
      </c>
      <c r="Y78" s="117">
        <v>2668.3799999999974</v>
      </c>
      <c r="Z78" s="117">
        <v>1949.16</v>
      </c>
      <c r="AA78" s="117">
        <v>1419.6699999999998</v>
      </c>
      <c r="AB78" s="117">
        <v>3383.88</v>
      </c>
      <c r="AC78" s="117">
        <f>VLOOKUP(A78,'[8]งบเปรียบเทียบ&amp;คชจ.ขาย (Page1-6)'!$B$237:$O$297,14,0)</f>
        <v>2980.96</v>
      </c>
      <c r="AD78" s="409">
        <f>VLOOKUP(A78,'[7]งบเปรียบเทียบ&amp;คชจ.ขาย (Page1-6)'!$B$237:$AE$298,30,0)</f>
        <v>4216.6000000000004</v>
      </c>
      <c r="AE78" s="409">
        <f>VLOOKUP(A78,'[9]งบเปรียบเทียบ&amp;คชจ.ขาย (Page1-6)'!$B$237:$AC$302,28,0)</f>
        <v>3228.5400000000009</v>
      </c>
      <c r="AF78" s="409">
        <f>VLOOKUP(A78,'[10]งบเปรียบเทียบ&amp;คชจ.ขาย (Page1-6)'!$B$237:$AA$302,26,0)</f>
        <v>4149.1899999999987</v>
      </c>
    </row>
    <row r="79" spans="1:32" ht="14.25">
      <c r="A79" s="87" t="s">
        <v>42</v>
      </c>
      <c r="B79" s="87" t="s">
        <v>43</v>
      </c>
      <c r="C79" s="87"/>
      <c r="D79" s="92"/>
      <c r="E79" s="109"/>
      <c r="F79" s="105">
        <f t="shared" ref="F79:O79" si="32">SUM(F13:F78)</f>
        <v>6714999.8197976854</v>
      </c>
      <c r="G79" s="105">
        <f t="shared" si="32"/>
        <v>5624383.7713632826</v>
      </c>
      <c r="H79" s="105">
        <f t="shared" si="32"/>
        <v>6604727.8873488009</v>
      </c>
      <c r="I79" s="105">
        <f t="shared" si="32"/>
        <v>6627690.5512759741</v>
      </c>
      <c r="J79" s="105">
        <f t="shared" si="32"/>
        <v>7135040.5049146889</v>
      </c>
      <c r="K79" s="105">
        <f t="shared" si="32"/>
        <v>13587568.941173082</v>
      </c>
      <c r="L79" s="105">
        <f t="shared" si="32"/>
        <v>8063281.0110401064</v>
      </c>
      <c r="M79" s="105">
        <f t="shared" si="32"/>
        <v>8667803.3629249893</v>
      </c>
      <c r="N79" s="105">
        <f t="shared" si="32"/>
        <v>9913290.9469285309</v>
      </c>
      <c r="O79" s="105">
        <f t="shared" si="32"/>
        <v>9164054.8937689587</v>
      </c>
      <c r="P79" s="105">
        <f>SUM(P13:P78)</f>
        <v>9865740.9816193562</v>
      </c>
      <c r="Q79" s="105">
        <f>SUM(Q13:Q78)</f>
        <v>10141310.361966601</v>
      </c>
      <c r="R79" s="105">
        <f>SUM(R13:R78)</f>
        <v>10202956.46230107</v>
      </c>
      <c r="S79" s="121"/>
      <c r="T79" s="121">
        <f t="shared" ref="T79:AF79" si="33">SUM(T13:T78)</f>
        <v>15118453.839999998</v>
      </c>
      <c r="U79" s="121">
        <f t="shared" si="33"/>
        <v>11263971.550000001</v>
      </c>
      <c r="V79" s="121">
        <f t="shared" si="33"/>
        <v>12117233.09</v>
      </c>
      <c r="W79" s="121">
        <f t="shared" si="33"/>
        <v>11330233.860000011</v>
      </c>
      <c r="X79" s="121">
        <f t="shared" si="33"/>
        <v>11733257.050000001</v>
      </c>
      <c r="Y79" s="121">
        <f t="shared" si="33"/>
        <v>12326154.41</v>
      </c>
      <c r="Z79" s="325">
        <f t="shared" si="33"/>
        <v>11628804.42</v>
      </c>
      <c r="AA79" s="325">
        <f t="shared" si="33"/>
        <v>11992059.59</v>
      </c>
      <c r="AB79" s="325">
        <f t="shared" si="33"/>
        <v>13807534.340000002</v>
      </c>
      <c r="AC79" s="325">
        <f t="shared" si="33"/>
        <v>12152667.469999999</v>
      </c>
      <c r="AD79" s="325">
        <f t="shared" si="33"/>
        <v>12617262.789999999</v>
      </c>
      <c r="AE79" s="325">
        <f t="shared" si="33"/>
        <v>12762636.140000002</v>
      </c>
      <c r="AF79" s="325">
        <f t="shared" si="33"/>
        <v>12363419.809999999</v>
      </c>
    </row>
    <row r="80" spans="1:32" ht="14.25">
      <c r="A80" s="87" t="s">
        <v>44</v>
      </c>
      <c r="B80" s="87" t="s">
        <v>45</v>
      </c>
      <c r="C80" s="87" t="s">
        <v>343</v>
      </c>
      <c r="D80" s="92" t="s">
        <v>150</v>
      </c>
      <c r="E80" s="109" t="s">
        <v>86</v>
      </c>
      <c r="F80" s="91">
        <f t="shared" ref="F80:I81" si="34">T80</f>
        <v>275420.28000000026</v>
      </c>
      <c r="G80" s="91">
        <f t="shared" si="34"/>
        <v>283623.81000000006</v>
      </c>
      <c r="H80" s="91">
        <f t="shared" si="34"/>
        <v>295735.96999999974</v>
      </c>
      <c r="I80" s="91">
        <f t="shared" si="34"/>
        <v>315210.54000000004</v>
      </c>
      <c r="J80" s="91">
        <v>324848.44000000041</v>
      </c>
      <c r="K80" s="91">
        <v>324848.44000000041</v>
      </c>
      <c r="L80" s="91">
        <v>324848.44000000041</v>
      </c>
      <c r="M80" s="91">
        <v>324440.27999999997</v>
      </c>
      <c r="N80" s="91">
        <v>324440.27999999997</v>
      </c>
      <c r="O80" s="91">
        <f t="shared" ref="O80:R81" si="35">AC80</f>
        <v>325409.94999999995</v>
      </c>
      <c r="P80" s="91">
        <f t="shared" si="35"/>
        <v>326790.5</v>
      </c>
      <c r="Q80" s="91">
        <f t="shared" si="35"/>
        <v>335551.0700000003</v>
      </c>
      <c r="R80" s="91">
        <f t="shared" si="35"/>
        <v>306734.30999999959</v>
      </c>
      <c r="S80" s="118"/>
      <c r="T80" s="117">
        <v>275420.28000000026</v>
      </c>
      <c r="U80" s="117">
        <v>283623.81000000006</v>
      </c>
      <c r="V80" s="117">
        <v>295735.96999999974</v>
      </c>
      <c r="W80" s="117">
        <v>315210.54000000004</v>
      </c>
      <c r="X80" s="117">
        <v>324848.44000000041</v>
      </c>
      <c r="Y80" s="117">
        <v>320572.2799999998</v>
      </c>
      <c r="Z80" s="117">
        <v>322674.44</v>
      </c>
      <c r="AA80" s="117">
        <v>324440.27999999997</v>
      </c>
      <c r="AB80" s="117">
        <v>340130.10000000009</v>
      </c>
      <c r="AC80" s="117">
        <v>325409.94999999995</v>
      </c>
      <c r="AD80" s="117">
        <v>326790.5</v>
      </c>
      <c r="AE80" s="117">
        <v>335551.0700000003</v>
      </c>
      <c r="AF80" s="117">
        <f>VLOOKUP(A80,'[10]งบเปรียบเทียบ&amp;คชจ.ขาย (Page1-6)'!$B$237:$AA$302,26,0)</f>
        <v>306734.30999999959</v>
      </c>
    </row>
    <row r="81" spans="1:32" ht="14.25">
      <c r="A81" s="87" t="s">
        <v>46</v>
      </c>
      <c r="B81" s="87" t="s">
        <v>47</v>
      </c>
      <c r="C81" s="87" t="s">
        <v>343</v>
      </c>
      <c r="D81" s="92" t="s">
        <v>150</v>
      </c>
      <c r="E81" s="109" t="s">
        <v>86</v>
      </c>
      <c r="F81" s="91">
        <f t="shared" si="34"/>
        <v>33668.389999999985</v>
      </c>
      <c r="G81" s="91">
        <f t="shared" si="34"/>
        <v>34451.079999999987</v>
      </c>
      <c r="H81" s="91">
        <f t="shared" si="34"/>
        <v>61792.699999999953</v>
      </c>
      <c r="I81" s="91">
        <f t="shared" si="34"/>
        <v>36588.120000000054</v>
      </c>
      <c r="J81" s="91">
        <v>38087.049999999988</v>
      </c>
      <c r="K81" s="91">
        <v>38087.049999999988</v>
      </c>
      <c r="L81" s="91">
        <v>38087.049999999988</v>
      </c>
      <c r="M81" s="91">
        <v>38269.269999999997</v>
      </c>
      <c r="N81" s="91">
        <v>38269.269999999997</v>
      </c>
      <c r="O81" s="91">
        <f t="shared" si="35"/>
        <v>37990.700000000012</v>
      </c>
      <c r="P81" s="91">
        <f t="shared" si="35"/>
        <v>38205.669999999984</v>
      </c>
      <c r="Q81" s="91">
        <f t="shared" si="35"/>
        <v>38534.459999999992</v>
      </c>
      <c r="R81" s="91">
        <f t="shared" si="35"/>
        <v>39093.839999999997</v>
      </c>
      <c r="S81" s="118"/>
      <c r="T81" s="117">
        <v>33668.389999999985</v>
      </c>
      <c r="U81" s="117">
        <v>34451.079999999987</v>
      </c>
      <c r="V81" s="117">
        <v>61792.699999999953</v>
      </c>
      <c r="W81" s="117">
        <v>36588.120000000054</v>
      </c>
      <c r="X81" s="117">
        <v>38087.049999999988</v>
      </c>
      <c r="Y81" s="117">
        <v>38744.520000000019</v>
      </c>
      <c r="Z81" s="117">
        <v>37098.21</v>
      </c>
      <c r="AA81" s="117">
        <v>38269.269999999997</v>
      </c>
      <c r="AB81" s="117">
        <v>37847.449999999997</v>
      </c>
      <c r="AC81" s="117">
        <v>37990.700000000012</v>
      </c>
      <c r="AD81" s="117">
        <v>38205.669999999984</v>
      </c>
      <c r="AE81" s="117">
        <v>38534.459999999992</v>
      </c>
      <c r="AF81" s="117">
        <f>VLOOKUP(A81,'[10]งบเปรียบเทียบ&amp;คชจ.ขาย (Page1-6)'!$B$237:$AA$302,26,0)</f>
        <v>39093.839999999997</v>
      </c>
    </row>
    <row r="82" spans="1:32" s="81" customFormat="1" ht="15.75" thickBot="1">
      <c r="A82" s="106" t="s">
        <v>48</v>
      </c>
      <c r="B82" s="106" t="s">
        <v>49</v>
      </c>
      <c r="C82" s="106"/>
      <c r="D82" s="106"/>
      <c r="E82" s="106"/>
      <c r="F82" s="107">
        <f t="shared" ref="F82:M82" si="36">SUM(F79:F81)</f>
        <v>7024088.4897976853</v>
      </c>
      <c r="G82" s="107">
        <f t="shared" si="36"/>
        <v>5942458.6613632832</v>
      </c>
      <c r="H82" s="107">
        <f t="shared" si="36"/>
        <v>6962256.5573488008</v>
      </c>
      <c r="I82" s="107">
        <f t="shared" si="36"/>
        <v>6979489.2112759743</v>
      </c>
      <c r="J82" s="107">
        <f t="shared" si="36"/>
        <v>7497975.9949146891</v>
      </c>
      <c r="K82" s="107">
        <f t="shared" si="36"/>
        <v>13950504.431173082</v>
      </c>
      <c r="L82" s="107">
        <f t="shared" si="36"/>
        <v>8426216.5010401066</v>
      </c>
      <c r="M82" s="107">
        <f t="shared" si="36"/>
        <v>9030512.9129249882</v>
      </c>
      <c r="N82" s="107">
        <f t="shared" ref="N82:O82" si="37">SUM(N79:N81)</f>
        <v>10276000.49692853</v>
      </c>
      <c r="O82" s="107">
        <f t="shared" si="37"/>
        <v>9527455.5437689573</v>
      </c>
      <c r="P82" s="107">
        <f>SUM(P79:P81)</f>
        <v>10230737.151619356</v>
      </c>
      <c r="Q82" s="107">
        <f>SUM(Q79:Q81)</f>
        <v>10515395.891966602</v>
      </c>
      <c r="R82" s="107">
        <f>SUM(R79:R81)</f>
        <v>10548784.61230107</v>
      </c>
      <c r="S82" s="122"/>
      <c r="T82" s="123">
        <f t="shared" ref="T82:AA82" si="38">T79+T80+T81</f>
        <v>15427542.509999998</v>
      </c>
      <c r="U82" s="123">
        <f t="shared" si="38"/>
        <v>11582046.440000001</v>
      </c>
      <c r="V82" s="123">
        <f t="shared" si="38"/>
        <v>12474761.759999998</v>
      </c>
      <c r="W82" s="123">
        <f t="shared" si="38"/>
        <v>11682032.520000009</v>
      </c>
      <c r="X82" s="123">
        <f t="shared" si="38"/>
        <v>12096192.540000003</v>
      </c>
      <c r="Y82" s="313">
        <f t="shared" si="38"/>
        <v>12685471.209999999</v>
      </c>
      <c r="Z82" s="313">
        <f t="shared" si="38"/>
        <v>11988577.07</v>
      </c>
      <c r="AA82" s="313">
        <f t="shared" si="38"/>
        <v>12354769.139999999</v>
      </c>
      <c r="AB82" s="313">
        <f>AB79+AB80+AB81</f>
        <v>14185511.890000001</v>
      </c>
      <c r="AC82" s="313">
        <f>AC79+AC80+AC81</f>
        <v>12516068.119999997</v>
      </c>
      <c r="AD82" s="313">
        <f>AD79+AD80+AD81</f>
        <v>12982258.959999999</v>
      </c>
      <c r="AE82" s="313">
        <f>AE79+AE80+AE81</f>
        <v>13136721.670000004</v>
      </c>
      <c r="AF82" s="313">
        <f>AF79+AF80+AF81</f>
        <v>12709247.959999997</v>
      </c>
    </row>
    <row r="83" spans="1:32" ht="17.25" thickTop="1">
      <c r="F83" s="108">
        <f t="shared" ref="F83:R83" si="39">F82/T82</f>
        <v>0.45529535797712001</v>
      </c>
      <c r="G83" s="108">
        <f t="shared" si="39"/>
        <v>0.51307501590049598</v>
      </c>
      <c r="H83" s="108">
        <f t="shared" si="39"/>
        <v>0.55810737642085451</v>
      </c>
      <c r="I83" s="108">
        <f t="shared" si="39"/>
        <v>0.59745504040729802</v>
      </c>
      <c r="J83" s="108">
        <f t="shared" si="39"/>
        <v>0.61986248731740901</v>
      </c>
      <c r="K83" s="108">
        <f t="shared" si="39"/>
        <v>1.0997229980842851</v>
      </c>
      <c r="L83" s="108">
        <f t="shared" si="39"/>
        <v>0.702853762530811</v>
      </c>
      <c r="M83" s="108">
        <f t="shared" si="39"/>
        <v>0.73093335946583204</v>
      </c>
      <c r="N83" s="108">
        <f t="shared" si="39"/>
        <v>0.72440110562189441</v>
      </c>
      <c r="O83" s="108">
        <f t="shared" si="39"/>
        <v>0.76121793620990286</v>
      </c>
      <c r="P83" s="108">
        <f t="shared" si="39"/>
        <v>0.78805523623751206</v>
      </c>
      <c r="Q83" s="108">
        <f t="shared" si="39"/>
        <v>0.80045814748289468</v>
      </c>
      <c r="R83" s="108">
        <f t="shared" si="39"/>
        <v>0.83000856112819699</v>
      </c>
      <c r="T83" s="90"/>
      <c r="U83" s="90"/>
      <c r="V83" s="90"/>
      <c r="W83" s="90"/>
      <c r="AB83" s="80"/>
      <c r="AC83" s="90"/>
      <c r="AD83" s="80"/>
    </row>
    <row r="84" spans="1:32">
      <c r="T84" s="82"/>
      <c r="U84" s="82"/>
      <c r="V84" s="82"/>
      <c r="W84" s="82"/>
    </row>
    <row r="90" spans="1:32">
      <c r="B90" s="82"/>
      <c r="C90" s="82"/>
    </row>
    <row r="91" spans="1:32">
      <c r="B91" s="82"/>
      <c r="C91" s="82"/>
    </row>
    <row r="92" spans="1:32">
      <c r="A92" s="79"/>
      <c r="B92" s="79"/>
      <c r="C92" s="79"/>
    </row>
    <row r="95" spans="1:32">
      <c r="B95" s="83"/>
      <c r="C95" s="83"/>
    </row>
    <row r="96" spans="1:32">
      <c r="B96" s="83"/>
      <c r="C96" s="83"/>
    </row>
  </sheetData>
  <autoFilter ref="A12:AD83"/>
  <pageMargins left="0.7" right="0.7" top="0.75" bottom="0.75" header="0.3" footer="0.3"/>
  <pageSetup paperSize="9" scale="62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13" zoomScaleNormal="100" workbookViewId="0">
      <pane xSplit="2" topLeftCell="C1" activePane="topRight" state="frozen"/>
      <selection pane="topRight" activeCell="W2" sqref="W2"/>
    </sheetView>
  </sheetViews>
  <sheetFormatPr defaultRowHeight="15"/>
  <cols>
    <col min="1" max="1" width="56.85546875" hidden="1" customWidth="1"/>
    <col min="2" max="2" width="9.140625" hidden="1" customWidth="1"/>
    <col min="3" max="7" width="16.140625" hidden="1" customWidth="1"/>
    <col min="8" max="8" width="19.140625" hidden="1" customWidth="1"/>
    <col min="9" max="9" width="16.5703125" hidden="1" customWidth="1"/>
    <col min="10" max="10" width="15.7109375" hidden="1" customWidth="1"/>
    <col min="11" max="11" width="16.140625" bestFit="1" customWidth="1"/>
    <col min="12" max="12" width="16.140625" hidden="1" customWidth="1"/>
    <col min="13" max="13" width="17.42578125" customWidth="1"/>
    <col min="14" max="14" width="17.42578125" hidden="1" customWidth="1"/>
    <col min="15" max="15" width="17.42578125" customWidth="1"/>
    <col min="16" max="16" width="16.140625" hidden="1" customWidth="1"/>
    <col min="17" max="17" width="16.140625" customWidth="1"/>
    <col min="18" max="18" width="17.42578125" hidden="1" customWidth="1"/>
    <col min="19" max="19" width="15.85546875" customWidth="1"/>
    <col min="20" max="20" width="17.42578125" customWidth="1"/>
    <col min="21" max="22" width="15.7109375" customWidth="1"/>
    <col min="23" max="23" width="16.140625" bestFit="1" customWidth="1"/>
  </cols>
  <sheetData>
    <row r="1" spans="1:23" ht="15.75" thickBot="1">
      <c r="A1" s="474" t="s">
        <v>360</v>
      </c>
      <c r="B1" s="475" t="s">
        <v>358</v>
      </c>
      <c r="C1" s="475" t="s">
        <v>207</v>
      </c>
      <c r="D1" s="476" t="s">
        <v>213</v>
      </c>
      <c r="E1" s="475" t="s">
        <v>217</v>
      </c>
      <c r="F1" s="476" t="s">
        <v>303</v>
      </c>
      <c r="G1" s="477" t="s">
        <v>321</v>
      </c>
      <c r="H1" s="477" t="s">
        <v>361</v>
      </c>
      <c r="I1" s="498" t="s">
        <v>461</v>
      </c>
      <c r="J1" s="478" t="s">
        <v>365</v>
      </c>
      <c r="K1" s="478" t="s">
        <v>462</v>
      </c>
      <c r="L1" s="478" t="s">
        <v>366</v>
      </c>
      <c r="M1" s="478" t="s">
        <v>463</v>
      </c>
      <c r="N1" s="478" t="s">
        <v>397</v>
      </c>
      <c r="O1" s="478" t="s">
        <v>464</v>
      </c>
      <c r="P1" s="478" t="s">
        <v>453</v>
      </c>
      <c r="Q1" s="478" t="s">
        <v>465</v>
      </c>
      <c r="R1" s="478" t="s">
        <v>485</v>
      </c>
      <c r="S1" s="504" t="s">
        <v>488</v>
      </c>
      <c r="T1" s="478" t="s">
        <v>492</v>
      </c>
      <c r="U1" s="488" t="s">
        <v>493</v>
      </c>
      <c r="V1" s="488" t="s">
        <v>496</v>
      </c>
      <c r="W1" s="488" t="s">
        <v>504</v>
      </c>
    </row>
    <row r="2" spans="1:23">
      <c r="A2" s="452" t="s">
        <v>484</v>
      </c>
      <c r="B2" s="479" t="s">
        <v>327</v>
      </c>
      <c r="C2" s="480">
        <f>SUMIF('OPEX MFC'!C:C,'Opex Grouping'!B:B,'OPEX MFC'!F:F)</f>
        <v>1292417.19</v>
      </c>
      <c r="D2" s="481">
        <f>SUMIF('OPEX MFC'!C:C,'Opex Grouping'!B:B,'OPEX MFC'!G:G)</f>
        <v>1382431.5099999995</v>
      </c>
      <c r="E2" s="480">
        <f>SUMIF('OPEX MFC'!C:C,'Opex Grouping'!B:B,'OPEX MFC'!H:H)</f>
        <v>1482682.41</v>
      </c>
      <c r="F2" s="481">
        <f>SUMIF('OPEX MFC'!C:C,'Opex Grouping'!B:B,'OPEX MFC'!I:I)</f>
        <v>1682761.74</v>
      </c>
      <c r="G2" s="480">
        <f>SUMIF('OPEX MFC'!C:C,'Opex Grouping'!B:B,'OPEX MFC'!J:J)</f>
        <v>1714857.68</v>
      </c>
      <c r="H2" s="503">
        <f>SUMIF('OPEX MFC'!C:C,'Opex Grouping'!B:B,'OPEX MFC'!K:K)</f>
        <v>7427143.79</v>
      </c>
      <c r="I2" s="497">
        <f>SUMIF('OPEX MFC'!C:C,'Opex Grouping'!B:B,'OPEX MFC'!Y:Y)</f>
        <v>252000</v>
      </c>
      <c r="J2" s="500">
        <f>SUMIF('OPEX MFC'!C:C,'Opex Grouping'!B:B,'OPEX MFC'!L:L)</f>
        <v>2288745.4699999997</v>
      </c>
      <c r="K2" s="480">
        <f>SUMIF('OPEX MFC'!C:C,'Opex Grouping'!B:B,'OPEX MFC'!Z:Z)</f>
        <v>0</v>
      </c>
      <c r="L2" s="480">
        <f>SUMIF('OPEX MFC'!C:C,'Opex Grouping'!B:B,'OPEX MFC'!M:M)</f>
        <v>2326821.67</v>
      </c>
      <c r="M2" s="480">
        <f>SUMIF('OPEX MFC'!C:C,'Opex Grouping'!B:B,'OPEX MFC'!AA:AA)</f>
        <v>0</v>
      </c>
      <c r="N2" s="480">
        <f>SUMIF('OPEX MFC'!C:C,'Opex Grouping'!B:B,'OPEX MFC'!N:N)</f>
        <v>2774780.01</v>
      </c>
      <c r="O2" s="480">
        <f>SUMIF('OPEX MFC'!C:C,'Opex Grouping'!B:B,'OPEX MFC'!AB:AB)</f>
        <v>0</v>
      </c>
      <c r="P2" s="480">
        <f>SUMIF('OPEX MFC'!$C:$C,'Opex Grouping'!$B:$B,'OPEX MFC'!O:O)</f>
        <v>2419308.39</v>
      </c>
      <c r="Q2" s="480">
        <f>SUMIF('OPEX MFC'!$C:$C,'Opex Grouping'!$B:$B,'OPEX MFC'!AC:AC)</f>
        <v>0</v>
      </c>
      <c r="R2" s="480">
        <f>SUMIF('OPEX MFC'!$C:$C,'Opex Grouping'!$B:$B,'OPEX MFC'!P:P)</f>
        <v>2934525</v>
      </c>
      <c r="S2" s="480">
        <v>0</v>
      </c>
      <c r="T2" s="480">
        <f>SUMIF('OPEX MFC'!$C:$C,'Opex Grouping'!$B:$B,'OPEX MFC'!Q:Q)</f>
        <v>2993629.58</v>
      </c>
      <c r="U2" s="480">
        <f>SUMIF('OPEX MFC'!$C:$C,'Opex Grouping'!$B:$B,'OPEX MFC'!AE:AE)</f>
        <v>0</v>
      </c>
      <c r="V2" s="480">
        <f>SUMIF('OPEX MFC'!$C:$C,'Opex Grouping'!$B:$B,'OPEX MFC'!R:R)</f>
        <v>3138872.71</v>
      </c>
      <c r="W2" s="480">
        <f>SUMIF('OPEX MFC'!$C:$C,'Opex Grouping'!$B:$B,'OPEX MFC'!AF:AF)</f>
        <v>0</v>
      </c>
    </row>
    <row r="3" spans="1:23">
      <c r="A3" s="469" t="s">
        <v>482</v>
      </c>
      <c r="B3" s="482" t="s">
        <v>480</v>
      </c>
      <c r="C3" s="483"/>
      <c r="D3" s="484"/>
      <c r="E3" s="483"/>
      <c r="F3" s="484"/>
      <c r="G3" s="483"/>
      <c r="H3" s="502">
        <f>SUMIF('OPEX MFC'!C:C,'Opex Grouping'!B:B,'OPEX MFC'!K:K)</f>
        <v>8650</v>
      </c>
      <c r="I3" s="483">
        <f>SUMIF('OPEX MFC'!C:C,'Opex Grouping'!B:B,'OPEX MFC'!Y:Y)</f>
        <v>8650</v>
      </c>
      <c r="J3" s="499">
        <f>SUMIF('OPEX MFC'!C:C,'Opex Grouping'!B:B,'OPEX MFC'!L:L)</f>
        <v>7400</v>
      </c>
      <c r="K3" s="483">
        <f>SUMIF('OPEX MFC'!C:C,'Opex Grouping'!B:B,'OPEX MFC'!Z:Z)</f>
        <v>7400</v>
      </c>
      <c r="L3" s="483">
        <f>SUMIF('OPEX MFC'!C:C,'Opex Grouping'!B:B,'OPEX MFC'!M:M)</f>
        <v>8950</v>
      </c>
      <c r="M3" s="483">
        <f>SUMIF('OPEX MFC'!C:C,'Opex Grouping'!B:B,'OPEX MFC'!AA:AA)</f>
        <v>8950</v>
      </c>
      <c r="N3" s="483">
        <f>SUMIF('OPEX MFC'!C:C,'Opex Grouping'!B:B,'OPEX MFC'!N:N)</f>
        <v>13850</v>
      </c>
      <c r="O3" s="483">
        <f>SUMIF('OPEX MFC'!C:C,'Opex Grouping'!B:B,'OPEX MFC'!AB:AB)</f>
        <v>13850</v>
      </c>
      <c r="P3" s="483">
        <f>SUMIF('OPEX MFC'!C:C,'Opex Grouping'!B:B,'OPEX MFC'!O:O)</f>
        <v>5050</v>
      </c>
      <c r="Q3" s="483">
        <f>SUMIF('OPEX MFC'!C:C,'Opex Grouping'!B:B,'OPEX MFC'!AC:AC)</f>
        <v>5050</v>
      </c>
      <c r="R3" s="483">
        <f>SUMIF('OPEX MFC'!$C:$C,'Opex Grouping'!$B:$B,'OPEX MFC'!P:P)</f>
        <v>15037.5</v>
      </c>
      <c r="S3" s="483">
        <v>15037.5</v>
      </c>
      <c r="T3" s="483">
        <f>SUMIF('OPEX MFC'!$C:$C,'Opex Grouping'!$B:$B,'OPEX MFC'!Q:Q)</f>
        <v>20400</v>
      </c>
      <c r="U3" s="483">
        <f>SUMIF('OPEX MFC'!$C:$C,'Opex Grouping'!$B:$B,'OPEX MFC'!AE:AE)</f>
        <v>20400</v>
      </c>
      <c r="V3" s="480">
        <f>SUMIF('OPEX MFC'!$C:$C,'Opex Grouping'!$B:$B,'OPEX MFC'!R:R)</f>
        <v>13750</v>
      </c>
      <c r="W3" s="480">
        <f>SUMIF('OPEX MFC'!$C:$C,'Opex Grouping'!$B:$B,'OPEX MFC'!AF:AF)</f>
        <v>13750</v>
      </c>
    </row>
    <row r="4" spans="1:23">
      <c r="A4" s="342" t="s">
        <v>483</v>
      </c>
      <c r="B4" s="479" t="s">
        <v>481</v>
      </c>
      <c r="C4" s="480"/>
      <c r="D4" s="481"/>
      <c r="E4" s="480"/>
      <c r="F4" s="481"/>
      <c r="G4" s="480"/>
      <c r="H4" s="503">
        <f>SUMIF('OPEX MFC'!C:C,'Opex Grouping'!B:B,'OPEX MFC'!K:K)</f>
        <v>156000</v>
      </c>
      <c r="I4" s="480">
        <f>SUMIF('OPEX MFC'!C:C,'Opex Grouping'!B:B,'OPEX MFC'!Y:Y)</f>
        <v>156000</v>
      </c>
      <c r="J4" s="500">
        <f>SUMIF('OPEX MFC'!C:C,'Opex Grouping'!B:B,'OPEX MFC'!L:L)</f>
        <v>114000</v>
      </c>
      <c r="K4" s="480">
        <f>SUMIF('OPEX MFC'!C:C,'Opex Grouping'!B:B,'OPEX MFC'!Z:Z)</f>
        <v>114000</v>
      </c>
      <c r="L4" s="480">
        <f>SUMIF('OPEX MFC'!C:C,'Opex Grouping'!B:B,'OPEX MFC'!M:M)</f>
        <v>198000</v>
      </c>
      <c r="M4" s="480">
        <f>SUMIF('OPEX MFC'!C:C,'Opex Grouping'!B:B,'OPEX MFC'!AA:AA)</f>
        <v>198000</v>
      </c>
      <c r="N4" s="480">
        <f>SUMIF('OPEX MFC'!C:C,'Opex Grouping'!B:B,'OPEX MFC'!N:N)</f>
        <v>114000</v>
      </c>
      <c r="O4" s="480">
        <f>SUMIF('OPEX MFC'!C:C,'Opex Grouping'!B:B,'OPEX MFC'!AB:AB)</f>
        <v>114000</v>
      </c>
      <c r="P4" s="480">
        <f>SUMIF('OPEX MFC'!C:C,'Opex Grouping'!B:B,'OPEX MFC'!O:O)</f>
        <v>42000</v>
      </c>
      <c r="Q4" s="480">
        <f>SUMIF('OPEX MFC'!C:C,'Opex Grouping'!B:B,'OPEX MFC'!AC:AC)</f>
        <v>42000</v>
      </c>
      <c r="R4" s="480">
        <f>SUMIF('OPEX MFC'!$C:$C,'Opex Grouping'!$B:$B,'OPEX MFC'!P:P)</f>
        <v>220000</v>
      </c>
      <c r="S4" s="480">
        <v>220000</v>
      </c>
      <c r="T4" s="480">
        <f>SUMIF('OPEX MFC'!$C:$C,'Opex Grouping'!$B:$B,'OPEX MFC'!Q:Q)</f>
        <v>114000</v>
      </c>
      <c r="U4" s="480">
        <f>SUMIF('OPEX MFC'!$C:$C,'Opex Grouping'!$B:$B,'OPEX MFC'!AE:AE)</f>
        <v>114000</v>
      </c>
      <c r="V4" s="480">
        <f>SUMIF('OPEX MFC'!$C:$C,'Opex Grouping'!$B:$B,'OPEX MFC'!R:R)</f>
        <v>94000</v>
      </c>
      <c r="W4" s="480">
        <f>SUMIF('OPEX MFC'!$C:$C,'Opex Grouping'!$B:$B,'OPEX MFC'!AF:AF)</f>
        <v>94000</v>
      </c>
    </row>
    <row r="5" spans="1:23" ht="26.25">
      <c r="A5" s="469" t="s">
        <v>344</v>
      </c>
      <c r="B5" s="482" t="s">
        <v>332</v>
      </c>
      <c r="C5" s="483">
        <f>SUMIF('OPEX MFC'!C:C,'Opex Grouping'!B:B,'OPEX MFC'!F:F)</f>
        <v>112917.52999999997</v>
      </c>
      <c r="D5" s="484">
        <f>SUMIF('OPEX MFC'!C:C,'Opex Grouping'!B:B,'OPEX MFC'!G:G)</f>
        <v>100418.31999999995</v>
      </c>
      <c r="E5" s="483">
        <f>SUMIF('OPEX MFC'!C:C,'Opex Grouping'!B:B,'OPEX MFC'!H:H)</f>
        <v>158694.86000000004</v>
      </c>
      <c r="F5" s="484">
        <f>SUMIF('OPEX MFC'!C:C,'Opex Grouping'!B:B,'OPEX MFC'!I:I)</f>
        <v>120848.40000000002</v>
      </c>
      <c r="G5" s="483">
        <f>SUMIF('OPEX MFC'!C:C,'Opex Grouping'!B:B,'OPEX MFC'!J:J)</f>
        <v>83024.999999999942</v>
      </c>
      <c r="H5" s="502">
        <f>SUMIF('OPEX MFC'!C:C,'Opex Grouping'!B:B,'OPEX MFC'!K:K)</f>
        <v>119491.60000000009</v>
      </c>
      <c r="I5" s="483">
        <f>SUMIF('OPEX MFC'!C:C,'Opex Grouping'!B:B,'OPEX MFC'!Y:Y)</f>
        <v>119491.60000000009</v>
      </c>
      <c r="J5" s="499">
        <f>SUMIF('OPEX MFC'!C:C,'Opex Grouping'!B:B,'OPEX MFC'!L:L)</f>
        <v>74793.75</v>
      </c>
      <c r="K5" s="483">
        <f>SUMIF('OPEX MFC'!C:C,'Opex Grouping'!B:B,'OPEX MFC'!Z:Z)</f>
        <v>74793.75</v>
      </c>
      <c r="L5" s="483">
        <f>SUMIF('OPEX MFC'!C:C,'Opex Grouping'!B:B,'OPEX MFC'!M:M)</f>
        <v>280777.76</v>
      </c>
      <c r="M5" s="483">
        <f>SUMIF('OPEX MFC'!C:C,'Opex Grouping'!B:B,'OPEX MFC'!AA:AA)</f>
        <v>280777.76</v>
      </c>
      <c r="N5" s="483">
        <f>SUMIF('OPEX MFC'!C:C,'Opex Grouping'!B:B,'OPEX MFC'!N:N)</f>
        <v>420112.04000000004</v>
      </c>
      <c r="O5" s="483">
        <f>SUMIF('OPEX MFC'!C:C,'Opex Grouping'!B:B,'OPEX MFC'!AB:AB)</f>
        <v>420112.04000000004</v>
      </c>
      <c r="P5" s="483">
        <f>SUMIF('OPEX MFC'!C:C,'Opex Grouping'!B:B,'OPEX MFC'!O:O)</f>
        <v>228121.58</v>
      </c>
      <c r="Q5" s="483">
        <f>SUMIF('OPEX MFC'!C:C,'Opex Grouping'!B:B,'OPEX MFC'!AC:AC)</f>
        <v>228121.58</v>
      </c>
      <c r="R5" s="483">
        <f>SUMIF('OPEX MFC'!$C:$C,'Opex Grouping'!$B:$B,'OPEX MFC'!P:P)</f>
        <v>232342.95000000007</v>
      </c>
      <c r="S5" s="483">
        <v>232342.95000000007</v>
      </c>
      <c r="T5" s="483">
        <f>SUMIF('OPEX MFC'!$C:$C,'Opex Grouping'!$B:$B,'OPEX MFC'!Q:Q)</f>
        <v>144527.80000000002</v>
      </c>
      <c r="U5" s="483">
        <f>SUMIF('OPEX MFC'!$C:$C,'Opex Grouping'!$B:$B,'OPEX MFC'!AE:AE)</f>
        <v>144527.80000000002</v>
      </c>
      <c r="V5" s="480">
        <f>SUMIF('OPEX MFC'!$C:$C,'Opex Grouping'!$B:$B,'OPEX MFC'!R:R)</f>
        <v>201417.46999999991</v>
      </c>
      <c r="W5" s="480">
        <f>SUMIF('OPEX MFC'!$C:$C,'Opex Grouping'!$B:$B,'OPEX MFC'!AF:AF)</f>
        <v>201417.46999999991</v>
      </c>
    </row>
    <row r="6" spans="1:23">
      <c r="A6" s="485" t="s">
        <v>345</v>
      </c>
      <c r="B6" s="479" t="s">
        <v>333</v>
      </c>
      <c r="C6" s="480">
        <f>SUMIF('OPEX MFC'!C:C,'Opex Grouping'!B:B,'OPEX MFC'!F:F)</f>
        <v>177231.53882541301</v>
      </c>
      <c r="D6" s="481">
        <f>SUMIF('OPEX MFC'!C:C,'Opex Grouping'!B:B,'OPEX MFC'!G:G)</f>
        <v>199680.6048921289</v>
      </c>
      <c r="E6" s="480">
        <f>SUMIF('OPEX MFC'!C:C,'Opex Grouping'!B:B,'OPEX MFC'!H:H)</f>
        <v>233882.42667419111</v>
      </c>
      <c r="F6" s="481">
        <f>SUMIF('OPEX MFC'!C:C,'Opex Grouping'!B:B,'OPEX MFC'!I:I)</f>
        <v>254266.7652777248</v>
      </c>
      <c r="G6" s="480">
        <f>SUMIF('OPEX MFC'!C:C,'Opex Grouping'!B:B,'OPEX MFC'!J:J)</f>
        <v>254813.13350086991</v>
      </c>
      <c r="H6" s="503">
        <f>SUMIF('OPEX MFC'!C:C,'Opex Grouping'!B:B,'OPEX MFC'!K:K)</f>
        <v>378656.03498588013</v>
      </c>
      <c r="I6" s="480">
        <f>SUMIF('OPEX MFC'!C:C,'Opex Grouping'!B:B,'OPEX MFC'!Y:Y)</f>
        <v>773327</v>
      </c>
      <c r="J6" s="500">
        <f>SUMIF('OPEX MFC'!C:C,'Opex Grouping'!B:B,'OPEX MFC'!L:L)</f>
        <v>313308.07067663129</v>
      </c>
      <c r="K6" s="480">
        <f>SUMIF('OPEX MFC'!C:C,'Opex Grouping'!B:B,'OPEX MFC'!Z:Z)</f>
        <v>603577</v>
      </c>
      <c r="L6" s="480">
        <f>SUMIF('OPEX MFC'!C:C,'Opex Grouping'!B:B,'OPEX MFC'!M:M)</f>
        <v>401838.2286370346</v>
      </c>
      <c r="M6" s="480">
        <f>SUMIF('OPEX MFC'!C:C,'Opex Grouping'!B:B,'OPEX MFC'!AA:AA)</f>
        <v>722290</v>
      </c>
      <c r="N6" s="480">
        <f>SUMIF('OPEX MFC'!C:C,'Opex Grouping'!B:B,'OPEX MFC'!N:N)</f>
        <v>468204.37608033582</v>
      </c>
      <c r="O6" s="480">
        <f>SUMIF('OPEX MFC'!C:C,'Opex Grouping'!B:B,'OPEX MFC'!AB:AB)</f>
        <v>782154</v>
      </c>
      <c r="P6" s="480">
        <f>SUMIF('OPEX MFC'!C:C,'Opex Grouping'!B:B,'OPEX MFC'!O:O)</f>
        <v>437449.75867796043</v>
      </c>
      <c r="Q6" s="480">
        <f>SUMIF('OPEX MFC'!C:C,'Opex Grouping'!B:B,'OPEX MFC'!AC:AC)</f>
        <v>691127</v>
      </c>
      <c r="R6" s="480">
        <f>SUMIF('OPEX MFC'!$C:$C,'Opex Grouping'!$B:$B,'OPEX MFC'!P:P)</f>
        <v>470369.50955943472</v>
      </c>
      <c r="S6" s="480">
        <v>700315</v>
      </c>
      <c r="T6" s="480">
        <f>SUMIF('OPEX MFC'!$C:$C,'Opex Grouping'!$B:$B,'OPEX MFC'!Q:Q)</f>
        <v>475376.12130488025</v>
      </c>
      <c r="U6" s="480">
        <f>SUMIF('OPEX MFC'!$C:$C,'Opex Grouping'!$B:$B,'OPEX MFC'!AE:AE)</f>
        <v>683103</v>
      </c>
      <c r="V6" s="480">
        <f>SUMIF('OPEX MFC'!$C:$C,'Opex Grouping'!$B:$B,'OPEX MFC'!R:R)</f>
        <v>522587.40833298152</v>
      </c>
      <c r="W6" s="480">
        <f>SUMIF('OPEX MFC'!$C:$C,'Opex Grouping'!$B:$B,'OPEX MFC'!AF:AF)</f>
        <v>706113</v>
      </c>
    </row>
    <row r="7" spans="1:23" ht="26.25">
      <c r="A7" s="469" t="s">
        <v>346</v>
      </c>
      <c r="B7" s="482" t="s">
        <v>334</v>
      </c>
      <c r="C7" s="483">
        <f>SUMIF('OPEX MFC'!C:C,'Opex Grouping'!B:B,'OPEX MFC'!F:F)</f>
        <v>296426.95999999996</v>
      </c>
      <c r="D7" s="484">
        <f>SUMIF('OPEX MFC'!C:C,'Opex Grouping'!B:B,'OPEX MFC'!G:G)</f>
        <v>313042.63000000012</v>
      </c>
      <c r="E7" s="483">
        <f>SUMIF('OPEX MFC'!C:C,'Opex Grouping'!B:B,'OPEX MFC'!H:H)</f>
        <v>313149.52</v>
      </c>
      <c r="F7" s="484">
        <f>SUMIF('OPEX MFC'!C:C,'Opex Grouping'!B:B,'OPEX MFC'!I:I)</f>
        <v>354855.71999999974</v>
      </c>
      <c r="G7" s="483">
        <f>SUMIF('OPEX MFC'!C:C,'Opex Grouping'!B:B,'OPEX MFC'!J:J)</f>
        <v>381019.95000000019</v>
      </c>
      <c r="H7" s="502">
        <f>SUMIF('OPEX MFC'!C:C,'Opex Grouping'!B:B,'OPEX MFC'!K:K)</f>
        <v>411104.95000000019</v>
      </c>
      <c r="I7" s="483">
        <f>SUMIF('OPEX MFC'!C:C,'Opex Grouping'!B:B,'OPEX MFC'!Y:Y)</f>
        <v>411104.95000000019</v>
      </c>
      <c r="J7" s="499">
        <f>SUMIF('OPEX MFC'!C:C,'Opex Grouping'!B:B,'OPEX MFC'!L:L)</f>
        <v>426629.74</v>
      </c>
      <c r="K7" s="483">
        <f>SUMIF('OPEX MFC'!C:C,'Opex Grouping'!B:B,'OPEX MFC'!Z:Z)</f>
        <v>426629.74</v>
      </c>
      <c r="L7" s="483">
        <f>SUMIF('OPEX MFC'!C:C,'Opex Grouping'!B:B,'OPEX MFC'!M:M)</f>
        <v>434049.54000000004</v>
      </c>
      <c r="M7" s="483">
        <f>SUMIF('OPEX MFC'!C:C,'Opex Grouping'!B:B,'OPEX MFC'!AA:AA)</f>
        <v>434049.54000000004</v>
      </c>
      <c r="N7" s="483">
        <f>SUMIF('OPEX MFC'!C:C,'Opex Grouping'!B:B,'OPEX MFC'!N:N)</f>
        <v>501331.27999999997</v>
      </c>
      <c r="O7" s="483">
        <f>SUMIF('OPEX MFC'!C:C,'Opex Grouping'!B:B,'OPEX MFC'!AB:AB)</f>
        <v>501331.27999999997</v>
      </c>
      <c r="P7" s="483">
        <f>SUMIF('OPEX MFC'!C:C,'Opex Grouping'!B:B,'OPEX MFC'!O:O)</f>
        <v>515242.01</v>
      </c>
      <c r="Q7" s="483">
        <f>SUMIF('OPEX MFC'!C:C,'Opex Grouping'!B:B,'OPEX MFC'!AC:AC)</f>
        <v>515242.01</v>
      </c>
      <c r="R7" s="483">
        <f>SUMIF('OPEX MFC'!$C:$C,'Opex Grouping'!$B:$B,'OPEX MFC'!P:P)</f>
        <v>534001.35999999987</v>
      </c>
      <c r="S7" s="483">
        <v>534001.35999999987</v>
      </c>
      <c r="T7" s="483">
        <f>SUMIF('OPEX MFC'!$C:$C,'Opex Grouping'!$B:$B,'OPEX MFC'!Q:Q)</f>
        <v>557182.79</v>
      </c>
      <c r="U7" s="483">
        <f>SUMIF('OPEX MFC'!$C:$C,'Opex Grouping'!$B:$B,'OPEX MFC'!AE:AE)</f>
        <v>557182.79</v>
      </c>
      <c r="V7" s="480">
        <f>SUMIF('OPEX MFC'!$C:$C,'Opex Grouping'!$B:$B,'OPEX MFC'!R:R)</f>
        <v>677370.37999999989</v>
      </c>
      <c r="W7" s="480">
        <f>SUMIF('OPEX MFC'!$C:$C,'Opex Grouping'!$B:$B,'OPEX MFC'!AF:AF)</f>
        <v>677370.37999999989</v>
      </c>
    </row>
    <row r="8" spans="1:23">
      <c r="A8" s="342" t="s">
        <v>347</v>
      </c>
      <c r="B8" s="479" t="s">
        <v>330</v>
      </c>
      <c r="C8" s="480">
        <f>SUMIF('OPEX MFC'!C:C,'Opex Grouping'!B:B,'OPEX MFC'!F:F)</f>
        <v>25789</v>
      </c>
      <c r="D8" s="481">
        <f>SUMIF('OPEX MFC'!C:C,'Opex Grouping'!B:B,'OPEX MFC'!G:G)</f>
        <v>24911</v>
      </c>
      <c r="E8" s="480">
        <f>SUMIF('OPEX MFC'!C:C,'Opex Grouping'!B:B,'OPEX MFC'!H:H)</f>
        <v>25454</v>
      </c>
      <c r="F8" s="481">
        <f>SUMIF('OPEX MFC'!C:C,'Opex Grouping'!B:B,'OPEX MFC'!I:I)</f>
        <v>25055</v>
      </c>
      <c r="G8" s="480">
        <f>SUMIF('OPEX MFC'!C:C,'Opex Grouping'!B:B,'OPEX MFC'!J:J)</f>
        <v>26422</v>
      </c>
      <c r="H8" s="503">
        <f>SUMIF('OPEX MFC'!C:C,'Opex Grouping'!B:B,'OPEX MFC'!K:K)</f>
        <v>35037</v>
      </c>
      <c r="I8" s="480">
        <f>SUMIF('OPEX MFC'!C:C,'Opex Grouping'!B:B,'OPEX MFC'!Y:Y)</f>
        <v>35037</v>
      </c>
      <c r="J8" s="500">
        <f>SUMIF('OPEX MFC'!C:C,'Opex Grouping'!B:B,'OPEX MFC'!L:L)</f>
        <v>-19130</v>
      </c>
      <c r="K8" s="480">
        <f>SUMIF('OPEX MFC'!C:C,'Opex Grouping'!B:B,'OPEX MFC'!Z:Z)</f>
        <v>-19130</v>
      </c>
      <c r="L8" s="480">
        <f>SUMIF('OPEX MFC'!C:C,'Opex Grouping'!B:B,'OPEX MFC'!M:M)</f>
        <v>-26564</v>
      </c>
      <c r="M8" s="480">
        <f>SUMIF('OPEX MFC'!C:C,'Opex Grouping'!B:B,'OPEX MFC'!AA:AA)</f>
        <v>-26564</v>
      </c>
      <c r="N8" s="480">
        <f>SUMIF('OPEX MFC'!C:C,'Opex Grouping'!B:B,'OPEX MFC'!N:N)</f>
        <v>126110</v>
      </c>
      <c r="O8" s="480">
        <f>SUMIF('OPEX MFC'!C:C,'Opex Grouping'!B:B,'OPEX MFC'!AB:AB)</f>
        <v>126110</v>
      </c>
      <c r="P8" s="480">
        <f>SUMIF('OPEX MFC'!C:C,'Opex Grouping'!B:B,'OPEX MFC'!O:O)</f>
        <v>31969</v>
      </c>
      <c r="Q8" s="480">
        <f>SUMIF('OPEX MFC'!C:C,'Opex Grouping'!B:B,'OPEX MFC'!AC:AC)</f>
        <v>31969</v>
      </c>
      <c r="R8" s="480">
        <f>SUMIF('OPEX MFC'!$C:$C,'Opex Grouping'!$B:$B,'OPEX MFC'!P:P)</f>
        <v>39697</v>
      </c>
      <c r="S8" s="480">
        <v>39697</v>
      </c>
      <c r="T8" s="480">
        <f>SUMIF('OPEX MFC'!$C:$C,'Opex Grouping'!$B:$B,'OPEX MFC'!Q:Q)</f>
        <v>50048</v>
      </c>
      <c r="U8" s="480">
        <f>SUMIF('OPEX MFC'!$C:$C,'Opex Grouping'!$B:$B,'OPEX MFC'!AE:AE)</f>
        <v>50048</v>
      </c>
      <c r="V8" s="480">
        <f>SUMIF('OPEX MFC'!$C:$C,'Opex Grouping'!$B:$B,'OPEX MFC'!R:R)</f>
        <v>36077</v>
      </c>
      <c r="W8" s="480">
        <f>SUMIF('OPEX MFC'!$C:$C,'Opex Grouping'!$B:$B,'OPEX MFC'!AF:AF)</f>
        <v>36077</v>
      </c>
    </row>
    <row r="9" spans="1:23">
      <c r="A9" s="469" t="s">
        <v>348</v>
      </c>
      <c r="B9" s="482" t="s">
        <v>335</v>
      </c>
      <c r="C9" s="483">
        <f>SUMIF('OPEX MFC'!C:C,'Opex Grouping'!B:B,'OPEX MFC'!F:F)</f>
        <v>41654</v>
      </c>
      <c r="D9" s="484">
        <f>SUMIF('OPEX MFC'!C:C,'Opex Grouping'!B:B,'OPEX MFC'!G:G)</f>
        <v>67538.599999999991</v>
      </c>
      <c r="E9" s="483">
        <f>SUMIF('OPEX MFC'!C:C,'Opex Grouping'!B:B,'OPEX MFC'!H:H)</f>
        <v>93372.989999999991</v>
      </c>
      <c r="F9" s="484">
        <f>SUMIF('OPEX MFC'!C:C,'Opex Grouping'!B:B,'OPEX MFC'!I:I)</f>
        <v>119779.25</v>
      </c>
      <c r="G9" s="483">
        <f>SUMIF('OPEX MFC'!C:C,'Opex Grouping'!B:B,'OPEX MFC'!J:J)</f>
        <v>148990.34999999998</v>
      </c>
      <c r="H9" s="502">
        <f>SUMIF('OPEX MFC'!C:C,'Opex Grouping'!B:B,'OPEX MFC'!K:K)</f>
        <v>178523.03000000003</v>
      </c>
      <c r="I9" s="483">
        <f>SUMIF('OPEX MFC'!C:C,'Opex Grouping'!B:B,'OPEX MFC'!Y:Y)</f>
        <v>178523.03000000003</v>
      </c>
      <c r="J9" s="499">
        <f>SUMIF('OPEX MFC'!C:C,'Opex Grouping'!B:B,'OPEX MFC'!L:L)</f>
        <v>199048.7</v>
      </c>
      <c r="K9" s="483">
        <f>SUMIF('OPEX MFC'!C:C,'Opex Grouping'!B:B,'OPEX MFC'!Z:Z)</f>
        <v>199048.7</v>
      </c>
      <c r="L9" s="483">
        <f>SUMIF('OPEX MFC'!C:C,'Opex Grouping'!B:B,'OPEX MFC'!M:M)</f>
        <v>214188.09999999998</v>
      </c>
      <c r="M9" s="483">
        <f>SUMIF('OPEX MFC'!C:C,'Opex Grouping'!B:B,'OPEX MFC'!AA:AA)</f>
        <v>214188.09999999998</v>
      </c>
      <c r="N9" s="483">
        <f>SUMIF('OPEX MFC'!C:C,'Opex Grouping'!B:B,'OPEX MFC'!N:N)</f>
        <v>230921.96000000002</v>
      </c>
      <c r="O9" s="483">
        <f>SUMIF('OPEX MFC'!C:C,'Opex Grouping'!B:B,'OPEX MFC'!AB:AB)</f>
        <v>230921.96000000002</v>
      </c>
      <c r="P9" s="483">
        <f>SUMIF('OPEX MFC'!C:C,'Opex Grouping'!B:B,'OPEX MFC'!O:O)</f>
        <v>252697.37</v>
      </c>
      <c r="Q9" s="483">
        <f>SUMIF('OPEX MFC'!C:C,'Opex Grouping'!B:B,'OPEX MFC'!AC:AC)</f>
        <v>252697.37</v>
      </c>
      <c r="R9" s="483">
        <f>SUMIF('OPEX MFC'!$C:$C,'Opex Grouping'!$B:$B,'OPEX MFC'!P:P)</f>
        <v>274773.50999999989</v>
      </c>
      <c r="S9" s="483">
        <v>274773.50999999989</v>
      </c>
      <c r="T9" s="483">
        <f>SUMIF('OPEX MFC'!$C:$C,'Opex Grouping'!$B:$B,'OPEX MFC'!Q:Q)</f>
        <v>299626.51</v>
      </c>
      <c r="U9" s="483">
        <f>SUMIF('OPEX MFC'!$C:$C,'Opex Grouping'!$B:$B,'OPEX MFC'!AE:AE)</f>
        <v>299626.51</v>
      </c>
      <c r="V9" s="480">
        <f>SUMIF('OPEX MFC'!$C:$C,'Opex Grouping'!$B:$B,'OPEX MFC'!R:R)</f>
        <v>319770.14000000013</v>
      </c>
      <c r="W9" s="480">
        <f>SUMIF('OPEX MFC'!$C:$C,'Opex Grouping'!$B:$B,'OPEX MFC'!AF:AF)</f>
        <v>319770.14000000013</v>
      </c>
    </row>
    <row r="10" spans="1:23" ht="39">
      <c r="A10" s="485" t="s">
        <v>349</v>
      </c>
      <c r="B10" s="479" t="s">
        <v>336</v>
      </c>
      <c r="C10" s="480">
        <f>SUMIF('OPEX MFC'!C:C,'Opex Grouping'!B:B,'OPEX MFC'!F:F)</f>
        <v>699719.98999999976</v>
      </c>
      <c r="D10" s="481">
        <f>SUMIF('OPEX MFC'!C:C,'Opex Grouping'!B:B,'OPEX MFC'!G:G)</f>
        <v>487274.41999999993</v>
      </c>
      <c r="E10" s="480">
        <f>SUMIF('OPEX MFC'!C:C,'Opex Grouping'!B:B,'OPEX MFC'!H:H)</f>
        <v>648413.77</v>
      </c>
      <c r="F10" s="481">
        <f>SUMIF('OPEX MFC'!C:C,'Opex Grouping'!B:B,'OPEX MFC'!I:I)</f>
        <v>525359.08000000031</v>
      </c>
      <c r="G10" s="480">
        <f>SUMIF('OPEX MFC'!C:C,'Opex Grouping'!B:B,'OPEX MFC'!J:J)</f>
        <v>780615.39000000036</v>
      </c>
      <c r="H10" s="503">
        <f>SUMIF('OPEX MFC'!C:C,'Opex Grouping'!B:B,'OPEX MFC'!K:K)</f>
        <v>641737.41999999958</v>
      </c>
      <c r="I10" s="480">
        <f>SUMIF('OPEX MFC'!C:C,'Opex Grouping'!B:B,'OPEX MFC'!Y:Y)</f>
        <v>643337.41999999958</v>
      </c>
      <c r="J10" s="500">
        <f>SUMIF('OPEX MFC'!C:C,'Opex Grouping'!B:B,'OPEX MFC'!L:L)</f>
        <v>760817.22000000009</v>
      </c>
      <c r="K10" s="480">
        <f>SUMIF('OPEX MFC'!C:C,'Opex Grouping'!B:B,'OPEX MFC'!Z:Z)</f>
        <v>760817.22000000009</v>
      </c>
      <c r="L10" s="480">
        <f>SUMIF('OPEX MFC'!C:C,'Opex Grouping'!B:B,'OPEX MFC'!M:M)</f>
        <v>732764.41999999993</v>
      </c>
      <c r="M10" s="480">
        <f>SUMIF('OPEX MFC'!C:C,'Opex Grouping'!B:B,'OPEX MFC'!AA:AA)</f>
        <v>732764.41999999993</v>
      </c>
      <c r="N10" s="480">
        <f>SUMIF('OPEX MFC'!C:C,'Opex Grouping'!B:B,'OPEX MFC'!N:N)</f>
        <v>817791.10000000009</v>
      </c>
      <c r="O10" s="480">
        <f>SUMIF('OPEX MFC'!C:C,'Opex Grouping'!B:B,'OPEX MFC'!AB:AB)</f>
        <v>817791.10000000009</v>
      </c>
      <c r="P10" s="480">
        <f>SUMIF('OPEX MFC'!C:C,'Opex Grouping'!B:B,'OPEX MFC'!O:O)</f>
        <v>654144.45000000019</v>
      </c>
      <c r="Q10" s="480">
        <f>SUMIF('OPEX MFC'!C:C,'Opex Grouping'!B:B,'OPEX MFC'!AC:AC)</f>
        <v>653226.45000000019</v>
      </c>
      <c r="R10" s="480">
        <f>SUMIF('OPEX MFC'!$C:$C,'Opex Grouping'!$B:$B,'OPEX MFC'!P:P)</f>
        <v>692781.44999999984</v>
      </c>
      <c r="S10" s="480">
        <v>698781.44999999984</v>
      </c>
      <c r="T10" s="480">
        <f>SUMIF('OPEX MFC'!$C:$C,'Opex Grouping'!$B:$B,'OPEX MFC'!Q:Q)</f>
        <v>608473.45000000042</v>
      </c>
      <c r="U10" s="480">
        <f>SUMIF('OPEX MFC'!$C:$C,'Opex Grouping'!$B:$B,'OPEX MFC'!AE:AE)</f>
        <v>614473.45000000042</v>
      </c>
      <c r="V10" s="480">
        <f>SUMIF('OPEX MFC'!$C:$C,'Opex Grouping'!$B:$B,'OPEX MFC'!R:R)</f>
        <v>532495.47999999963</v>
      </c>
      <c r="W10" s="480">
        <f>SUMIF('OPEX MFC'!$C:$C,'Opex Grouping'!$B:$B,'OPEX MFC'!AF:AF)</f>
        <v>538495.47999999963</v>
      </c>
    </row>
    <row r="11" spans="1:23">
      <c r="A11" s="486" t="s">
        <v>350</v>
      </c>
      <c r="B11" s="482" t="s">
        <v>337</v>
      </c>
      <c r="C11" s="483">
        <f>SUMIF('OPEX MFC'!C:C,'Opex Grouping'!B:B,'OPEX MFC'!F:F)</f>
        <v>8088.5625136452954</v>
      </c>
      <c r="D11" s="484">
        <f>SUMIF('OPEX MFC'!C:C,'Opex Grouping'!B:B,'OPEX MFC'!G:G)</f>
        <v>9030.8399511527205</v>
      </c>
      <c r="E11" s="483">
        <f>SUMIF('OPEX MFC'!C:C,'Opex Grouping'!B:B,'OPEX MFC'!H:H)</f>
        <v>10140.645485327314</v>
      </c>
      <c r="F11" s="484">
        <f>SUMIF('OPEX MFC'!C:C,'Opex Grouping'!B:B,'OPEX MFC'!I:I)</f>
        <v>10609.273264458083</v>
      </c>
      <c r="G11" s="483">
        <f>SUMIF('OPEX MFC'!C:C,'Opex Grouping'!B:B,'OPEX MFC'!J:J)</f>
        <v>11561.585578967717</v>
      </c>
      <c r="H11" s="502">
        <f>SUMIF('OPEX MFC'!C:C,'Opex Grouping'!B:B,'OPEX MFC'!K:K)</f>
        <v>12491.589504235959</v>
      </c>
      <c r="I11" s="483">
        <f>SUMIF('OPEX MFC'!C:C,'Opex Grouping'!B:B,'OPEX MFC'!Y:Y)</f>
        <v>25511.5</v>
      </c>
      <c r="J11" s="499">
        <f>SUMIF('OPEX MFC'!C:C,'Opex Grouping'!B:B,'OPEX MFC'!L:L)</f>
        <v>13305.459157023466</v>
      </c>
      <c r="K11" s="483">
        <f>SUMIF('OPEX MFC'!C:C,'Opex Grouping'!B:B,'OPEX MFC'!Z:Z)</f>
        <v>25632.5</v>
      </c>
      <c r="L11" s="483">
        <f>SUMIF('OPEX MFC'!C:C,'Opex Grouping'!B:B,'OPEX MFC'!M:M)</f>
        <v>14584.431687715271</v>
      </c>
      <c r="M11" s="483">
        <f>SUMIF('OPEX MFC'!C:C,'Opex Grouping'!B:B,'OPEX MFC'!AA:AA)</f>
        <v>26215</v>
      </c>
      <c r="N11" s="483">
        <f>SUMIF('OPEX MFC'!C:C,'Opex Grouping'!B:B,'OPEX MFC'!N:N)</f>
        <v>17654.9889373611</v>
      </c>
      <c r="O11" s="483">
        <f>SUMIF('OPEX MFC'!C:C,'Opex Grouping'!B:B,'OPEX MFC'!AB:AB)</f>
        <v>29493.360000000001</v>
      </c>
      <c r="P11" s="483">
        <f>SUMIF('OPEX MFC'!C:C,'Opex Grouping'!B:B,'OPEX MFC'!O:O)</f>
        <v>16111.972497923931</v>
      </c>
      <c r="Q11" s="483">
        <f>SUMIF('OPEX MFC'!C:C,'Opex Grouping'!B:B,'OPEX MFC'!AC:AC)</f>
        <v>25455.309999999998</v>
      </c>
      <c r="R11" s="483">
        <f>SUMIF('OPEX MFC'!$C:$C,'Opex Grouping'!$B:$B,'OPEX MFC'!P:P)</f>
        <v>16287.647880299253</v>
      </c>
      <c r="S11" s="483">
        <v>24250.050000000003</v>
      </c>
      <c r="T11" s="483">
        <f>SUMIF('OPEX MFC'!$C:$C,'Opex Grouping'!$B:$B,'OPEX MFC'!Q:Q)</f>
        <v>16962.209834703517</v>
      </c>
      <c r="U11" s="483">
        <f>SUMIF('OPEX MFC'!$C:$C,'Opex Grouping'!$B:$B,'OPEX MFC'!AE:AE)</f>
        <v>24374.25</v>
      </c>
      <c r="V11" s="480">
        <f>SUMIF('OPEX MFC'!$C:$C,'Opex Grouping'!$B:$B,'OPEX MFC'!R:R)</f>
        <v>17704.441048587953</v>
      </c>
      <c r="W11" s="480">
        <f>SUMIF('OPEX MFC'!$C:$C,'Opex Grouping'!$B:$B,'OPEX MFC'!AF:AF)</f>
        <v>23922</v>
      </c>
    </row>
    <row r="12" spans="1:23" ht="39">
      <c r="A12" s="342" t="s">
        <v>351</v>
      </c>
      <c r="B12" s="479" t="s">
        <v>329</v>
      </c>
      <c r="C12" s="480">
        <f>SUMIF('OPEX MFC'!C:C,'Opex Grouping'!B:B,'OPEX MFC'!F:F)</f>
        <v>194207.92882614076</v>
      </c>
      <c r="D12" s="481">
        <f>SUMIF('OPEX MFC'!C:C,'Opex Grouping'!B:B,'OPEX MFC'!G:G)</f>
        <v>211311.34772638121</v>
      </c>
      <c r="E12" s="480">
        <f>SUMIF('OPEX MFC'!C:C,'Opex Grouping'!B:B,'OPEX MFC'!H:H)</f>
        <v>199247.01562753948</v>
      </c>
      <c r="F12" s="481">
        <f>SUMIF('OPEX MFC'!C:C,'Opex Grouping'!B:B,'OPEX MFC'!I:I)</f>
        <v>251223.84860432314</v>
      </c>
      <c r="G12" s="480">
        <f>SUMIF('OPEX MFC'!C:C,'Opex Grouping'!B:B,'OPEX MFC'!J:J)</f>
        <v>208312.12609046974</v>
      </c>
      <c r="H12" s="503">
        <f>SUMIF('OPEX MFC'!C:C,'Opex Grouping'!B:B,'OPEX MFC'!K:K)</f>
        <v>209952.5922042673</v>
      </c>
      <c r="I12" s="480">
        <f>SUMIF('OPEX MFC'!C:C,'Opex Grouping'!B:B,'OPEX MFC'!Y:Y)</f>
        <v>221696.05999999997</v>
      </c>
      <c r="J12" s="500">
        <f>SUMIF('OPEX MFC'!C:C,'Opex Grouping'!B:B,'OPEX MFC'!L:L)</f>
        <v>202809.11171568627</v>
      </c>
      <c r="K12" s="480">
        <f>SUMIF('OPEX MFC'!C:C,'Opex Grouping'!B:B,'OPEX MFC'!Z:Z)</f>
        <v>212563.26</v>
      </c>
      <c r="L12" s="480">
        <f>SUMIF('OPEX MFC'!C:C,'Opex Grouping'!B:B,'OPEX MFC'!M:M)</f>
        <v>194205.17437920289</v>
      </c>
      <c r="M12" s="480">
        <f>SUMIF('OPEX MFC'!C:C,'Opex Grouping'!B:B,'OPEX MFC'!AA:AA)</f>
        <v>203001.41999999998</v>
      </c>
      <c r="N12" s="480">
        <f>SUMIF('OPEX MFC'!C:C,'Opex Grouping'!B:B,'OPEX MFC'!N:N)</f>
        <v>209310.58117170143</v>
      </c>
      <c r="O12" s="480">
        <f>SUMIF('OPEX MFC'!C:C,'Opex Grouping'!B:B,'OPEX MFC'!AB:AB)</f>
        <v>219183.28000000003</v>
      </c>
      <c r="P12" s="480">
        <f>SUMIF('OPEX MFC'!C:C,'Opex Grouping'!B:B,'OPEX MFC'!O:O)</f>
        <v>91480.181607706356</v>
      </c>
      <c r="Q12" s="480">
        <f>SUMIF('OPEX MFC'!C:C,'Opex Grouping'!B:B,'OPEX MFC'!AC:AC)</f>
        <v>98576.26</v>
      </c>
      <c r="R12" s="480">
        <f>SUMIF('OPEX MFC'!$C:$C,'Opex Grouping'!$B:$B,'OPEX MFC'!P:P)</f>
        <v>151399.40737323358</v>
      </c>
      <c r="S12" s="480">
        <v>158507.04</v>
      </c>
      <c r="T12" s="480">
        <f>SUMIF('OPEX MFC'!$C:$C,'Opex Grouping'!$B:$B,'OPEX MFC'!Q:Q)</f>
        <v>149763.86772083264</v>
      </c>
      <c r="U12" s="480">
        <f>SUMIF('OPEX MFC'!$C:$C,'Opex Grouping'!$B:$B,'OPEX MFC'!AE:AE)</f>
        <v>162023.38000000006</v>
      </c>
      <c r="V12" s="480">
        <f>SUMIF('OPEX MFC'!$C:$C,'Opex Grouping'!$B:$B,'OPEX MFC'!R:R)</f>
        <v>156793.45056946258</v>
      </c>
      <c r="W12" s="480">
        <f>SUMIF('OPEX MFC'!$C:$C,'Opex Grouping'!$B:$B,'OPEX MFC'!AF:AF)</f>
        <v>206894.56999999998</v>
      </c>
    </row>
    <row r="13" spans="1:23">
      <c r="A13" s="469" t="s">
        <v>368</v>
      </c>
      <c r="B13" s="482" t="s">
        <v>338</v>
      </c>
      <c r="C13" s="483">
        <f>SUMIF('OPEX MFC'!C:C,'Opex Grouping'!B:B,'OPEX MFC'!F:F)</f>
        <v>11945.369999999995</v>
      </c>
      <c r="D13" s="484">
        <f>SUMIF('OPEX MFC'!C:C,'Opex Grouping'!B:B,'OPEX MFC'!G:G)</f>
        <v>28239.059999999998</v>
      </c>
      <c r="E13" s="483">
        <f>SUMIF('OPEX MFC'!C:C,'Opex Grouping'!B:B,'OPEX MFC'!H:H)</f>
        <v>103290.44000000002</v>
      </c>
      <c r="F13" s="484">
        <f>SUMIF('OPEX MFC'!C:C,'Opex Grouping'!B:B,'OPEX MFC'!I:I)</f>
        <v>15281.959999999992</v>
      </c>
      <c r="G13" s="483">
        <f>SUMIF('OPEX MFC'!C:C,'Opex Grouping'!B:B,'OPEX MFC'!J:J)</f>
        <v>24483.48000000001</v>
      </c>
      <c r="H13" s="502">
        <f>SUMIF('OPEX MFC'!C:C,'Opex Grouping'!B:B,'OPEX MFC'!K:K)</f>
        <v>17700.809999999969</v>
      </c>
      <c r="I13" s="483">
        <f>SUMIF('OPEX MFC'!C:C,'Opex Grouping'!B:B,'OPEX MFC'!Y:Y)</f>
        <v>183711.89999999994</v>
      </c>
      <c r="J13" s="499">
        <f>SUMIF('OPEX MFC'!C:C,'Opex Grouping'!B:B,'OPEX MFC'!L:L)</f>
        <v>14386.43</v>
      </c>
      <c r="K13" s="483">
        <f>SUMIF('OPEX MFC'!C:C,'Opex Grouping'!B:B,'OPEX MFC'!Z:Z)</f>
        <v>157439.74</v>
      </c>
      <c r="L13" s="483">
        <f>SUMIF('OPEX MFC'!C:C,'Opex Grouping'!B:B,'OPEX MFC'!M:M)</f>
        <v>15185.360000000002</v>
      </c>
      <c r="M13" s="483">
        <f>SUMIF('OPEX MFC'!C:C,'Opex Grouping'!B:B,'OPEX MFC'!AA:AA)</f>
        <v>145595.24000000008</v>
      </c>
      <c r="N13" s="483">
        <f>SUMIF('OPEX MFC'!C:C,'Opex Grouping'!B:B,'OPEX MFC'!N:N)</f>
        <v>27623.829999999994</v>
      </c>
      <c r="O13" s="483">
        <f>SUMIF('OPEX MFC'!C:C,'Opex Grouping'!B:B,'OPEX MFC'!AB:AB)</f>
        <v>654923.94999999995</v>
      </c>
      <c r="P13" s="483">
        <f>SUMIF('OPEX MFC'!C:C,'Opex Grouping'!B:B,'OPEX MFC'!O:O)</f>
        <v>53866.880000000012</v>
      </c>
      <c r="Q13" s="483">
        <f>SUMIF('OPEX MFC'!C:C,'Opex Grouping'!B:B,'OPEX MFC'!AC:AC)</f>
        <v>401027.58000000007</v>
      </c>
      <c r="R13" s="483">
        <f>SUMIF('OPEX MFC'!$C:$C,'Opex Grouping'!$B:$B,'OPEX MFC'!P:P)</f>
        <v>27181.06</v>
      </c>
      <c r="S13" s="483">
        <v>489281.96999999991</v>
      </c>
      <c r="T13" s="483">
        <f>SUMIF('OPEX MFC'!$C:$C,'Opex Grouping'!$B:$B,'OPEX MFC'!Q:Q)</f>
        <v>41249.87000000001</v>
      </c>
      <c r="U13" s="483">
        <f>SUMIF('OPEX MFC'!$C:$C,'Opex Grouping'!$B:$B,'OPEX MFC'!AE:AE)</f>
        <v>514932.98000000004</v>
      </c>
      <c r="V13" s="480">
        <f>SUMIF('OPEX MFC'!$C:$C,'Opex Grouping'!$B:$B,'OPEX MFC'!R:R)</f>
        <v>30342.26999999999</v>
      </c>
      <c r="W13" s="480">
        <f>SUMIF('OPEX MFC'!$C:$C,'Opex Grouping'!$B:$B,'OPEX MFC'!AF:AF)</f>
        <v>503919.86000000016</v>
      </c>
    </row>
    <row r="14" spans="1:23">
      <c r="A14" s="342" t="s">
        <v>33</v>
      </c>
      <c r="B14" s="479" t="s">
        <v>339</v>
      </c>
      <c r="C14" s="480">
        <f>SUMIF('OPEX MFC'!C:C,'Opex Grouping'!B:B,'OPEX MFC'!F:F)</f>
        <v>26835.745960992674</v>
      </c>
      <c r="D14" s="481">
        <f>SUMIF('OPEX MFC'!C:C,'Opex Grouping'!B:B,'OPEX MFC'!G:G)</f>
        <v>29561.236775339508</v>
      </c>
      <c r="E14" s="480">
        <f>SUMIF('OPEX MFC'!C:C,'Opex Grouping'!B:B,'OPEX MFC'!H:H)</f>
        <v>32314.395496990201</v>
      </c>
      <c r="F14" s="481">
        <f>SUMIF('OPEX MFC'!C:C,'Opex Grouping'!B:B,'OPEX MFC'!I:I)</f>
        <v>34799.790203194723</v>
      </c>
      <c r="G14" s="480">
        <f>SUMIF('OPEX MFC'!C:C,'Opex Grouping'!B:B,'OPEX MFC'!J:J)</f>
        <v>37586.183173400328</v>
      </c>
      <c r="H14" s="503">
        <f>SUMIF('OPEX MFC'!C:C,'Opex Grouping'!B:B,'OPEX MFC'!K:K)</f>
        <v>40803.804168497016</v>
      </c>
      <c r="I14" s="480">
        <f>SUMIF('OPEX MFC'!C:C,'Opex Grouping'!B:B,'OPEX MFC'!Y:Y)</f>
        <v>83333.37</v>
      </c>
      <c r="J14" s="500">
        <f>SUMIF('OPEX MFC'!C:C,'Opex Grouping'!B:B,'OPEX MFC'!L:L)</f>
        <v>43257.12352418837</v>
      </c>
      <c r="K14" s="480">
        <f>SUMIF('OPEX MFC'!C:C,'Opex Grouping'!B:B,'OPEX MFC'!Z:Z)</f>
        <v>83333.33</v>
      </c>
      <c r="L14" s="480">
        <f>SUMIF('OPEX MFC'!C:C,'Opex Grouping'!B:B,'OPEX MFC'!M:M)</f>
        <v>46361.596745940631</v>
      </c>
      <c r="M14" s="480">
        <f>SUMIF('OPEX MFC'!C:C,'Opex Grouping'!B:B,'OPEX MFC'!AA:AA)</f>
        <v>83333.33</v>
      </c>
      <c r="N14" s="480">
        <f>SUMIF('OPEX MFC'!C:C,'Opex Grouping'!B:B,'OPEX MFC'!N:N)</f>
        <v>64849.317688698669</v>
      </c>
      <c r="O14" s="480">
        <f>SUMIF('OPEX MFC'!C:C,'Opex Grouping'!B:B,'OPEX MFC'!AB:AB)</f>
        <v>108333.36000000002</v>
      </c>
      <c r="P14" s="480">
        <f>SUMIF('OPEX MFC'!C:C,'Opex Grouping'!B:B,'OPEX MFC'!O:O)</f>
        <v>58020.535004152116</v>
      </c>
      <c r="Q14" s="480">
        <f>SUMIF('OPEX MFC'!C:C,'Opex Grouping'!B:B,'OPEX MFC'!AC:AC)</f>
        <v>91666.659999999974</v>
      </c>
      <c r="R14" s="480">
        <f>SUMIF('OPEX MFC'!$C:$C,'Opex Grouping'!$B:$B,'OPEX MFC'!P:P)</f>
        <v>61568.296990856215</v>
      </c>
      <c r="S14" s="480">
        <v>91666.660000000033</v>
      </c>
      <c r="T14" s="480">
        <f>SUMIF('OPEX MFC'!$C:$C,'Opex Grouping'!$B:$B,'OPEX MFC'!Q:Q)</f>
        <v>63791.465245758249</v>
      </c>
      <c r="U14" s="480">
        <f>SUMIF('OPEX MFC'!$C:$C,'Opex Grouping'!$B:$B,'OPEX MFC'!AE:AE)</f>
        <v>91666.659999999974</v>
      </c>
      <c r="V14" s="480">
        <f>SUMIF('OPEX MFC'!$C:$C,'Opex Grouping'!$B:$B,'OPEX MFC'!R:R)</f>
        <v>67841.609317404727</v>
      </c>
      <c r="W14" s="480">
        <f>SUMIF('OPEX MFC'!$C:$C,'Opex Grouping'!$B:$B,'OPEX MFC'!AF:AF)</f>
        <v>91666.660000000033</v>
      </c>
    </row>
    <row r="15" spans="1:23" ht="26.25">
      <c r="A15" s="486" t="s">
        <v>352</v>
      </c>
      <c r="B15" s="482" t="s">
        <v>340</v>
      </c>
      <c r="C15" s="483">
        <f>SUMIF('OPEX MFC'!C:C,'Opex Grouping'!B:B,'OPEX MFC'!F:F)</f>
        <v>64351.700000000004</v>
      </c>
      <c r="D15" s="484">
        <f>SUMIF('OPEX MFC'!C:C,'Opex Grouping'!B:B,'OPEX MFC'!G:G)</f>
        <v>57312</v>
      </c>
      <c r="E15" s="483">
        <f>SUMIF('OPEX MFC'!C:C,'Opex Grouping'!B:B,'OPEX MFC'!H:H)</f>
        <v>54628.342592592591</v>
      </c>
      <c r="F15" s="484">
        <f>SUMIF('OPEX MFC'!C:C,'Opex Grouping'!B:B,'OPEX MFC'!I:I)</f>
        <v>66772.23529411765</v>
      </c>
      <c r="G15" s="483">
        <f>SUMIF('OPEX MFC'!C:C,'Opex Grouping'!B:B,'OPEX MFC'!J:J)</f>
        <v>51993.56934306569</v>
      </c>
      <c r="H15" s="502">
        <f>SUMIF('OPEX MFC'!C:C,'Opex Grouping'!B:B,'OPEX MFC'!K:K)</f>
        <v>85601.875630252151</v>
      </c>
      <c r="I15" s="483">
        <f>SUMIF('OPEX MFC'!C:C,'Opex Grouping'!B:B,'OPEX MFC'!Y:Y)</f>
        <v>416393.20000000019</v>
      </c>
      <c r="J15" s="499">
        <f>SUMIF('OPEX MFC'!C:C,'Opex Grouping'!B:B,'OPEX MFC'!L:L)</f>
        <v>114726.7076923077</v>
      </c>
      <c r="K15" s="483">
        <f>SUMIF('OPEX MFC'!C:C,'Opex Grouping'!B:B,'OPEX MFC'!Z:Z)</f>
        <v>424661.8</v>
      </c>
      <c r="L15" s="483">
        <f>SUMIF('OPEX MFC'!C:C,'Opex Grouping'!B:B,'OPEX MFC'!M:M)</f>
        <v>124831.39009900991</v>
      </c>
      <c r="M15" s="483">
        <f>SUMIF('OPEX MFC'!C:C,'Opex Grouping'!B:B,'OPEX MFC'!AA:AA)</f>
        <v>411421.4</v>
      </c>
      <c r="N15" s="483">
        <f>SUMIF('OPEX MFC'!C:C,'Opex Grouping'!B:B,'OPEX MFC'!N:N)</f>
        <v>153221.2851020408</v>
      </c>
      <c r="O15" s="483">
        <f>SUMIF('OPEX MFC'!C:C,'Opex Grouping'!B:B,'OPEX MFC'!AB:AB)</f>
        <v>435642.62999999995</v>
      </c>
      <c r="P15" s="483">
        <f>SUMIF('OPEX MFC'!C:C,'Opex Grouping'!B:B,'OPEX MFC'!O:O)</f>
        <v>173560.2247272727</v>
      </c>
      <c r="Q15" s="483">
        <f>SUMIF('OPEX MFC'!C:C,'Opex Grouping'!B:B,'OPEX MFC'!AC:AC)</f>
        <v>346220.87</v>
      </c>
      <c r="R15" s="483">
        <f>SUMIF('OPEX MFC'!$C:$C,'Opex Grouping'!$B:$B,'OPEX MFC'!P:P)</f>
        <v>160142.03957446816</v>
      </c>
      <c r="S15" s="483">
        <v>415570.92000000016</v>
      </c>
      <c r="T15" s="483">
        <f>SUMIF('OPEX MFC'!$C:$C,'Opex Grouping'!$B:$B,'OPEX MFC'!Q:Q)</f>
        <v>169144.02367816088</v>
      </c>
      <c r="U15" s="483">
        <f>SUMIF('OPEX MFC'!$C:$C,'Opex Grouping'!$B:$B,'OPEX MFC'!AE:AE)</f>
        <v>313239.93999999994</v>
      </c>
      <c r="V15" s="480">
        <f>SUMIF('OPEX MFC'!$C:$C,'Opex Grouping'!$B:$B,'OPEX MFC'!R:R)</f>
        <v>124326.75453333333</v>
      </c>
      <c r="W15" s="480">
        <f>SUMIF('OPEX MFC'!$C:$C,'Opex Grouping'!$B:$B,'OPEX MFC'!AF:AF)</f>
        <v>252826.99</v>
      </c>
    </row>
    <row r="16" spans="1:23">
      <c r="A16" s="342" t="s">
        <v>353</v>
      </c>
      <c r="B16" s="479" t="s">
        <v>341</v>
      </c>
      <c r="C16" s="480">
        <f>SUMIF('OPEX MFC'!C:C,'Opex Grouping'!B:B,'OPEX MFC'!F:F)</f>
        <v>1838006.9816061424</v>
      </c>
      <c r="D16" s="481">
        <f>SUMIF('OPEX MFC'!C:C,'Opex Grouping'!B:B,'OPEX MFC'!G:G)</f>
        <v>1992747.346524812</v>
      </c>
      <c r="E16" s="480">
        <f>SUMIF('OPEX MFC'!C:C,'Opex Grouping'!B:B,'OPEX MFC'!H:H)</f>
        <v>2305084.3099973663</v>
      </c>
      <c r="F16" s="481">
        <f>SUMIF('OPEX MFC'!C:C,'Opex Grouping'!B:B,'OPEX MFC'!I:I)</f>
        <v>2232173.7394899204</v>
      </c>
      <c r="G16" s="480">
        <f>SUMIF('OPEX MFC'!C:C,'Opex Grouping'!B:B,'OPEX MFC'!J:J)</f>
        <v>2396425.8411057414</v>
      </c>
      <c r="H16" s="503">
        <f>SUMIF('OPEX MFC'!C:C,'Opex Grouping'!B:B,'OPEX MFC'!K:K)</f>
        <v>2585029.0101019768</v>
      </c>
      <c r="I16" s="480">
        <f>SUMIF('OPEX MFC'!C:C,'Opex Grouping'!B:B,'OPEX MFC'!Y:Y)</f>
        <v>7028037.3799999999</v>
      </c>
      <c r="J16" s="500">
        <f>SUMIF('OPEX MFC'!C:C,'Opex Grouping'!B:B,'OPEX MFC'!L:L)</f>
        <v>2460097.7252205885</v>
      </c>
      <c r="K16" s="480">
        <f>SUMIF('OPEX MFC'!C:C,'Opex Grouping'!B:B,'OPEX MFC'!Z:Z)</f>
        <v>7028037.3799999999</v>
      </c>
      <c r="L16" s="480">
        <f>SUMIF('OPEX MFC'!C:C,'Opex Grouping'!B:B,'OPEX MFC'!M:M)</f>
        <v>2615470.508171232</v>
      </c>
      <c r="M16" s="480">
        <f>SUMIF('OPEX MFC'!C:C,'Opex Grouping'!B:B,'OPEX MFC'!AA:AA)</f>
        <v>7028037.3799999999</v>
      </c>
      <c r="N16" s="480">
        <f>SUMIF('OPEX MFC'!C:C,'Opex Grouping'!B:B,'OPEX MFC'!N:N)</f>
        <v>3286883.8589410651</v>
      </c>
      <c r="O16" s="480">
        <f>SUMIF('OPEX MFC'!C:C,'Opex Grouping'!B:B,'OPEX MFC'!AB:AB)</f>
        <v>8265650</v>
      </c>
      <c r="P16" s="480">
        <f>SUMIF('OPEX MFC'!C:C,'Opex Grouping'!B:B,'OPEX MFC'!O:O)</f>
        <v>3102081.2042667321</v>
      </c>
      <c r="Q16" s="480">
        <f>SUMIF('OPEX MFC'!C:C,'Opex Grouping'!B:B,'OPEX MFC'!AC:AC)</f>
        <v>7320287.379999999</v>
      </c>
      <c r="R16" s="480">
        <f>SUMIF('OPEX MFC'!$C:$C,'Opex Grouping'!$B:$B,'OPEX MFC'!P:P)</f>
        <v>2913980.0524023268</v>
      </c>
      <c r="S16" s="480">
        <v>7273037.379999999</v>
      </c>
      <c r="T16" s="480">
        <f>SUMIF('OPEX MFC'!$C:$C,'Opex Grouping'!$B:$B,'OPEX MFC'!Q:Q)</f>
        <v>3291227.7299807612</v>
      </c>
      <c r="U16" s="480">
        <f>SUMIF('OPEX MFC'!$C:$C,'Opex Grouping'!$B:$B,'OPEX MFC'!AE:AE)</f>
        <v>7723037.3800000027</v>
      </c>
      <c r="V16" s="480">
        <f>SUMIF('OPEX MFC'!$C:$C,'Opex Grouping'!$B:$B,'OPEX MFC'!R:R)</f>
        <v>2929517.0112119531</v>
      </c>
      <c r="W16" s="480">
        <f>SUMIF('OPEX MFC'!$C:$C,'Opex Grouping'!$B:$B,'OPEX MFC'!AF:AF)</f>
        <v>7097196.2599999979</v>
      </c>
    </row>
    <row r="17" spans="1:23">
      <c r="A17" s="469" t="s">
        <v>354</v>
      </c>
      <c r="B17" s="482" t="s">
        <v>331</v>
      </c>
      <c r="C17" s="483">
        <f>SUMIF('OPEX MFC'!C:C,'Opex Grouping'!B:B,'OPEX MFC'!F:F)</f>
        <v>1610144.822065352</v>
      </c>
      <c r="D17" s="484">
        <f>SUMIF('OPEX MFC'!C:C,'Opex Grouping'!B:B,'OPEX MFC'!G:G)</f>
        <v>354734.85549346852</v>
      </c>
      <c r="E17" s="483">
        <f>SUMIF('OPEX MFC'!C:C,'Opex Grouping'!B:B,'OPEX MFC'!H:H)</f>
        <v>387772.76147479308</v>
      </c>
      <c r="F17" s="484">
        <f>SUMIF('OPEX MFC'!C:C,'Opex Grouping'!B:B,'OPEX MFC'!I:I)</f>
        <v>417597.49914223625</v>
      </c>
      <c r="G17" s="483">
        <f>SUMIF('OPEX MFC'!C:C,'Opex Grouping'!B:B,'OPEX MFC'!J:J)</f>
        <v>451034.21612217283</v>
      </c>
      <c r="H17" s="502">
        <f>SUMIF('OPEX MFC'!C:C,'Opex Grouping'!B:B,'OPEX MFC'!K:K)</f>
        <v>489645.43457797298</v>
      </c>
      <c r="I17" s="483">
        <f>SUMIF('OPEX MFC'!C:C,'Opex Grouping'!B:B,'OPEX MFC'!Y:Y)</f>
        <v>1000000</v>
      </c>
      <c r="J17" s="499">
        <f>SUMIF('OPEX MFC'!C:C,'Opex Grouping'!B:B,'OPEX MFC'!L:L)</f>
        <v>519085.50305368053</v>
      </c>
      <c r="K17" s="483">
        <f>SUMIF('OPEX MFC'!C:C,'Opex Grouping'!B:B,'OPEX MFC'!Z:Z)</f>
        <v>1000000</v>
      </c>
      <c r="L17" s="483">
        <f>SUMIF('OPEX MFC'!C:C,'Opex Grouping'!B:B,'OPEX MFC'!M:M)</f>
        <v>556339.18320485484</v>
      </c>
      <c r="M17" s="483">
        <f>SUMIF('OPEX MFC'!C:C,'Opex Grouping'!B:B,'OPEX MFC'!AA:AA)</f>
        <v>1000000</v>
      </c>
      <c r="N17" s="483">
        <f>SUMIF('OPEX MFC'!C:C,'Opex Grouping'!B:B,'OPEX MFC'!N:N)</f>
        <v>598608.93900732568</v>
      </c>
      <c r="O17" s="483">
        <f>SUMIF('OPEX MFC'!C:C,'Opex Grouping'!B:B,'OPEX MFC'!AB:AB)</f>
        <v>1000000</v>
      </c>
      <c r="P17" s="483">
        <f>SUMIF('OPEX MFC'!C:C,'Opex Grouping'!B:B,'OPEX MFC'!O:O)</f>
        <v>632951.33698721137</v>
      </c>
      <c r="Q17" s="483">
        <f>SUMIF('OPEX MFC'!C:C,'Opex Grouping'!B:B,'OPEX MFC'!AC:AC)</f>
        <v>1000000</v>
      </c>
      <c r="R17" s="483">
        <f>SUMIF('OPEX MFC'!$C:$C,'Opex Grouping'!$B:$B,'OPEX MFC'!P:P)</f>
        <v>671654.19783873647</v>
      </c>
      <c r="S17" s="483">
        <v>1000000</v>
      </c>
      <c r="T17" s="483">
        <f>SUMIF('OPEX MFC'!$C:$C,'Opex Grouping'!$B:$B,'OPEX MFC'!Q:Q)</f>
        <v>695906.94420150435</v>
      </c>
      <c r="U17" s="483">
        <f>SUMIF('OPEX MFC'!$C:$C,'Opex Grouping'!$B:$B,'OPEX MFC'!AE:AE)</f>
        <v>1000000</v>
      </c>
      <c r="V17" s="480">
        <f>SUMIF('OPEX MFC'!$C:$C,'Opex Grouping'!$B:$B,'OPEX MFC'!R:R)</f>
        <v>740090.33728734858</v>
      </c>
      <c r="W17" s="480">
        <f>SUMIF('OPEX MFC'!$C:$C,'Opex Grouping'!$B:$B,'OPEX MFC'!AF:AF)</f>
        <v>1000000</v>
      </c>
    </row>
    <row r="18" spans="1:23">
      <c r="A18" s="485" t="s">
        <v>355</v>
      </c>
      <c r="B18" s="479" t="s">
        <v>328</v>
      </c>
      <c r="C18" s="480">
        <f>SUMIF('OPEX MFC'!C:C,'Opex Grouping'!B:B,'OPEX MFC'!F:F)</f>
        <v>0</v>
      </c>
      <c r="D18" s="481">
        <f>SUMIF('OPEX MFC'!C:C,'Opex Grouping'!B:B,'OPEX MFC'!G:G)</f>
        <v>0</v>
      </c>
      <c r="E18" s="480">
        <f>SUMIF('OPEX MFC'!C:C,'Opex Grouping'!B:B,'OPEX MFC'!H:H)</f>
        <v>200000</v>
      </c>
      <c r="F18" s="481">
        <f>SUMIF('OPEX MFC'!C:C,'Opex Grouping'!B:B,'OPEX MFC'!I:I)</f>
        <v>190000</v>
      </c>
      <c r="G18" s="480">
        <f>SUMIF('OPEX MFC'!C:C,'Opex Grouping'!B:B,'OPEX MFC'!J:J)</f>
        <v>190000</v>
      </c>
      <c r="H18" s="503">
        <f>SUMIF('OPEX MFC'!C:C,'Opex Grouping'!B:B,'OPEX MFC'!K:K)</f>
        <v>520000</v>
      </c>
      <c r="I18" s="480">
        <f>SUMIF('OPEX MFC'!C:C,'Opex Grouping'!B:B,'OPEX MFC'!Y:Y)</f>
        <v>520000</v>
      </c>
      <c r="J18" s="500">
        <f>SUMIF('OPEX MFC'!C:C,'Opex Grouping'!B:B,'OPEX MFC'!L:L)</f>
        <v>300000</v>
      </c>
      <c r="K18" s="480">
        <f>SUMIF('OPEX MFC'!C:C,'Opex Grouping'!B:B,'OPEX MFC'!Z:Z)</f>
        <v>300000</v>
      </c>
      <c r="L18" s="480">
        <f>SUMIF('OPEX MFC'!C:C,'Opex Grouping'!B:B,'OPEX MFC'!M:M)</f>
        <v>300000</v>
      </c>
      <c r="M18" s="480">
        <f>SUMIF('OPEX MFC'!C:C,'Opex Grouping'!B:B,'OPEX MFC'!AA:AA)</f>
        <v>300000</v>
      </c>
      <c r="N18" s="480">
        <f>SUMIF('OPEX MFC'!C:C,'Opex Grouping'!B:B,'OPEX MFC'!N:N)</f>
        <v>60000</v>
      </c>
      <c r="O18" s="480">
        <f>SUMIF('OPEX MFC'!C:C,'Opex Grouping'!B:B,'OPEX MFC'!AB:AB)</f>
        <v>60000</v>
      </c>
      <c r="P18" s="480">
        <f>SUMIF('OPEX MFC'!C:C,'Opex Grouping'!B:B,'OPEX MFC'!O:O)</f>
        <v>220000</v>
      </c>
      <c r="Q18" s="480">
        <f>SUMIF('OPEX MFC'!C:C,'Opex Grouping'!B:B,'OPEX MFC'!AC:AC)</f>
        <v>220000</v>
      </c>
      <c r="R18" s="480">
        <f>SUMIF('OPEX MFC'!$C:$C,'Opex Grouping'!$B:$B,'OPEX MFC'!P:P)</f>
        <v>220000</v>
      </c>
      <c r="S18" s="480">
        <v>220000</v>
      </c>
      <c r="T18" s="480">
        <f>SUMIF('OPEX MFC'!$C:$C,'Opex Grouping'!$B:$B,'OPEX MFC'!Q:Q)</f>
        <v>220000</v>
      </c>
      <c r="U18" s="480">
        <f>SUMIF('OPEX MFC'!$C:$C,'Opex Grouping'!$B:$B,'OPEX MFC'!AE:AE)</f>
        <v>220000</v>
      </c>
      <c r="V18" s="480">
        <f>SUMIF('OPEX MFC'!$C:$C,'Opex Grouping'!$B:$B,'OPEX MFC'!R:R)</f>
        <v>240000</v>
      </c>
      <c r="W18" s="480">
        <f>SUMIF('OPEX MFC'!$C:$C,'Opex Grouping'!$B:$B,'OPEX MFC'!AF:AF)</f>
        <v>240000</v>
      </c>
    </row>
    <row r="19" spans="1:23">
      <c r="A19" s="469" t="s">
        <v>356</v>
      </c>
      <c r="B19" s="482" t="s">
        <v>342</v>
      </c>
      <c r="C19" s="483">
        <f>SUMIF('OPEX MFC'!C:C,'Opex Grouping'!B:B,'OPEX MFC'!F:F)</f>
        <v>200000</v>
      </c>
      <c r="D19" s="484">
        <f>SUMIF('OPEX MFC'!C:C,'Opex Grouping'!B:B,'OPEX MFC'!G:G)</f>
        <v>200000</v>
      </c>
      <c r="E19" s="483">
        <f>SUMIF('OPEX MFC'!C:C,'Opex Grouping'!B:B,'OPEX MFC'!H:H)</f>
        <v>200000</v>
      </c>
      <c r="F19" s="484">
        <f>SUMIF('OPEX MFC'!C:C,'Opex Grouping'!B:B,'OPEX MFC'!I:I)</f>
        <v>210000</v>
      </c>
      <c r="G19" s="483">
        <f>SUMIF('OPEX MFC'!C:C,'Opex Grouping'!B:B,'OPEX MFC'!J:J)</f>
        <v>210000</v>
      </c>
      <c r="H19" s="502">
        <f>SUMIF('OPEX MFC'!C:C,'Opex Grouping'!B:B,'OPEX MFC'!K:K)</f>
        <v>270000</v>
      </c>
      <c r="I19" s="483">
        <f>SUMIF('OPEX MFC'!C:C,'Opex Grouping'!B:B,'OPEX MFC'!Y:Y)</f>
        <v>270000</v>
      </c>
      <c r="J19" s="499">
        <f>SUMIF('OPEX MFC'!C:C,'Opex Grouping'!B:B,'OPEX MFC'!L:L)</f>
        <v>230000</v>
      </c>
      <c r="K19" s="483">
        <f>SUMIF('OPEX MFC'!C:C,'Opex Grouping'!B:B,'OPEX MFC'!Z:Z)</f>
        <v>230000</v>
      </c>
      <c r="L19" s="483">
        <f>SUMIF('OPEX MFC'!C:C,'Opex Grouping'!B:B,'OPEX MFC'!M:M)</f>
        <v>230000</v>
      </c>
      <c r="M19" s="483">
        <f>SUMIF('OPEX MFC'!C:C,'Opex Grouping'!B:B,'OPEX MFC'!AA:AA)</f>
        <v>230000</v>
      </c>
      <c r="N19" s="483">
        <f>SUMIF('OPEX MFC'!C:C,'Opex Grouping'!B:B,'OPEX MFC'!N:N)</f>
        <v>28037.38</v>
      </c>
      <c r="O19" s="483">
        <f>SUMIF('OPEX MFC'!C:C,'Opex Grouping'!B:B,'OPEX MFC'!AB:AB)</f>
        <v>28037.38</v>
      </c>
      <c r="P19" s="483">
        <f>SUMIF('OPEX MFC'!C:C,'Opex Grouping'!B:B,'OPEX MFC'!O:O)</f>
        <v>230000</v>
      </c>
      <c r="Q19" s="483">
        <f>SUMIF('OPEX MFC'!C:C,'Opex Grouping'!B:B,'OPEX MFC'!AC:AC)</f>
        <v>230000</v>
      </c>
      <c r="R19" s="483">
        <f>SUMIF('OPEX MFC'!$C:$C,'Opex Grouping'!$B:$B,'OPEX MFC'!P:P)</f>
        <v>230000</v>
      </c>
      <c r="S19" s="483">
        <v>230000</v>
      </c>
      <c r="T19" s="483">
        <f>SUMIF('OPEX MFC'!$C:$C,'Opex Grouping'!$B:$B,'OPEX MFC'!Q:Q)</f>
        <v>230000</v>
      </c>
      <c r="U19" s="483">
        <f>SUMIF('OPEX MFC'!$C:$C,'Opex Grouping'!$B:$B,'OPEX MFC'!AE:AE)</f>
        <v>230000</v>
      </c>
      <c r="V19" s="480">
        <f>SUMIF('OPEX MFC'!$C:$C,'Opex Grouping'!$B:$B,'OPEX MFC'!R:R)</f>
        <v>360000</v>
      </c>
      <c r="W19" s="480">
        <f>SUMIF('OPEX MFC'!$C:$C,'Opex Grouping'!$B:$B,'OPEX MFC'!AF:AF)</f>
        <v>360000</v>
      </c>
    </row>
    <row r="20" spans="1:23" ht="15.75" thickBot="1">
      <c r="A20" s="342" t="s">
        <v>357</v>
      </c>
      <c r="B20" s="479" t="s">
        <v>343</v>
      </c>
      <c r="C20" s="480">
        <f>SUMIF('OPEX MFC'!C:C,'Opex Grouping'!B:B,'OPEX MFC'!F:F)</f>
        <v>309088.67000000027</v>
      </c>
      <c r="D20" s="481">
        <f>SUMIF('OPEX MFC'!C:C,'Opex Grouping'!B:B,'OPEX MFC'!G:G)</f>
        <v>318074.89</v>
      </c>
      <c r="E20" s="480">
        <f>SUMIF('OPEX MFC'!C:C,'Opex Grouping'!B:B,'OPEX MFC'!H:H)</f>
        <v>357528.66999999969</v>
      </c>
      <c r="F20" s="481">
        <f>SUMIF('OPEX MFC'!C:C,'Opex Grouping'!B:B,'OPEX MFC'!I:I)</f>
        <v>351798.66000000009</v>
      </c>
      <c r="G20" s="480">
        <f>SUMIF('OPEX MFC'!C:C,'Opex Grouping'!B:B,'OPEX MFC'!J:J)</f>
        <v>362935.4900000004</v>
      </c>
      <c r="H20" s="503">
        <f>SUMIF('OPEX MFC'!C:C,'Opex Grouping'!B:B,'OPEX MFC'!K:K)</f>
        <v>362935.4900000004</v>
      </c>
      <c r="I20" s="480">
        <f>SUMIF('OPEX MFC'!C:C,'Opex Grouping'!B:B,'OPEX MFC'!Y:Y)</f>
        <v>359316.79999999981</v>
      </c>
      <c r="J20" s="500">
        <f>SUMIF('OPEX MFC'!C:C,'Opex Grouping'!B:B,'OPEX MFC'!L:L)</f>
        <v>362935.4900000004</v>
      </c>
      <c r="K20" s="480">
        <f>SUMIF('OPEX MFC'!C:C,'Opex Grouping'!B:B,'OPEX MFC'!Z:Z)</f>
        <v>359772.65</v>
      </c>
      <c r="L20" s="480">
        <f>SUMIF('OPEX MFC'!C:C,'Opex Grouping'!B:B,'OPEX MFC'!M:M)</f>
        <v>362709.55</v>
      </c>
      <c r="M20" s="480">
        <f>SUMIF('OPEX MFC'!C:C,'Opex Grouping'!B:B,'OPEX MFC'!AA:AA)</f>
        <v>362709.55</v>
      </c>
      <c r="N20" s="480">
        <f>SUMIF('OPEX MFC'!C:C,'Opex Grouping'!B:B,'OPEX MFC'!N:N)</f>
        <v>362709.55</v>
      </c>
      <c r="O20" s="480">
        <f>SUMIF('OPEX MFC'!C:C,'Opex Grouping'!B:B,'OPEX MFC'!AB:AB)</f>
        <v>377977.5500000001</v>
      </c>
      <c r="P20" s="480">
        <f>SUMIF('OPEX MFC'!C:C,'Opex Grouping'!B:B,'OPEX MFC'!O:O)</f>
        <v>363400.64999999997</v>
      </c>
      <c r="Q20" s="480">
        <f>SUMIF('OPEX MFC'!C:C,'Opex Grouping'!B:B,'OPEX MFC'!AC:AC)</f>
        <v>363400.64999999997</v>
      </c>
      <c r="R20" s="480">
        <f>SUMIF('OPEX MFC'!$C:$C,'Opex Grouping'!$B:$B,'OPEX MFC'!P:P)</f>
        <v>364996.17</v>
      </c>
      <c r="S20" s="480">
        <v>364996.17</v>
      </c>
      <c r="T20" s="480">
        <f>SUMIF('OPEX MFC'!$C:$C,'Opex Grouping'!$B:$B,'OPEX MFC'!Q:Q)</f>
        <v>374085.53000000026</v>
      </c>
      <c r="U20" s="480">
        <f>SUMIF('OPEX MFC'!$C:$C,'Opex Grouping'!$B:$B,'OPEX MFC'!AE:AE)</f>
        <v>374085.53000000026</v>
      </c>
      <c r="V20" s="480">
        <f>SUMIF('OPEX MFC'!$C:$C,'Opex Grouping'!$B:$B,'OPEX MFC'!R:R)</f>
        <v>345828.14999999956</v>
      </c>
      <c r="W20" s="480">
        <f>SUMIF('OPEX MFC'!$C:$C,'Opex Grouping'!$B:$B,'OPEX MFC'!AF:AF)</f>
        <v>345828.14999999956</v>
      </c>
    </row>
    <row r="21" spans="1:23" ht="15.75" thickBot="1">
      <c r="A21" s="470" t="s">
        <v>236</v>
      </c>
      <c r="B21" s="471"/>
      <c r="C21" s="472">
        <f t="shared" ref="C21:K21" si="0">SUM(C2:C20)</f>
        <v>6908825.9897976853</v>
      </c>
      <c r="D21" s="473">
        <f t="shared" si="0"/>
        <v>5776308.6613632822</v>
      </c>
      <c r="E21" s="473">
        <f t="shared" si="0"/>
        <v>6805656.5573487999</v>
      </c>
      <c r="F21" s="473">
        <f t="shared" si="0"/>
        <v>6863182.9612759752</v>
      </c>
      <c r="G21" s="473">
        <f t="shared" si="0"/>
        <v>7334075.9949146882</v>
      </c>
      <c r="H21" s="501">
        <f t="shared" si="0"/>
        <v>13950504.431173082</v>
      </c>
      <c r="I21" s="496">
        <f t="shared" si="0"/>
        <v>12685471.210000001</v>
      </c>
      <c r="J21" s="472">
        <f t="shared" si="0"/>
        <v>8426216.5010401048</v>
      </c>
      <c r="K21" s="473">
        <f t="shared" si="0"/>
        <v>11988577.07</v>
      </c>
      <c r="L21" s="473">
        <f t="shared" ref="L21:Q21" si="1">SUM(L2:L20)</f>
        <v>9030512.9129249901</v>
      </c>
      <c r="M21" s="473">
        <f>SUM(M2:M20)</f>
        <v>12354769.140000001</v>
      </c>
      <c r="N21" s="473">
        <f t="shared" si="1"/>
        <v>10276000.496928532</v>
      </c>
      <c r="O21" s="473">
        <f t="shared" si="1"/>
        <v>14185511.890000002</v>
      </c>
      <c r="P21" s="473">
        <f t="shared" si="1"/>
        <v>9527455.5437689591</v>
      </c>
      <c r="Q21" s="473">
        <f t="shared" si="1"/>
        <v>12516068.119999999</v>
      </c>
      <c r="R21" s="473">
        <f t="shared" ref="R21:V21" si="2">SUM(R2:R20)</f>
        <v>10230737.151619356</v>
      </c>
      <c r="S21" s="473">
        <v>12982258.959999999</v>
      </c>
      <c r="T21" s="473">
        <f t="shared" si="2"/>
        <v>10515395.891966604</v>
      </c>
      <c r="U21" s="473">
        <f t="shared" si="2"/>
        <v>13136721.670000006</v>
      </c>
      <c r="V21" s="473">
        <f t="shared" si="2"/>
        <v>10548784.612301072</v>
      </c>
      <c r="W21" s="473">
        <f t="shared" ref="W21" si="3">SUM(W2:W20)</f>
        <v>12709247.959999999</v>
      </c>
    </row>
    <row r="23" spans="1:23">
      <c r="B23" s="309" t="s">
        <v>359</v>
      </c>
      <c r="C23" s="310">
        <f>C21-'OPEX MFC'!F82</f>
        <v>-115262.5</v>
      </c>
      <c r="D23" s="310">
        <f>D21-'OPEX MFC'!G82</f>
        <v>-166150.00000000093</v>
      </c>
      <c r="E23" s="310">
        <f>E21-'OPEX MFC'!H82</f>
        <v>-156600.00000000093</v>
      </c>
      <c r="F23" s="310">
        <f>F21-'OPEX MFC'!I82</f>
        <v>-116306.24999999907</v>
      </c>
      <c r="G23" s="310">
        <f>G21-'OPEX MFC'!J82</f>
        <v>-163900.00000000093</v>
      </c>
      <c r="H23" s="310">
        <f>H21-'OPEX MFC'!K82</f>
        <v>0</v>
      </c>
      <c r="I23" s="310">
        <f>I21-'OPEX MFC'!Y82</f>
        <v>0</v>
      </c>
      <c r="J23" s="310">
        <f>J21-'OPEX MFC'!L82</f>
        <v>0</v>
      </c>
      <c r="K23" s="310">
        <f>K21-'OPEX MFC'!Z82</f>
        <v>0</v>
      </c>
      <c r="L23" s="310">
        <f>L21-'OPEX MFC'!M82</f>
        <v>0</v>
      </c>
      <c r="M23" s="310">
        <f>M21-'OPEX MFC'!AA82</f>
        <v>0</v>
      </c>
      <c r="N23" s="310">
        <f>N21-'OPEX MFC'!N82</f>
        <v>0</v>
      </c>
      <c r="O23" s="310">
        <f>O21-'OPEX MFC'!AB82</f>
        <v>0</v>
      </c>
      <c r="P23" s="310">
        <f>P21-'OPEX MFC'!O82</f>
        <v>0</v>
      </c>
      <c r="Q23" s="310">
        <f>Q21-'OPEX MFC'!AC82</f>
        <v>0</v>
      </c>
      <c r="R23" s="310">
        <f>R21-'OPEX MFC'!P82</f>
        <v>0</v>
      </c>
      <c r="S23" s="310">
        <f>S21-'OPEX MFC'!AD82</f>
        <v>0</v>
      </c>
      <c r="T23" s="310">
        <f>T21-'OPEX MFC'!Q82</f>
        <v>0</v>
      </c>
      <c r="U23" s="310">
        <f>U21-'OPEX MFC'!AE82</f>
        <v>0</v>
      </c>
      <c r="V23" s="310">
        <f>V21-'OPEX MFC'!R82</f>
        <v>0</v>
      </c>
      <c r="W23" s="310">
        <f>W21-'OPEX MFC'!AF82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E184"/>
  <sheetViews>
    <sheetView showGridLines="0" topLeftCell="B54" zoomScale="120" zoomScaleNormal="120" workbookViewId="0">
      <pane xSplit="13" topLeftCell="T1" activePane="topRight" state="frozen"/>
      <selection activeCell="B1" sqref="B1"/>
      <selection pane="topRight" activeCell="V70" sqref="V70"/>
    </sheetView>
  </sheetViews>
  <sheetFormatPr defaultColWidth="9.140625" defaultRowHeight="14.25"/>
  <cols>
    <col min="1" max="1" width="0" style="47" hidden="1" customWidth="1"/>
    <col min="2" max="2" width="3.140625" style="47" customWidth="1"/>
    <col min="3" max="3" width="2.85546875" style="47" customWidth="1"/>
    <col min="4" max="4" width="5" style="47" customWidth="1"/>
    <col min="5" max="5" width="22" style="47" customWidth="1"/>
    <col min="6" max="6" width="19.85546875" style="47" customWidth="1"/>
    <col min="7" max="7" width="29" style="47" bestFit="1" customWidth="1"/>
    <col min="8" max="8" width="8.140625" style="47" hidden="1" customWidth="1"/>
    <col min="9" max="9" width="12.7109375" style="47" hidden="1" customWidth="1"/>
    <col min="10" max="10" width="13.5703125" style="47" hidden="1" customWidth="1"/>
    <col min="11" max="13" width="13.85546875" style="47" hidden="1" customWidth="1"/>
    <col min="14" max="14" width="16.28515625" style="47" hidden="1" customWidth="1"/>
    <col min="15" max="15" width="16.28515625" style="47" customWidth="1"/>
    <col min="16" max="18" width="24.28515625" style="47" customWidth="1"/>
    <col min="19" max="22" width="9.140625" style="47"/>
    <col min="23" max="26" width="12.7109375" style="47" hidden="1" customWidth="1"/>
    <col min="27" max="27" width="11.7109375" style="47" hidden="1" customWidth="1"/>
    <col min="28" max="28" width="11.28515625" style="47" hidden="1" customWidth="1"/>
    <col min="29" max="29" width="12" style="47" hidden="1" customWidth="1"/>
    <col min="30" max="32" width="11.28515625" style="47" hidden="1" customWidth="1"/>
    <col min="33" max="34" width="11.28515625" style="47" bestFit="1" customWidth="1"/>
    <col min="35" max="35" width="10.85546875" style="47" bestFit="1" customWidth="1"/>
    <col min="36" max="16384" width="9.140625" style="47"/>
  </cols>
  <sheetData>
    <row r="1" spans="2:57" ht="15" thickBot="1">
      <c r="O1" s="141"/>
      <c r="P1" s="319" t="s">
        <v>365</v>
      </c>
      <c r="Q1" s="319" t="s">
        <v>366</v>
      </c>
      <c r="R1" s="319" t="s">
        <v>397</v>
      </c>
      <c r="S1" s="319" t="s">
        <v>453</v>
      </c>
      <c r="T1" s="319" t="s">
        <v>485</v>
      </c>
      <c r="U1" s="47" t="s">
        <v>492</v>
      </c>
      <c r="V1" s="47" t="s">
        <v>496</v>
      </c>
    </row>
    <row r="2" spans="2:57">
      <c r="F2" s="137" t="s">
        <v>176</v>
      </c>
      <c r="G2" s="138" t="s">
        <v>233</v>
      </c>
      <c r="H2" s="138"/>
      <c r="I2" s="138"/>
      <c r="J2" s="143">
        <v>9.5200000000000007E-2</v>
      </c>
      <c r="K2" s="143">
        <v>0.10340000000000001</v>
      </c>
      <c r="L2" s="251">
        <v>9.3799999999999994E-2</v>
      </c>
      <c r="M2" s="274">
        <v>0.1047</v>
      </c>
      <c r="N2" s="251">
        <v>0.1186</v>
      </c>
      <c r="O2" s="252">
        <v>0.13350000000000001</v>
      </c>
      <c r="P2" s="320">
        <v>0.15</v>
      </c>
      <c r="Q2" s="320">
        <v>0.12</v>
      </c>
      <c r="R2" s="320">
        <v>0.16</v>
      </c>
      <c r="S2" s="454">
        <v>0.19</v>
      </c>
      <c r="T2" s="459">
        <v>0.18</v>
      </c>
      <c r="U2" s="459">
        <v>0.19</v>
      </c>
      <c r="V2" s="459">
        <v>0.2</v>
      </c>
      <c r="W2" s="459"/>
    </row>
    <row r="3" spans="2:57">
      <c r="F3" s="139" t="s">
        <v>178</v>
      </c>
      <c r="G3" s="53" t="s">
        <v>233</v>
      </c>
      <c r="H3" s="53"/>
      <c r="I3" s="53"/>
      <c r="J3" s="144">
        <v>4.4200000000000003E-2</v>
      </c>
      <c r="K3" s="250">
        <v>8.0000000000000002E-3</v>
      </c>
      <c r="L3" s="252">
        <v>8.4500000000000006E-2</v>
      </c>
      <c r="M3" s="273">
        <v>0.13919999999999999</v>
      </c>
      <c r="N3" s="252">
        <v>8.8499999999999995E-2</v>
      </c>
      <c r="O3" s="252">
        <v>6.1800000000000001E-2</v>
      </c>
      <c r="P3" s="321">
        <v>0.06</v>
      </c>
      <c r="Q3" s="321">
        <v>0.02</v>
      </c>
      <c r="R3" s="321">
        <v>0.04</v>
      </c>
      <c r="S3" s="455">
        <v>0.02</v>
      </c>
      <c r="T3" s="460">
        <v>0.2</v>
      </c>
      <c r="U3" s="460">
        <v>7.0000000000000007E-2</v>
      </c>
      <c r="V3" s="460">
        <v>0.16</v>
      </c>
      <c r="W3" s="460"/>
    </row>
    <row r="4" spans="2:57">
      <c r="F4" s="139" t="s">
        <v>180</v>
      </c>
      <c r="G4" s="53" t="s">
        <v>233</v>
      </c>
      <c r="H4" s="53"/>
      <c r="I4" s="53"/>
      <c r="J4" s="144">
        <v>0</v>
      </c>
      <c r="K4" s="144">
        <v>0</v>
      </c>
      <c r="L4" s="252">
        <v>0</v>
      </c>
      <c r="M4" s="273">
        <v>6.9999999999999999E-4</v>
      </c>
      <c r="N4" s="252">
        <v>3.2199999999999999E-2</v>
      </c>
      <c r="O4" s="252">
        <v>2E-3</v>
      </c>
      <c r="P4" s="321">
        <v>7.0000000000000007E-2</v>
      </c>
      <c r="Q4" s="321">
        <v>0.01</v>
      </c>
      <c r="R4" s="321">
        <v>0</v>
      </c>
      <c r="S4" s="455">
        <v>0</v>
      </c>
      <c r="T4" s="460">
        <v>0.13</v>
      </c>
      <c r="U4" s="460">
        <v>0.05</v>
      </c>
      <c r="V4" s="460">
        <v>7.0000000000000007E-2</v>
      </c>
      <c r="W4" s="460"/>
    </row>
    <row r="5" spans="2:57">
      <c r="F5" s="353" t="s">
        <v>186</v>
      </c>
      <c r="G5" s="53" t="s">
        <v>233</v>
      </c>
      <c r="H5" s="53"/>
      <c r="I5" s="53"/>
      <c r="J5" s="144">
        <v>0</v>
      </c>
      <c r="K5" s="144">
        <v>0</v>
      </c>
      <c r="L5" s="252">
        <v>0</v>
      </c>
      <c r="M5" s="273">
        <v>0</v>
      </c>
      <c r="N5" s="252">
        <v>0</v>
      </c>
      <c r="O5" s="252"/>
      <c r="P5" s="321"/>
      <c r="Q5" s="321"/>
      <c r="R5" s="321"/>
      <c r="S5" s="455"/>
      <c r="T5" s="460"/>
      <c r="U5" s="460"/>
      <c r="V5" s="460"/>
      <c r="W5" s="460"/>
    </row>
    <row r="6" spans="2:57">
      <c r="F6" s="139" t="s">
        <v>364</v>
      </c>
      <c r="G6" s="53"/>
      <c r="H6" s="53"/>
      <c r="I6" s="53"/>
      <c r="J6" s="144"/>
      <c r="K6" s="144"/>
      <c r="L6" s="252"/>
      <c r="M6" s="273"/>
      <c r="N6" s="252"/>
      <c r="O6" s="252"/>
      <c r="P6" s="321">
        <v>0.28000000000000003</v>
      </c>
      <c r="Q6" s="321">
        <v>0.28000000000000003</v>
      </c>
      <c r="R6" s="321">
        <v>0.32</v>
      </c>
      <c r="S6" s="455">
        <v>0.37</v>
      </c>
      <c r="T6" s="460">
        <v>0.35</v>
      </c>
      <c r="U6" s="460">
        <v>0.4</v>
      </c>
      <c r="V6" s="460">
        <v>0.41</v>
      </c>
      <c r="W6" s="460"/>
    </row>
    <row r="7" spans="2:57" ht="15" thickBot="1">
      <c r="F7" s="140" t="s">
        <v>188</v>
      </c>
      <c r="G7" s="141" t="s">
        <v>233</v>
      </c>
      <c r="H7" s="141"/>
      <c r="I7" s="141"/>
      <c r="J7" s="145">
        <v>0.24260000000000001</v>
      </c>
      <c r="K7" s="145">
        <v>0.2591</v>
      </c>
      <c r="L7" s="253">
        <v>0.28010000000000002</v>
      </c>
      <c r="M7" s="275">
        <v>0.29970000000000002</v>
      </c>
      <c r="N7" s="253">
        <v>0.31340000000000001</v>
      </c>
      <c r="O7" s="253">
        <v>0.2485</v>
      </c>
      <c r="P7" s="322">
        <v>0.28000000000000003</v>
      </c>
      <c r="Q7" s="322">
        <v>0.34</v>
      </c>
      <c r="R7" s="322">
        <v>0.36</v>
      </c>
      <c r="S7" s="456">
        <v>0.45</v>
      </c>
      <c r="T7" s="461">
        <v>0.43</v>
      </c>
      <c r="U7" s="461">
        <v>0.45</v>
      </c>
      <c r="V7" s="461">
        <v>0.48</v>
      </c>
      <c r="W7" s="461"/>
    </row>
    <row r="10" spans="2:57" s="54" customFormat="1" ht="16.5" hidden="1" customHeight="1">
      <c r="C10" s="55" t="s">
        <v>206</v>
      </c>
      <c r="D10" s="55"/>
      <c r="E10" s="55"/>
      <c r="F10" s="55"/>
      <c r="G10" s="55"/>
      <c r="H10" s="55"/>
      <c r="I10" s="55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pans="2:57" ht="17.25" hidden="1" customHeight="1" thickBot="1">
      <c r="B11" s="57"/>
      <c r="C11" s="49"/>
      <c r="D11" s="49"/>
      <c r="E11" s="49"/>
      <c r="F11" s="49"/>
      <c r="G11" s="49"/>
      <c r="H11" s="129" t="s">
        <v>231</v>
      </c>
      <c r="I11" s="147">
        <v>42156</v>
      </c>
      <c r="J11" s="130">
        <v>42186</v>
      </c>
      <c r="K11" s="130">
        <v>42217</v>
      </c>
      <c r="L11" s="130">
        <v>42248</v>
      </c>
      <c r="M11" s="130">
        <v>42278</v>
      </c>
      <c r="N11" s="130">
        <v>42309</v>
      </c>
      <c r="O11" s="130">
        <v>42339</v>
      </c>
      <c r="P11" s="130">
        <v>42370</v>
      </c>
      <c r="Q11" s="344">
        <v>42401</v>
      </c>
      <c r="R11" s="344">
        <v>42430</v>
      </c>
      <c r="S11" s="125" t="s">
        <v>232</v>
      </c>
      <c r="T11" s="125"/>
      <c r="U11" s="125"/>
      <c r="V11" s="125"/>
      <c r="W11" s="126">
        <v>42186</v>
      </c>
      <c r="X11" s="126">
        <v>42217</v>
      </c>
      <c r="Y11" s="126">
        <v>42248</v>
      </c>
      <c r="Z11" s="126">
        <v>42278</v>
      </c>
      <c r="AA11" s="126">
        <v>42309</v>
      </c>
      <c r="AB11" s="126">
        <v>42339</v>
      </c>
      <c r="AC11" s="126">
        <v>42370</v>
      </c>
      <c r="AD11" s="126">
        <v>42401</v>
      </c>
      <c r="AE11" s="126">
        <v>42430</v>
      </c>
    </row>
    <row r="12" spans="2:57" s="51" customFormat="1" ht="15" hidden="1">
      <c r="C12" s="59"/>
      <c r="D12" s="124" t="s">
        <v>239</v>
      </c>
      <c r="E12" s="49"/>
      <c r="F12" s="49"/>
      <c r="G12" s="152" t="s">
        <v>234</v>
      </c>
      <c r="H12" s="163"/>
      <c r="I12" s="163"/>
      <c r="J12" s="164"/>
      <c r="K12" s="164"/>
      <c r="L12" s="164"/>
      <c r="M12" s="164"/>
      <c r="N12" s="164"/>
      <c r="O12" s="164"/>
      <c r="P12" s="164"/>
      <c r="Q12" s="164"/>
      <c r="R12" s="164"/>
      <c r="S12" s="127"/>
      <c r="T12" s="127"/>
      <c r="U12" s="127"/>
      <c r="V12" s="127"/>
      <c r="W12" s="127"/>
      <c r="X12" s="127"/>
      <c r="Y12" s="127"/>
      <c r="Z12" s="127"/>
      <c r="AA12" s="142"/>
      <c r="AB12" s="142"/>
      <c r="AC12" s="142"/>
      <c r="AD12" s="142"/>
      <c r="AE12" s="142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</row>
    <row r="13" spans="2:57" s="51" customFormat="1" ht="28.5" hidden="1">
      <c r="C13" s="60" t="s">
        <v>428</v>
      </c>
      <c r="D13" s="49"/>
      <c r="E13" s="49"/>
      <c r="F13" s="60" t="s">
        <v>430</v>
      </c>
      <c r="G13" s="159" t="s">
        <v>302</v>
      </c>
      <c r="H13" s="164"/>
      <c r="I13" s="146">
        <v>16118619.943999965</v>
      </c>
      <c r="J13" s="202">
        <v>18664695.550000001</v>
      </c>
      <c r="K13" s="203">
        <v>21046958.199999999</v>
      </c>
      <c r="L13" s="203">
        <v>23216556.649999999</v>
      </c>
      <c r="M13" s="203">
        <v>25269184.61500014</v>
      </c>
      <c r="N13" s="203">
        <f>25871367.42+1305861.25</f>
        <v>27177228.670000002</v>
      </c>
      <c r="O13" s="203">
        <f>27151002.16+1956188.97</f>
        <v>29107191.129999999</v>
      </c>
      <c r="P13" s="203">
        <f>1093948.54+721173.73</f>
        <v>1815122.27</v>
      </c>
      <c r="Q13" s="203">
        <f>1922569.58+1625446.82</f>
        <v>3548016.4000000004</v>
      </c>
      <c r="R13" s="203">
        <f>2627882.54</f>
        <v>2627882.54</v>
      </c>
      <c r="S13" s="127"/>
      <c r="T13" s="127"/>
      <c r="U13" s="127"/>
      <c r="V13" s="127"/>
      <c r="W13" s="142">
        <v>15808547.87000002</v>
      </c>
      <c r="X13" s="142">
        <v>14455781.969999969</v>
      </c>
      <c r="Y13" s="142">
        <v>12863676.660000026</v>
      </c>
      <c r="Z13" s="142">
        <v>11843235</v>
      </c>
      <c r="AA13" s="142">
        <v>10613746.129999965</v>
      </c>
      <c r="AB13" s="142">
        <v>9765540.930000037</v>
      </c>
      <c r="AC13" s="142">
        <v>8675605.4199999999</v>
      </c>
      <c r="AD13" s="142">
        <v>7538260.1699999999</v>
      </c>
      <c r="AE13" s="142">
        <v>6876698.3900000006</v>
      </c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</row>
    <row r="14" spans="2:57" s="51" customFormat="1" hidden="1">
      <c r="C14" s="60" t="s">
        <v>429</v>
      </c>
      <c r="D14" s="49"/>
      <c r="E14" s="49"/>
      <c r="F14" s="60" t="s">
        <v>431</v>
      </c>
      <c r="G14" s="159"/>
      <c r="H14" s="164"/>
      <c r="I14" s="146"/>
      <c r="J14" s="202"/>
      <c r="K14" s="203"/>
      <c r="L14" s="203"/>
      <c r="M14" s="203"/>
      <c r="N14" s="203"/>
      <c r="O14" s="203"/>
      <c r="P14" s="203">
        <v>721173.73</v>
      </c>
      <c r="Q14" s="203">
        <v>1625446.82</v>
      </c>
      <c r="R14" s="203">
        <v>2623990.4300000002</v>
      </c>
      <c r="S14" s="127"/>
      <c r="T14" s="127"/>
      <c r="U14" s="127"/>
      <c r="V14" s="127"/>
      <c r="W14" s="142"/>
      <c r="X14" s="142"/>
      <c r="Y14" s="142"/>
      <c r="Z14" s="142"/>
      <c r="AA14" s="142"/>
      <c r="AB14" s="142"/>
      <c r="AC14" s="142"/>
      <c r="AD14" s="142"/>
      <c r="AE14" s="142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</row>
    <row r="15" spans="2:57" s="51" customFormat="1" hidden="1">
      <c r="C15" s="60" t="s">
        <v>432</v>
      </c>
      <c r="D15" s="49"/>
      <c r="E15" s="49"/>
      <c r="F15" s="60" t="s">
        <v>433</v>
      </c>
      <c r="G15" s="159"/>
      <c r="H15" s="164"/>
      <c r="I15" s="146"/>
      <c r="J15" s="202"/>
      <c r="K15" s="203"/>
      <c r="L15" s="203"/>
      <c r="M15" s="203"/>
      <c r="N15" s="203"/>
      <c r="O15" s="203"/>
      <c r="P15" s="203">
        <v>6860483.1500000004</v>
      </c>
      <c r="Q15" s="203">
        <v>12721248.82</v>
      </c>
      <c r="R15" s="203"/>
      <c r="S15" s="127"/>
      <c r="T15" s="127"/>
      <c r="U15" s="127"/>
      <c r="V15" s="127"/>
      <c r="W15" s="142"/>
      <c r="X15" s="142"/>
      <c r="Y15" s="142"/>
      <c r="Z15" s="142"/>
      <c r="AA15" s="142"/>
      <c r="AB15" s="142"/>
      <c r="AC15" s="142"/>
      <c r="AD15" s="142"/>
      <c r="AE15" s="142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</row>
    <row r="16" spans="2:57" s="51" customFormat="1" ht="15" hidden="1">
      <c r="C16" s="60" t="s">
        <v>236</v>
      </c>
      <c r="D16" s="49"/>
      <c r="E16" s="49"/>
      <c r="F16" s="60"/>
      <c r="G16" s="159"/>
      <c r="H16" s="164"/>
      <c r="I16" s="146"/>
      <c r="J16" s="202"/>
      <c r="K16" s="203"/>
      <c r="L16" s="203"/>
      <c r="M16" s="203"/>
      <c r="N16" s="203"/>
      <c r="O16" s="203"/>
      <c r="P16" s="401">
        <f>SUM(P13:P15)</f>
        <v>9396779.1500000004</v>
      </c>
      <c r="Q16" s="401">
        <f>SUM(Q13:Q15)</f>
        <v>17894712.039999999</v>
      </c>
      <c r="R16" s="203"/>
      <c r="S16" s="127"/>
      <c r="T16" s="127"/>
      <c r="U16" s="127"/>
      <c r="V16" s="127"/>
      <c r="W16" s="142"/>
      <c r="X16" s="142"/>
      <c r="Y16" s="142"/>
      <c r="Z16" s="142"/>
      <c r="AA16" s="142"/>
      <c r="AB16" s="142"/>
      <c r="AC16" s="142"/>
      <c r="AD16" s="142"/>
      <c r="AE16" s="142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</row>
    <row r="17" spans="1:49" s="51" customFormat="1" ht="28.5" hidden="1">
      <c r="C17" s="61" t="s">
        <v>166</v>
      </c>
      <c r="D17" s="49" t="s">
        <v>435</v>
      </c>
      <c r="E17" s="49"/>
      <c r="F17" s="49" t="s">
        <v>436</v>
      </c>
      <c r="G17" s="160" t="s">
        <v>440</v>
      </c>
      <c r="H17" s="164"/>
      <c r="I17" s="146">
        <v>2634524.4470000109</v>
      </c>
      <c r="J17" s="202">
        <v>2496126.61</v>
      </c>
      <c r="K17" s="203">
        <v>2368955.1800000002</v>
      </c>
      <c r="L17" s="203">
        <v>2231656.88</v>
      </c>
      <c r="M17" s="203">
        <v>2308629.09</v>
      </c>
      <c r="N17" s="203">
        <f>1527347.7+413980.83</f>
        <v>1941328.53</v>
      </c>
      <c r="O17" s="203">
        <f>1288276.14+571859.24</f>
        <v>1860135.38</v>
      </c>
      <c r="P17" s="203">
        <f>1067430.61</f>
        <v>1067430.6100000001</v>
      </c>
      <c r="Q17" s="203">
        <f>865706.99</f>
        <v>865706.99</v>
      </c>
      <c r="R17" s="203">
        <f>717108.19+902619.38</f>
        <v>1619727.5699999998</v>
      </c>
      <c r="S17" s="127"/>
      <c r="T17" s="127"/>
      <c r="U17" s="127"/>
      <c r="V17" s="127"/>
      <c r="W17" s="142">
        <v>18940708.420000002</v>
      </c>
      <c r="X17" s="142">
        <v>17367175.670000002</v>
      </c>
      <c r="Y17" s="142">
        <v>15687923.820000002</v>
      </c>
      <c r="Z17" s="142">
        <v>14191555.780000001</v>
      </c>
      <c r="AA17" s="142">
        <v>12520005.959999999</v>
      </c>
      <c r="AB17" s="142">
        <v>11097311.930000002</v>
      </c>
      <c r="AC17" s="142">
        <v>9791691.8099999987</v>
      </c>
      <c r="AD17" s="142">
        <v>8514328.0899999999</v>
      </c>
      <c r="AE17" s="142">
        <v>7685845.7999999989</v>
      </c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</row>
    <row r="18" spans="1:49" s="51" customFormat="1" hidden="1">
      <c r="C18" s="61" t="s">
        <v>166</v>
      </c>
      <c r="D18" s="49" t="s">
        <v>434</v>
      </c>
      <c r="E18" s="49"/>
      <c r="F18" s="49" t="s">
        <v>439</v>
      </c>
      <c r="G18" s="160"/>
      <c r="H18" s="164"/>
      <c r="I18" s="146"/>
      <c r="J18" s="202"/>
      <c r="K18" s="203"/>
      <c r="L18" s="203"/>
      <c r="M18" s="203"/>
      <c r="N18" s="203"/>
      <c r="O18" s="203"/>
      <c r="P18" s="203">
        <v>670836.68000000005</v>
      </c>
      <c r="Q18" s="203">
        <v>751532.76</v>
      </c>
      <c r="R18" s="203"/>
      <c r="S18" s="127"/>
      <c r="T18" s="127"/>
      <c r="U18" s="127"/>
      <c r="V18" s="127"/>
      <c r="W18" s="142"/>
      <c r="X18" s="142"/>
      <c r="Y18" s="142"/>
      <c r="Z18" s="142"/>
      <c r="AA18" s="142"/>
      <c r="AB18" s="142"/>
      <c r="AC18" s="142"/>
      <c r="AD18" s="142"/>
      <c r="AE18" s="142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</row>
    <row r="19" spans="1:49" s="51" customFormat="1" hidden="1">
      <c r="C19" s="61" t="s">
        <v>166</v>
      </c>
      <c r="D19" s="49" t="s">
        <v>437</v>
      </c>
      <c r="E19" s="49"/>
      <c r="F19" s="49" t="s">
        <v>438</v>
      </c>
      <c r="G19" s="160"/>
      <c r="H19" s="164"/>
      <c r="I19" s="146"/>
      <c r="J19" s="202"/>
      <c r="K19" s="203"/>
      <c r="L19" s="203"/>
      <c r="M19" s="203"/>
      <c r="N19" s="203"/>
      <c r="O19" s="203"/>
      <c r="P19" s="203">
        <v>8053424.5099999998</v>
      </c>
      <c r="Q19" s="203">
        <v>6897088.3399999999</v>
      </c>
      <c r="R19" s="203"/>
      <c r="S19" s="127"/>
      <c r="T19" s="127"/>
      <c r="U19" s="127"/>
      <c r="V19" s="127"/>
      <c r="W19" s="142"/>
      <c r="X19" s="142"/>
      <c r="Y19" s="142"/>
      <c r="Z19" s="142"/>
      <c r="AA19" s="142"/>
      <c r="AB19" s="142"/>
      <c r="AC19" s="142"/>
      <c r="AD19" s="142"/>
      <c r="AE19" s="142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</row>
    <row r="20" spans="1:49" s="51" customFormat="1" ht="15" hidden="1">
      <c r="C20" s="61" t="s">
        <v>236</v>
      </c>
      <c r="D20" s="49"/>
      <c r="E20" s="49"/>
      <c r="F20" s="49"/>
      <c r="G20" s="160"/>
      <c r="H20" s="164"/>
      <c r="I20" s="146"/>
      <c r="J20" s="202"/>
      <c r="K20" s="203"/>
      <c r="L20" s="203"/>
      <c r="M20" s="203"/>
      <c r="N20" s="203"/>
      <c r="O20" s="203"/>
      <c r="P20" s="401">
        <f>SUM(P17:P19)</f>
        <v>9791691.8000000007</v>
      </c>
      <c r="Q20" s="401">
        <f>SUM(Q17:Q19)</f>
        <v>8514328.0899999999</v>
      </c>
      <c r="R20" s="203"/>
      <c r="S20" s="127"/>
      <c r="T20" s="127"/>
      <c r="U20" s="127"/>
      <c r="V20" s="127"/>
      <c r="W20" s="142"/>
      <c r="X20" s="142"/>
      <c r="Y20" s="142"/>
      <c r="Z20" s="142"/>
      <c r="AA20" s="142"/>
      <c r="AB20" s="142"/>
      <c r="AC20" s="142"/>
      <c r="AD20" s="142"/>
      <c r="AE20" s="142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</row>
    <row r="21" spans="1:49" s="51" customFormat="1" ht="15" hidden="1">
      <c r="C21" s="61"/>
      <c r="D21" s="49"/>
      <c r="E21" s="49"/>
      <c r="F21" s="49"/>
      <c r="G21" s="153" t="s">
        <v>236</v>
      </c>
      <c r="H21" s="164"/>
      <c r="I21" s="247">
        <f t="shared" ref="I21:O21" si="0">I13+I17</f>
        <v>18753144.390999977</v>
      </c>
      <c r="J21" s="248">
        <f t="shared" si="0"/>
        <v>21160822.16</v>
      </c>
      <c r="K21" s="248">
        <f t="shared" si="0"/>
        <v>23415913.379999999</v>
      </c>
      <c r="L21" s="248">
        <f t="shared" si="0"/>
        <v>25448213.529999997</v>
      </c>
      <c r="M21" s="248">
        <f t="shared" si="0"/>
        <v>27577813.70500014</v>
      </c>
      <c r="N21" s="248">
        <f t="shared" si="0"/>
        <v>29118557.200000003</v>
      </c>
      <c r="O21" s="248">
        <f t="shared" si="0"/>
        <v>30967326.509999998</v>
      </c>
      <c r="P21" s="248">
        <f>P16+P20</f>
        <v>19188470.950000003</v>
      </c>
      <c r="Q21" s="248">
        <f>Q16+Q20</f>
        <v>26409040.129999999</v>
      </c>
      <c r="R21" s="248">
        <f>R13+R17</f>
        <v>4247610.1099999994</v>
      </c>
      <c r="S21" s="127"/>
      <c r="T21" s="127"/>
      <c r="U21" s="127"/>
      <c r="V21" s="127"/>
      <c r="W21" s="246">
        <f>W13+W17</f>
        <v>34749256.290000021</v>
      </c>
      <c r="X21" s="246">
        <f>X13+X17</f>
        <v>31822957.639999971</v>
      </c>
      <c r="Y21" s="246">
        <f>Y13+Y17</f>
        <v>28551600.480000027</v>
      </c>
      <c r="Z21" s="246">
        <f>Z13+Z17</f>
        <v>26034790.780000001</v>
      </c>
      <c r="AA21" s="142">
        <v>23133752.089999966</v>
      </c>
      <c r="AB21" s="142">
        <f>AB13+AB17</f>
        <v>20862852.860000037</v>
      </c>
      <c r="AC21" s="142">
        <f>AC13+AC17</f>
        <v>18467297.229999997</v>
      </c>
      <c r="AD21" s="142">
        <v>16052588.26</v>
      </c>
      <c r="AE21" s="142">
        <v>14562544.189999999</v>
      </c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</row>
    <row r="22" spans="1:49" s="51" customFormat="1" ht="28.5" hidden="1">
      <c r="C22" s="61" t="s">
        <v>169</v>
      </c>
      <c r="D22" s="49" t="s">
        <v>441</v>
      </c>
      <c r="E22" s="49"/>
      <c r="F22" s="200" t="s">
        <v>444</v>
      </c>
      <c r="G22" s="153"/>
      <c r="H22" s="164"/>
      <c r="I22" s="146">
        <v>2296953.42</v>
      </c>
      <c r="J22" s="146">
        <v>2296953.42</v>
      </c>
      <c r="K22" s="146">
        <v>2296953.42</v>
      </c>
      <c r="L22" s="146">
        <v>2296953.42</v>
      </c>
      <c r="M22" s="146">
        <v>2296953.42</v>
      </c>
      <c r="N22" s="203">
        <v>2296953.42</v>
      </c>
      <c r="O22" s="203">
        <v>2296953.42</v>
      </c>
      <c r="P22" s="203">
        <f>1288276.14</f>
        <v>1288276.1399999999</v>
      </c>
      <c r="Q22" s="359">
        <f>P22</f>
        <v>1288276.1399999999</v>
      </c>
      <c r="R22" s="359">
        <f>Q22</f>
        <v>1288276.1399999999</v>
      </c>
      <c r="S22" s="127"/>
      <c r="T22" s="127"/>
      <c r="U22" s="127"/>
      <c r="V22" s="127"/>
      <c r="W22" s="142">
        <v>20551185.419999998</v>
      </c>
      <c r="X22" s="142">
        <v>18940708.420000002</v>
      </c>
      <c r="Y22" s="142">
        <v>17367175.670000002</v>
      </c>
      <c r="Z22" s="142">
        <v>15687923.820000002</v>
      </c>
      <c r="AA22" s="142">
        <v>14191555.780000001</v>
      </c>
      <c r="AB22" s="142">
        <v>12520005.959999999</v>
      </c>
      <c r="AC22" s="142">
        <v>11097311.930000002</v>
      </c>
      <c r="AD22" s="142">
        <v>9791691.8099999987</v>
      </c>
      <c r="AE22" s="142">
        <v>8514328.0899999999</v>
      </c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</row>
    <row r="23" spans="1:49" s="51" customFormat="1" ht="28.5" hidden="1">
      <c r="C23" s="61" t="s">
        <v>169</v>
      </c>
      <c r="D23" s="49" t="s">
        <v>442</v>
      </c>
      <c r="E23" s="49"/>
      <c r="F23" s="200" t="s">
        <v>445</v>
      </c>
      <c r="G23" s="153"/>
      <c r="H23" s="164"/>
      <c r="I23" s="146"/>
      <c r="J23" s="146"/>
      <c r="K23" s="146"/>
      <c r="L23" s="146"/>
      <c r="M23" s="146"/>
      <c r="N23" s="203"/>
      <c r="O23" s="203"/>
      <c r="P23" s="203">
        <v>571859.24</v>
      </c>
      <c r="Q23" s="359">
        <f>P23</f>
        <v>571859.24</v>
      </c>
      <c r="R23" s="359"/>
      <c r="S23" s="127"/>
      <c r="T23" s="127"/>
      <c r="U23" s="127"/>
      <c r="V23" s="127"/>
      <c r="W23" s="142"/>
      <c r="X23" s="142"/>
      <c r="Y23" s="142"/>
      <c r="Z23" s="142"/>
      <c r="AA23" s="142"/>
      <c r="AB23" s="142"/>
      <c r="AC23" s="142"/>
      <c r="AD23" s="142"/>
      <c r="AE23" s="142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</row>
    <row r="24" spans="1:49" s="51" customFormat="1" ht="28.5" hidden="1">
      <c r="C24" s="61" t="s">
        <v>169</v>
      </c>
      <c r="D24" s="49" t="s">
        <v>443</v>
      </c>
      <c r="E24" s="49"/>
      <c r="F24" s="200" t="s">
        <v>446</v>
      </c>
      <c r="G24" s="153"/>
      <c r="H24" s="164"/>
      <c r="I24" s="146"/>
      <c r="J24" s="146"/>
      <c r="K24" s="146"/>
      <c r="L24" s="146"/>
      <c r="M24" s="146"/>
      <c r="N24" s="203"/>
      <c r="O24" s="203"/>
      <c r="P24" s="203">
        <v>9237176.5500000007</v>
      </c>
      <c r="Q24" s="359">
        <f>P24</f>
        <v>9237176.5500000007</v>
      </c>
      <c r="R24" s="359"/>
      <c r="S24" s="127"/>
      <c r="T24" s="127"/>
      <c r="U24" s="127"/>
      <c r="V24" s="127"/>
      <c r="W24" s="142"/>
      <c r="X24" s="142"/>
      <c r="Y24" s="142"/>
      <c r="Z24" s="142"/>
      <c r="AA24" s="142"/>
      <c r="AB24" s="142"/>
      <c r="AC24" s="142"/>
      <c r="AD24" s="142"/>
      <c r="AE24" s="142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</row>
    <row r="25" spans="1:49" s="51" customFormat="1" ht="15" hidden="1">
      <c r="C25" s="61" t="s">
        <v>236</v>
      </c>
      <c r="D25" s="49"/>
      <c r="E25" s="49"/>
      <c r="F25" s="200"/>
      <c r="G25" s="153"/>
      <c r="H25" s="164"/>
      <c r="I25" s="146"/>
      <c r="J25" s="146"/>
      <c r="K25" s="146"/>
      <c r="L25" s="146"/>
      <c r="M25" s="146"/>
      <c r="N25" s="203"/>
      <c r="O25" s="203"/>
      <c r="P25" s="358">
        <f>SUM(P22:P24)</f>
        <v>11097311.93</v>
      </c>
      <c r="Q25" s="358">
        <f>SUM(Q22:Q24)</f>
        <v>11097311.93</v>
      </c>
      <c r="R25" s="359"/>
      <c r="S25" s="127"/>
      <c r="T25" s="127"/>
      <c r="U25" s="127"/>
      <c r="V25" s="127"/>
      <c r="W25" s="142"/>
      <c r="X25" s="142"/>
      <c r="Y25" s="142"/>
      <c r="Z25" s="142"/>
      <c r="AA25" s="142"/>
      <c r="AB25" s="142"/>
      <c r="AC25" s="142"/>
      <c r="AD25" s="142"/>
      <c r="AE25" s="142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</row>
    <row r="26" spans="1:49" s="51" customFormat="1" ht="18" hidden="1" customHeight="1">
      <c r="C26" s="49" t="s">
        <v>172</v>
      </c>
      <c r="D26" s="49"/>
      <c r="E26" s="49"/>
      <c r="F26" s="49" t="s">
        <v>173</v>
      </c>
      <c r="G26" s="153"/>
      <c r="H26" s="165"/>
      <c r="I26" s="186">
        <f t="shared" ref="I26:N26" si="1">I21-I22</f>
        <v>16456190.970999977</v>
      </c>
      <c r="J26" s="186">
        <f t="shared" si="1"/>
        <v>18863868.740000002</v>
      </c>
      <c r="K26" s="186">
        <f t="shared" si="1"/>
        <v>21118959.960000001</v>
      </c>
      <c r="L26" s="186">
        <f t="shared" si="1"/>
        <v>23151260.109999999</v>
      </c>
      <c r="M26" s="186">
        <f t="shared" si="1"/>
        <v>25280860.285000138</v>
      </c>
      <c r="N26" s="203">
        <f t="shared" si="1"/>
        <v>26821603.780000001</v>
      </c>
      <c r="O26" s="203">
        <f>O21-O22</f>
        <v>28670373.089999996</v>
      </c>
      <c r="P26" s="203">
        <f>P21-P25</f>
        <v>8091159.0200000033</v>
      </c>
      <c r="Q26" s="203">
        <f>Q21-Q25</f>
        <v>15311728.199999999</v>
      </c>
      <c r="R26" s="203">
        <f>R21-R22</f>
        <v>2959333.9699999997</v>
      </c>
      <c r="S26" s="185"/>
      <c r="T26" s="185"/>
      <c r="U26" s="185"/>
      <c r="V26" s="185"/>
      <c r="W26" s="183">
        <f t="shared" ref="W26:AC26" si="2">W21-W22</f>
        <v>14198070.870000023</v>
      </c>
      <c r="X26" s="183">
        <f t="shared" si="2"/>
        <v>12882249.219999969</v>
      </c>
      <c r="Y26" s="183">
        <f t="shared" si="2"/>
        <v>11184424.810000025</v>
      </c>
      <c r="Z26" s="183">
        <f t="shared" si="2"/>
        <v>10346866.959999999</v>
      </c>
      <c r="AA26" s="142">
        <f t="shared" si="2"/>
        <v>8942196.3099999651</v>
      </c>
      <c r="AB26" s="142">
        <f t="shared" si="2"/>
        <v>8342846.9000000376</v>
      </c>
      <c r="AC26" s="142">
        <f t="shared" si="2"/>
        <v>7369985.2999999952</v>
      </c>
      <c r="AD26" s="142">
        <v>6260896.4500000011</v>
      </c>
      <c r="AE26" s="142">
        <v>6048216.0999999996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</row>
    <row r="27" spans="1:49" s="51" customFormat="1" ht="18" hidden="1" customHeight="1">
      <c r="C27" s="62" t="s">
        <v>166</v>
      </c>
      <c r="D27" s="63" t="s">
        <v>209</v>
      </c>
      <c r="E27" s="63"/>
      <c r="F27" s="63" t="s">
        <v>447</v>
      </c>
      <c r="G27" s="153" t="s">
        <v>244</v>
      </c>
      <c r="H27" s="165"/>
      <c r="I27" s="165">
        <v>0</v>
      </c>
      <c r="J27" s="164">
        <f t="shared" ref="J27:O27" si="3">W27</f>
        <v>0</v>
      </c>
      <c r="K27" s="146">
        <f t="shared" si="3"/>
        <v>5807.4</v>
      </c>
      <c r="L27" s="146">
        <f t="shared" si="3"/>
        <v>8922.98</v>
      </c>
      <c r="M27" s="146">
        <f t="shared" si="3"/>
        <v>13481.67</v>
      </c>
      <c r="N27" s="146">
        <f t="shared" si="3"/>
        <v>17695.38</v>
      </c>
      <c r="O27" s="146">
        <f t="shared" si="3"/>
        <v>33932.46</v>
      </c>
      <c r="P27" s="146">
        <f>AC27</f>
        <v>23527.78</v>
      </c>
      <c r="Q27" s="146">
        <f>AD27</f>
        <v>31937.940000000002</v>
      </c>
      <c r="R27" s="146">
        <f>AE27</f>
        <v>33956.399999999994</v>
      </c>
      <c r="S27" s="127"/>
      <c r="T27" s="127"/>
      <c r="U27" s="127"/>
      <c r="V27" s="127"/>
      <c r="W27" s="142">
        <v>0</v>
      </c>
      <c r="X27" s="142">
        <v>5807.4</v>
      </c>
      <c r="Y27" s="142">
        <v>8922.98</v>
      </c>
      <c r="Z27" s="142">
        <v>13481.67</v>
      </c>
      <c r="AA27" s="142">
        <v>17695.38</v>
      </c>
      <c r="AB27" s="142">
        <v>33932.46</v>
      </c>
      <c r="AC27" s="142">
        <v>23527.78</v>
      </c>
      <c r="AD27" s="142">
        <v>31937.940000000002</v>
      </c>
      <c r="AE27" s="142">
        <v>33956.399999999994</v>
      </c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</row>
    <row r="28" spans="1:49" s="51" customFormat="1" ht="18" hidden="1" customHeight="1">
      <c r="C28" s="58" t="s">
        <v>211</v>
      </c>
      <c r="D28" s="58"/>
      <c r="E28" s="58"/>
      <c r="F28" s="58" t="s">
        <v>212</v>
      </c>
      <c r="G28" s="153"/>
      <c r="H28" s="165"/>
      <c r="I28" s="182">
        <f t="shared" ref="I28:O28" si="4">I26+I27</f>
        <v>16456190.970999977</v>
      </c>
      <c r="J28" s="182">
        <f t="shared" si="4"/>
        <v>18863868.740000002</v>
      </c>
      <c r="K28" s="182">
        <f t="shared" si="4"/>
        <v>21124767.359999999</v>
      </c>
      <c r="L28" s="182">
        <f t="shared" si="4"/>
        <v>23160183.09</v>
      </c>
      <c r="M28" s="182">
        <f t="shared" si="4"/>
        <v>25294341.95500014</v>
      </c>
      <c r="N28" s="182">
        <f t="shared" si="4"/>
        <v>26839299.16</v>
      </c>
      <c r="O28" s="182">
        <f t="shared" si="4"/>
        <v>28704305.549999997</v>
      </c>
      <c r="P28" s="182">
        <f>P26+P27</f>
        <v>8114686.8000000035</v>
      </c>
      <c r="Q28" s="182">
        <f>Q26+Q27</f>
        <v>15343666.139999999</v>
      </c>
      <c r="R28" s="182">
        <f>R26+R27</f>
        <v>2993290.3699999996</v>
      </c>
      <c r="S28" s="185"/>
      <c r="T28" s="185"/>
      <c r="U28" s="185"/>
      <c r="V28" s="185"/>
      <c r="W28" s="183">
        <f t="shared" ref="W28:AC28" si="5">W26+W27</f>
        <v>14198070.870000023</v>
      </c>
      <c r="X28" s="183">
        <f t="shared" si="5"/>
        <v>12888056.619999969</v>
      </c>
      <c r="Y28" s="183">
        <f t="shared" si="5"/>
        <v>11193347.790000025</v>
      </c>
      <c r="Z28" s="183">
        <f t="shared" si="5"/>
        <v>10360348.629999999</v>
      </c>
      <c r="AA28" s="142">
        <f t="shared" si="5"/>
        <v>8959891.689999966</v>
      </c>
      <c r="AB28" s="142">
        <f t="shared" si="5"/>
        <v>8376779.3600000376</v>
      </c>
      <c r="AC28" s="142">
        <f t="shared" si="5"/>
        <v>7393513.0799999954</v>
      </c>
      <c r="AD28" s="142">
        <v>6292834.3900000015</v>
      </c>
      <c r="AE28" s="142">
        <v>6082172.5</v>
      </c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</row>
    <row r="29" spans="1:49" s="166" customFormat="1" ht="18" hidden="1" customHeight="1">
      <c r="C29" s="167"/>
      <c r="D29" s="167"/>
      <c r="E29" s="167"/>
      <c r="F29" s="168" t="s">
        <v>57</v>
      </c>
      <c r="G29" s="169"/>
      <c r="H29" s="170"/>
      <c r="I29" s="170"/>
      <c r="J29" s="201">
        <f t="shared" ref="J29:N29" si="6">J28-I28</f>
        <v>2407677.7690000255</v>
      </c>
      <c r="K29" s="201">
        <f t="shared" si="6"/>
        <v>2260898.6199999973</v>
      </c>
      <c r="L29" s="201">
        <f t="shared" si="6"/>
        <v>2035415.7300000004</v>
      </c>
      <c r="M29" s="201">
        <f t="shared" si="6"/>
        <v>2134158.8650001399</v>
      </c>
      <c r="N29" s="201">
        <f t="shared" si="6"/>
        <v>1544957.2049998604</v>
      </c>
      <c r="O29" s="201">
        <f>O28-N28</f>
        <v>1865006.3899999969</v>
      </c>
      <c r="P29" s="201">
        <f>P28</f>
        <v>8114686.8000000035</v>
      </c>
      <c r="Q29" s="201">
        <f>Q28-P28</f>
        <v>7228979.3399999952</v>
      </c>
      <c r="R29" s="201">
        <f>R28-Q28</f>
        <v>-12350375.77</v>
      </c>
      <c r="S29" s="171"/>
      <c r="T29" s="171"/>
      <c r="U29" s="171"/>
      <c r="V29" s="171"/>
      <c r="W29" s="171"/>
      <c r="X29" s="180">
        <f>X28-W28</f>
        <v>-1310014.250000054</v>
      </c>
      <c r="Y29" s="180">
        <f>Y28-X28</f>
        <v>-1694708.8299999442</v>
      </c>
      <c r="Z29" s="180">
        <f>Z28-Y28</f>
        <v>-832999.16000002623</v>
      </c>
      <c r="AA29" s="180">
        <f>AA28-Z28</f>
        <v>-1400456.940000033</v>
      </c>
      <c r="AB29" s="180">
        <f>AB28-AA28</f>
        <v>-583112.32999992836</v>
      </c>
      <c r="AC29" s="180">
        <f>AC28</f>
        <v>7393513.0799999954</v>
      </c>
      <c r="AD29" s="180">
        <f>AD28</f>
        <v>6292834.3900000015</v>
      </c>
      <c r="AE29" s="180">
        <f>AE28</f>
        <v>6082172.5</v>
      </c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</row>
    <row r="30" spans="1:49" s="64" customFormat="1" ht="18" hidden="1" customHeight="1">
      <c r="C30" s="65"/>
      <c r="D30" s="65"/>
      <c r="E30" s="65"/>
      <c r="F30" s="65"/>
      <c r="G30" s="153"/>
      <c r="H30" s="165"/>
      <c r="I30" s="165"/>
      <c r="J30" s="164"/>
      <c r="K30" s="164"/>
      <c r="L30" s="164"/>
      <c r="M30" s="164"/>
      <c r="N30" s="202"/>
      <c r="O30" s="202"/>
      <c r="P30" s="202"/>
      <c r="Q30" s="202"/>
      <c r="R30" s="202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339"/>
      <c r="AE30" s="339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</row>
    <row r="31" spans="1:49" customFormat="1" ht="16.5" hidden="1">
      <c r="A31" s="66"/>
      <c r="B31" s="66"/>
      <c r="C31" s="67"/>
      <c r="D31" s="68" t="s">
        <v>198</v>
      </c>
      <c r="E31" s="67"/>
      <c r="F31" s="67"/>
      <c r="G31" s="153"/>
      <c r="H31" s="165"/>
      <c r="I31" s="165"/>
      <c r="J31" s="164"/>
      <c r="K31" s="164"/>
      <c r="L31" s="164"/>
      <c r="M31" s="164"/>
      <c r="N31" s="202"/>
      <c r="O31" s="202"/>
      <c r="P31" s="202"/>
      <c r="Q31" s="202"/>
      <c r="R31" s="202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339"/>
      <c r="AE31" s="339"/>
    </row>
    <row r="32" spans="1:49" customFormat="1" ht="15.75" hidden="1">
      <c r="A32" s="66"/>
      <c r="B32" s="66"/>
      <c r="C32" s="67"/>
      <c r="D32" s="67"/>
      <c r="E32" s="67"/>
      <c r="F32" s="69" t="s">
        <v>430</v>
      </c>
      <c r="G32" s="159" t="s">
        <v>235</v>
      </c>
      <c r="H32" s="165"/>
      <c r="I32" s="148">
        <v>542644.34000000008</v>
      </c>
      <c r="J32" s="146">
        <v>1804883.4399999997</v>
      </c>
      <c r="K32" s="146">
        <v>3850253.4000000083</v>
      </c>
      <c r="L32" s="146">
        <v>6679738.1499999985</v>
      </c>
      <c r="M32" s="146">
        <v>10310697.200000023</v>
      </c>
      <c r="N32" s="202">
        <v>14825556.300000001</v>
      </c>
      <c r="O32" s="202">
        <v>20234399.920000002</v>
      </c>
      <c r="P32" s="146">
        <v>6026429.7199999997</v>
      </c>
      <c r="Q32" s="146">
        <v>12494373.810000001</v>
      </c>
      <c r="R32" s="146">
        <f>19445131.44+74821.68</f>
        <v>19519953.120000001</v>
      </c>
      <c r="S32" s="127"/>
      <c r="T32" s="127"/>
      <c r="U32" s="127"/>
      <c r="V32" s="127"/>
      <c r="W32" s="142">
        <v>1262238.7</v>
      </c>
      <c r="X32" s="142">
        <v>2045370</v>
      </c>
      <c r="Y32" s="142">
        <v>2829484.7500000005</v>
      </c>
      <c r="Z32" s="142">
        <v>3630958.99</v>
      </c>
      <c r="AA32" s="142">
        <v>4514859.16</v>
      </c>
      <c r="AB32" s="142">
        <v>5409787.8900000006</v>
      </c>
      <c r="AC32" s="142">
        <v>6031778.5599999996</v>
      </c>
      <c r="AD32" s="339">
        <v>6490548.1700000009</v>
      </c>
      <c r="AE32" s="339">
        <v>6997635.0799999982</v>
      </c>
    </row>
    <row r="33" spans="1:49" customFormat="1" ht="15.75" hidden="1">
      <c r="A33" s="66"/>
      <c r="B33" s="66"/>
      <c r="C33" s="67"/>
      <c r="D33" s="67"/>
      <c r="E33" s="67"/>
      <c r="F33" s="69" t="s">
        <v>448</v>
      </c>
      <c r="G33" s="159"/>
      <c r="H33" s="165"/>
      <c r="I33" s="148"/>
      <c r="J33" s="146"/>
      <c r="K33" s="146"/>
      <c r="L33" s="146"/>
      <c r="M33" s="146"/>
      <c r="N33" s="202"/>
      <c r="O33" s="202"/>
      <c r="P33" s="146">
        <v>5348.84</v>
      </c>
      <c r="Q33" s="146">
        <v>30952.93</v>
      </c>
      <c r="R33" s="146"/>
      <c r="S33" s="127"/>
      <c r="T33" s="127"/>
      <c r="U33" s="127"/>
      <c r="V33" s="127"/>
      <c r="W33" s="142"/>
      <c r="X33" s="142"/>
      <c r="Y33" s="142"/>
      <c r="Z33" s="142"/>
      <c r="AA33" s="142"/>
      <c r="AB33" s="142"/>
      <c r="AC33" s="142"/>
      <c r="AD33" s="339"/>
      <c r="AE33" s="339"/>
    </row>
    <row r="34" spans="1:49" customFormat="1" ht="16.5" hidden="1">
      <c r="A34" s="66"/>
      <c r="B34" s="66"/>
      <c r="C34" s="67"/>
      <c r="D34" s="67"/>
      <c r="E34" s="67"/>
      <c r="F34" s="69"/>
      <c r="G34" s="159"/>
      <c r="H34" s="165"/>
      <c r="I34" s="148"/>
      <c r="J34" s="146"/>
      <c r="K34" s="146"/>
      <c r="L34" s="146"/>
      <c r="M34" s="146"/>
      <c r="N34" s="202"/>
      <c r="O34" s="202"/>
      <c r="P34" s="402">
        <f>P32+P33</f>
        <v>6031778.5599999996</v>
      </c>
      <c r="Q34" s="402">
        <f>Q32+Q33</f>
        <v>12525326.74</v>
      </c>
      <c r="R34" s="146"/>
      <c r="S34" s="127"/>
      <c r="T34" s="127"/>
      <c r="U34" s="127"/>
      <c r="V34" s="127"/>
      <c r="W34" s="142"/>
      <c r="X34" s="142"/>
      <c r="Y34" s="142"/>
      <c r="Z34" s="142"/>
      <c r="AA34" s="142"/>
      <c r="AB34" s="142"/>
      <c r="AC34" s="142"/>
      <c r="AD34" s="339"/>
      <c r="AE34" s="339"/>
    </row>
    <row r="35" spans="1:49" customFormat="1" ht="42.75" hidden="1">
      <c r="A35" s="66"/>
      <c r="B35" s="66"/>
      <c r="C35" s="67"/>
      <c r="D35" s="67" t="s">
        <v>167</v>
      </c>
      <c r="E35" s="67"/>
      <c r="F35" s="67" t="s">
        <v>436</v>
      </c>
      <c r="G35" s="160" t="s">
        <v>310</v>
      </c>
      <c r="H35" s="133"/>
      <c r="I35" s="148">
        <v>798995.54000000039</v>
      </c>
      <c r="J35" s="146">
        <v>1430940.6300000013</v>
      </c>
      <c r="K35" s="146">
        <v>2161230.63</v>
      </c>
      <c r="L35" s="146">
        <v>2855727.0000000047</v>
      </c>
      <c r="M35" s="146">
        <v>3696370.2600000049</v>
      </c>
      <c r="N35" s="202">
        <v>4375402.95</v>
      </c>
      <c r="O35" s="202">
        <v>5132947.12</v>
      </c>
      <c r="P35" s="146">
        <v>5727051.21</v>
      </c>
      <c r="Q35" s="146">
        <v>6017130.7300000004</v>
      </c>
      <c r="R35" s="146">
        <f>6940158.05+38332.14</f>
        <v>6978490.1899999995</v>
      </c>
      <c r="S35" s="127"/>
      <c r="T35" s="127"/>
      <c r="U35" s="127"/>
      <c r="V35" s="127"/>
      <c r="W35" s="142">
        <v>1430940.3099999991</v>
      </c>
      <c r="X35" s="142">
        <v>2161230.63</v>
      </c>
      <c r="Y35" s="142">
        <v>2855727</v>
      </c>
      <c r="Z35" s="142">
        <v>3696370.26</v>
      </c>
      <c r="AA35" s="142">
        <v>4375402.87</v>
      </c>
      <c r="AB35" s="142">
        <v>5135611.33</v>
      </c>
      <c r="AC35" s="142">
        <v>5739836.4900000002</v>
      </c>
      <c r="AD35" s="142">
        <v>6040932.9199999999</v>
      </c>
      <c r="AE35" s="142">
        <v>6978490.1899999995</v>
      </c>
    </row>
    <row r="36" spans="1:49" customFormat="1" ht="15.75" hidden="1">
      <c r="A36" s="66"/>
      <c r="B36" s="66"/>
      <c r="C36" s="67"/>
      <c r="D36" s="67" t="s">
        <v>167</v>
      </c>
      <c r="E36" s="67"/>
      <c r="F36" s="67" t="s">
        <v>449</v>
      </c>
      <c r="G36" s="160"/>
      <c r="H36" s="133"/>
      <c r="I36" s="148"/>
      <c r="J36" s="146"/>
      <c r="K36" s="146"/>
      <c r="L36" s="146"/>
      <c r="M36" s="146"/>
      <c r="N36" s="202"/>
      <c r="O36" s="202"/>
      <c r="P36" s="146">
        <v>12785.28</v>
      </c>
      <c r="Q36" s="146">
        <v>23802.19</v>
      </c>
      <c r="R36" s="146"/>
      <c r="S36" s="127"/>
      <c r="T36" s="127"/>
      <c r="U36" s="127"/>
      <c r="V36" s="127"/>
      <c r="W36" s="142"/>
      <c r="X36" s="142"/>
      <c r="Y36" s="142"/>
      <c r="Z36" s="142"/>
      <c r="AA36" s="142"/>
      <c r="AB36" s="142"/>
      <c r="AC36" s="142"/>
      <c r="AD36" s="142"/>
      <c r="AE36" s="142"/>
    </row>
    <row r="37" spans="1:49" customFormat="1" ht="16.5" hidden="1">
      <c r="A37" s="66"/>
      <c r="B37" s="66"/>
      <c r="C37" s="67"/>
      <c r="D37" s="67"/>
      <c r="E37" s="67"/>
      <c r="F37" s="67"/>
      <c r="G37" s="160"/>
      <c r="H37" s="133"/>
      <c r="I37" s="148"/>
      <c r="J37" s="146"/>
      <c r="K37" s="146"/>
      <c r="L37" s="146"/>
      <c r="M37" s="146"/>
      <c r="N37" s="202"/>
      <c r="O37" s="202"/>
      <c r="P37" s="402">
        <f>P35+P36</f>
        <v>5739836.4900000002</v>
      </c>
      <c r="Q37" s="402">
        <f>Q35+Q36</f>
        <v>6040932.9200000009</v>
      </c>
      <c r="R37" s="146"/>
      <c r="S37" s="127"/>
      <c r="T37" s="127"/>
      <c r="U37" s="127"/>
      <c r="V37" s="127"/>
      <c r="W37" s="142"/>
      <c r="X37" s="142"/>
      <c r="Y37" s="142"/>
      <c r="Z37" s="142"/>
      <c r="AA37" s="142"/>
      <c r="AB37" s="142"/>
      <c r="AC37" s="142"/>
      <c r="AD37" s="142"/>
      <c r="AE37" s="142"/>
    </row>
    <row r="38" spans="1:49" customFormat="1" ht="18" hidden="1" customHeight="1">
      <c r="A38" s="66"/>
      <c r="B38" s="66"/>
      <c r="C38" s="67"/>
      <c r="D38" s="67"/>
      <c r="E38" s="67"/>
      <c r="F38" s="67"/>
      <c r="G38" s="153" t="s">
        <v>236</v>
      </c>
      <c r="H38" s="133"/>
      <c r="I38" s="182">
        <f t="shared" ref="I38:N38" si="7">I32+I35</f>
        <v>1341639.8800000004</v>
      </c>
      <c r="J38" s="182">
        <f t="shared" si="7"/>
        <v>3235824.0700000012</v>
      </c>
      <c r="K38" s="182">
        <f t="shared" si="7"/>
        <v>6011484.0300000086</v>
      </c>
      <c r="L38" s="182">
        <f t="shared" si="7"/>
        <v>9535465.1500000022</v>
      </c>
      <c r="M38" s="182">
        <f t="shared" si="7"/>
        <v>14007067.460000029</v>
      </c>
      <c r="N38" s="202">
        <f t="shared" si="7"/>
        <v>19200959.25</v>
      </c>
      <c r="O38" s="202">
        <f>O32+O35</f>
        <v>25367347.040000003</v>
      </c>
      <c r="P38" s="403">
        <f>P34+P37</f>
        <v>11771615.050000001</v>
      </c>
      <c r="Q38" s="403">
        <f>Q34+Q37</f>
        <v>18566259.66</v>
      </c>
      <c r="R38" s="202">
        <f>R32+R35</f>
        <v>26498443.310000002</v>
      </c>
      <c r="S38" s="127"/>
      <c r="T38" s="127"/>
      <c r="U38" s="127"/>
      <c r="V38" s="127"/>
      <c r="W38" s="183">
        <f>W32+W35</f>
        <v>2693179.0099999988</v>
      </c>
      <c r="X38" s="183">
        <f>X32+X35</f>
        <v>4206600.63</v>
      </c>
      <c r="Y38" s="183">
        <f>Y32+Y35</f>
        <v>5685211.75</v>
      </c>
      <c r="Z38" s="183">
        <v>7327329.25</v>
      </c>
      <c r="AA38" s="142">
        <v>8890262.0300000012</v>
      </c>
      <c r="AB38" s="142">
        <v>10545399.220000001</v>
      </c>
      <c r="AC38" s="142">
        <f>AC32+AC35</f>
        <v>11771615.050000001</v>
      </c>
      <c r="AD38" s="142">
        <f>AD32+AD35</f>
        <v>12531481.09</v>
      </c>
      <c r="AE38" s="142">
        <f>AE32+AE35</f>
        <v>13976125.269999998</v>
      </c>
    </row>
    <row r="39" spans="1:49" customFormat="1" ht="28.5" hidden="1">
      <c r="A39" s="66"/>
      <c r="B39" s="66" t="s">
        <v>169</v>
      </c>
      <c r="C39" s="67"/>
      <c r="D39" s="67" t="s">
        <v>170</v>
      </c>
      <c r="E39" s="67"/>
      <c r="F39" s="161" t="s">
        <v>444</v>
      </c>
      <c r="G39" s="153"/>
      <c r="H39" s="133"/>
      <c r="I39" s="148">
        <v>0</v>
      </c>
      <c r="J39" s="146">
        <v>0</v>
      </c>
      <c r="K39" s="146">
        <v>0</v>
      </c>
      <c r="L39" s="146">
        <v>0</v>
      </c>
      <c r="M39" s="146">
        <v>0</v>
      </c>
      <c r="N39" s="202"/>
      <c r="O39" s="202"/>
      <c r="P39" s="351">
        <v>5132947.12</v>
      </c>
      <c r="Q39" s="351">
        <v>5132947.12</v>
      </c>
      <c r="R39" s="351">
        <f>Q39</f>
        <v>5132947.12</v>
      </c>
      <c r="S39" s="127"/>
      <c r="T39" s="127"/>
      <c r="U39" s="127"/>
      <c r="V39" s="127"/>
      <c r="W39" s="162">
        <v>798995.54</v>
      </c>
      <c r="X39" s="162">
        <v>1430940.3099999991</v>
      </c>
      <c r="Y39" s="162">
        <v>2161230.63</v>
      </c>
      <c r="Z39" s="162">
        <v>2855727</v>
      </c>
      <c r="AA39" s="142">
        <v>3696370.26</v>
      </c>
      <c r="AB39" s="142">
        <v>4375402.87</v>
      </c>
      <c r="AC39" s="142">
        <v>5135611.33</v>
      </c>
      <c r="AD39" s="142">
        <v>5739836.4900000002</v>
      </c>
      <c r="AE39" s="142">
        <v>6040932.9199999999</v>
      </c>
    </row>
    <row r="40" spans="1:49" customFormat="1" ht="28.5" hidden="1">
      <c r="A40" s="66"/>
      <c r="B40" s="66" t="s">
        <v>169</v>
      </c>
      <c r="C40" s="67"/>
      <c r="D40" s="67" t="s">
        <v>170</v>
      </c>
      <c r="E40" s="67"/>
      <c r="F40" s="161" t="s">
        <v>450</v>
      </c>
      <c r="G40" s="153"/>
      <c r="H40" s="133"/>
      <c r="I40" s="148"/>
      <c r="J40" s="146"/>
      <c r="K40" s="146"/>
      <c r="L40" s="146"/>
      <c r="M40" s="146"/>
      <c r="N40" s="202"/>
      <c r="O40" s="202"/>
      <c r="P40" s="351">
        <v>2664.21</v>
      </c>
      <c r="Q40" s="351">
        <v>2664.21</v>
      </c>
      <c r="R40" s="351">
        <f>Q40</f>
        <v>2664.21</v>
      </c>
      <c r="S40" s="127"/>
      <c r="T40" s="127"/>
      <c r="U40" s="127"/>
      <c r="V40" s="127"/>
      <c r="W40" s="162"/>
      <c r="X40" s="162"/>
      <c r="Y40" s="162"/>
      <c r="Z40" s="162"/>
      <c r="AA40" s="142"/>
      <c r="AB40" s="142"/>
      <c r="AC40" s="142"/>
      <c r="AD40" s="142"/>
      <c r="AE40" s="142"/>
    </row>
    <row r="41" spans="1:49" customFormat="1" ht="15.75" hidden="1">
      <c r="A41" s="66"/>
      <c r="B41" s="66"/>
      <c r="C41" s="67"/>
      <c r="D41" s="67"/>
      <c r="E41" s="67"/>
      <c r="F41" s="161"/>
      <c r="G41" s="153"/>
      <c r="H41" s="133"/>
      <c r="I41" s="148"/>
      <c r="J41" s="146"/>
      <c r="K41" s="146"/>
      <c r="L41" s="146"/>
      <c r="M41" s="146"/>
      <c r="N41" s="202"/>
      <c r="O41" s="202"/>
      <c r="P41" s="351">
        <f>P39+P40</f>
        <v>5135611.33</v>
      </c>
      <c r="Q41" s="351">
        <f>Q39+Q40</f>
        <v>5135611.33</v>
      </c>
      <c r="R41" s="351"/>
      <c r="S41" s="127"/>
      <c r="T41" s="127"/>
      <c r="U41" s="127"/>
      <c r="V41" s="127"/>
      <c r="W41" s="162"/>
      <c r="X41" s="162"/>
      <c r="Y41" s="162"/>
      <c r="Z41" s="162"/>
      <c r="AA41" s="142"/>
      <c r="AB41" s="142"/>
      <c r="AC41" s="142"/>
      <c r="AD41" s="142"/>
      <c r="AE41" s="142"/>
    </row>
    <row r="42" spans="1:49" customFormat="1" ht="15.75" hidden="1">
      <c r="A42" s="66"/>
      <c r="B42" s="66"/>
      <c r="C42" s="67"/>
      <c r="D42" s="67"/>
      <c r="E42" s="67"/>
      <c r="F42" s="161"/>
      <c r="G42" s="153"/>
      <c r="H42" s="133"/>
      <c r="I42" s="148"/>
      <c r="J42" s="146"/>
      <c r="K42" s="146"/>
      <c r="L42" s="146"/>
      <c r="M42" s="146"/>
      <c r="N42" s="202"/>
      <c r="O42" s="202"/>
      <c r="P42" s="351"/>
      <c r="Q42" s="351"/>
      <c r="R42" s="351"/>
      <c r="S42" s="127"/>
      <c r="T42" s="127"/>
      <c r="U42" s="127"/>
      <c r="V42" s="127"/>
      <c r="W42" s="162"/>
      <c r="X42" s="162"/>
      <c r="Y42" s="162"/>
      <c r="Z42" s="162"/>
      <c r="AA42" s="142"/>
      <c r="AB42" s="142"/>
      <c r="AC42" s="142"/>
      <c r="AD42" s="142"/>
      <c r="AE42" s="142"/>
    </row>
    <row r="43" spans="1:49" customFormat="1" ht="18" hidden="1" customHeight="1">
      <c r="A43" s="66"/>
      <c r="B43" s="66"/>
      <c r="C43" s="67"/>
      <c r="D43" s="67" t="s">
        <v>172</v>
      </c>
      <c r="E43" s="67"/>
      <c r="F43" s="67" t="s">
        <v>173</v>
      </c>
      <c r="G43" s="153" t="s">
        <v>237</v>
      </c>
      <c r="H43" s="133"/>
      <c r="I43" s="182">
        <f t="shared" ref="I43:N43" si="8">I38-I39</f>
        <v>1341639.8800000004</v>
      </c>
      <c r="J43" s="182">
        <f t="shared" si="8"/>
        <v>3235824.0700000012</v>
      </c>
      <c r="K43" s="182">
        <f t="shared" si="8"/>
        <v>6011484.0300000086</v>
      </c>
      <c r="L43" s="182">
        <f t="shared" si="8"/>
        <v>9535465.1500000022</v>
      </c>
      <c r="M43" s="182">
        <f t="shared" si="8"/>
        <v>14007067.460000029</v>
      </c>
      <c r="N43" s="182">
        <f t="shared" si="8"/>
        <v>19200959.25</v>
      </c>
      <c r="O43" s="182">
        <f>O38-O39</f>
        <v>25367347.040000003</v>
      </c>
      <c r="P43" s="182">
        <f>P38-P39</f>
        <v>6638667.9300000006</v>
      </c>
      <c r="Q43" s="182">
        <f>Q38-Q41</f>
        <v>13430648.33</v>
      </c>
      <c r="R43" s="182">
        <f>R38-R39</f>
        <v>21365496.190000001</v>
      </c>
      <c r="S43" s="127"/>
      <c r="T43" s="127"/>
      <c r="U43" s="127"/>
      <c r="V43" s="127"/>
      <c r="W43" s="184">
        <f t="shared" ref="W43:AC43" si="9">W38-W39</f>
        <v>1894183.4699999988</v>
      </c>
      <c r="X43" s="184">
        <f t="shared" si="9"/>
        <v>2775660.3200000008</v>
      </c>
      <c r="Y43" s="184">
        <f t="shared" si="9"/>
        <v>3523981.12</v>
      </c>
      <c r="Z43" s="184">
        <f t="shared" si="9"/>
        <v>4471602.25</v>
      </c>
      <c r="AA43" s="142">
        <f t="shared" si="9"/>
        <v>5193891.7700000014</v>
      </c>
      <c r="AB43" s="142">
        <f t="shared" si="9"/>
        <v>6169996.3500000006</v>
      </c>
      <c r="AC43" s="142">
        <f t="shared" si="9"/>
        <v>6636003.7200000007</v>
      </c>
      <c r="AD43" s="142">
        <f>AD38-AD39</f>
        <v>6791644.5999999996</v>
      </c>
      <c r="AE43" s="142">
        <f>AE38-AE39</f>
        <v>7935192.3499999978</v>
      </c>
    </row>
    <row r="44" spans="1:49" customFormat="1" ht="18" hidden="1" customHeight="1">
      <c r="A44" s="66"/>
      <c r="B44" s="67"/>
      <c r="C44" s="67"/>
      <c r="D44" s="67"/>
      <c r="E44" s="67"/>
      <c r="F44" s="67"/>
      <c r="G44" s="153"/>
      <c r="H44" s="133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27"/>
      <c r="T44" s="127"/>
      <c r="U44" s="127"/>
      <c r="V44" s="127"/>
      <c r="W44" s="184"/>
      <c r="X44" s="184"/>
      <c r="Y44" s="184"/>
      <c r="Z44" s="184"/>
      <c r="AA44" s="142"/>
      <c r="AB44" s="142"/>
      <c r="AC44" s="142"/>
      <c r="AD44" s="142"/>
      <c r="AE44" s="142"/>
    </row>
    <row r="45" spans="1:49" customFormat="1" ht="18" hidden="1" customHeight="1">
      <c r="A45" s="66"/>
      <c r="B45" s="66"/>
      <c r="C45" s="67"/>
      <c r="D45" s="67" t="s">
        <v>211</v>
      </c>
      <c r="E45" s="67"/>
      <c r="F45" s="67"/>
      <c r="G45" s="153"/>
      <c r="H45" s="133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27"/>
      <c r="T45" s="127"/>
      <c r="U45" s="127"/>
      <c r="V45" s="127"/>
      <c r="W45" s="184"/>
      <c r="X45" s="184"/>
      <c r="Y45" s="184"/>
      <c r="Z45" s="184"/>
      <c r="AA45" s="142"/>
      <c r="AB45" s="142"/>
      <c r="AC45" s="142"/>
      <c r="AD45" s="142"/>
      <c r="AE45" s="142"/>
    </row>
    <row r="46" spans="1:49" s="172" customFormat="1" ht="18" hidden="1" customHeight="1">
      <c r="C46" s="173"/>
      <c r="D46" s="173"/>
      <c r="E46" s="173"/>
      <c r="F46" s="173" t="s">
        <v>199</v>
      </c>
      <c r="G46" s="178" t="s">
        <v>238</v>
      </c>
      <c r="H46" s="176"/>
      <c r="I46" s="176"/>
      <c r="J46" s="179">
        <f t="shared" ref="J46:O46" si="10">J43-I43</f>
        <v>1894184.1900000009</v>
      </c>
      <c r="K46" s="179">
        <f t="shared" si="10"/>
        <v>2775659.9600000074</v>
      </c>
      <c r="L46" s="179">
        <f t="shared" si="10"/>
        <v>3523981.1199999936</v>
      </c>
      <c r="M46" s="179">
        <f t="shared" si="10"/>
        <v>4471602.3100000266</v>
      </c>
      <c r="N46" s="179">
        <f t="shared" si="10"/>
        <v>5193891.7899999712</v>
      </c>
      <c r="O46" s="179">
        <f t="shared" si="10"/>
        <v>6166387.7900000028</v>
      </c>
      <c r="P46" s="179">
        <f>P43</f>
        <v>6638667.9300000006</v>
      </c>
      <c r="Q46" s="179">
        <f>Q43-P43</f>
        <v>6791980.3999999994</v>
      </c>
      <c r="R46" s="179">
        <f>R43-Q43</f>
        <v>7934847.8600000013</v>
      </c>
      <c r="S46" s="177"/>
      <c r="T46" s="177"/>
      <c r="U46" s="177"/>
      <c r="V46" s="177"/>
      <c r="W46" s="177"/>
      <c r="X46" s="181">
        <f>X43-W43</f>
        <v>881476.85000000196</v>
      </c>
      <c r="Y46" s="181">
        <f>Y43-X43</f>
        <v>748320.79999999935</v>
      </c>
      <c r="Z46" s="181">
        <f>Z43-Y43</f>
        <v>947621.12999999989</v>
      </c>
      <c r="AA46" s="181">
        <f>AA43-Z43</f>
        <v>722289.52000000142</v>
      </c>
      <c r="AB46" s="181">
        <f>AB43-AA43</f>
        <v>976104.57999999914</v>
      </c>
      <c r="AC46" s="181">
        <f>AC43</f>
        <v>6636003.7200000007</v>
      </c>
      <c r="AD46" s="181">
        <f>AD43</f>
        <v>6791644.5999999996</v>
      </c>
      <c r="AE46" s="181">
        <f>AE43</f>
        <v>7935192.3499999978</v>
      </c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</row>
    <row r="47" spans="1:49" s="172" customFormat="1" ht="24" hidden="1" customHeight="1">
      <c r="C47" s="173"/>
      <c r="D47" s="173"/>
      <c r="E47" s="173"/>
      <c r="F47" s="174" t="s">
        <v>200</v>
      </c>
      <c r="G47" s="175"/>
      <c r="H47" s="176"/>
      <c r="I47" s="176"/>
      <c r="J47" s="179">
        <f t="shared" ref="J47:O47" si="11">J29+J46</f>
        <v>4301861.9590000268</v>
      </c>
      <c r="K47" s="179">
        <f t="shared" si="11"/>
        <v>5036558.5800000047</v>
      </c>
      <c r="L47" s="179">
        <f t="shared" si="11"/>
        <v>5559396.849999994</v>
      </c>
      <c r="M47" s="179">
        <f t="shared" si="11"/>
        <v>6605761.1750001665</v>
      </c>
      <c r="N47" s="179">
        <f t="shared" si="11"/>
        <v>6738848.9949998315</v>
      </c>
      <c r="O47" s="179">
        <f t="shared" si="11"/>
        <v>8031394.1799999997</v>
      </c>
      <c r="P47" s="179">
        <f>P29+P46</f>
        <v>14753354.730000004</v>
      </c>
      <c r="Q47" s="179">
        <f>Q29+Q46</f>
        <v>14020959.739999995</v>
      </c>
      <c r="R47" s="179">
        <f>R29+R46</f>
        <v>-4415527.9099999983</v>
      </c>
      <c r="S47" s="177"/>
      <c r="T47" s="177"/>
      <c r="U47" s="177"/>
      <c r="V47" s="177"/>
      <c r="W47" s="181"/>
      <c r="X47" s="181">
        <f t="shared" ref="X47:AE47" si="12">X29+X46</f>
        <v>-428537.40000005206</v>
      </c>
      <c r="Y47" s="181">
        <f t="shared" si="12"/>
        <v>-946388.02999994485</v>
      </c>
      <c r="Z47" s="181">
        <f t="shared" si="12"/>
        <v>114621.96999997366</v>
      </c>
      <c r="AA47" s="181">
        <f t="shared" si="12"/>
        <v>-678167.42000003159</v>
      </c>
      <c r="AB47" s="181">
        <f t="shared" si="12"/>
        <v>392992.25000007078</v>
      </c>
      <c r="AC47" s="181">
        <f t="shared" si="12"/>
        <v>14029516.799999997</v>
      </c>
      <c r="AD47" s="181">
        <f t="shared" si="12"/>
        <v>13084478.990000002</v>
      </c>
      <c r="AE47" s="181">
        <f t="shared" si="12"/>
        <v>14017364.849999998</v>
      </c>
      <c r="AF47" s="173"/>
      <c r="AG47" s="173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</row>
    <row r="48" spans="1:49" s="52" customFormat="1" ht="27.75" customHeight="1">
      <c r="B48" s="65"/>
      <c r="C48" s="65"/>
      <c r="D48" s="65"/>
      <c r="E48" s="65"/>
      <c r="F48" s="65"/>
      <c r="G48" s="153"/>
      <c r="H48" s="132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28"/>
      <c r="X48" s="128"/>
      <c r="Y48" s="128"/>
      <c r="Z48" s="128"/>
      <c r="AA48" s="142"/>
      <c r="AB48" s="128"/>
      <c r="AC48" s="128"/>
      <c r="AD48" s="343"/>
      <c r="AE48" s="343"/>
      <c r="AF48" s="415" t="s">
        <v>456</v>
      </c>
      <c r="AG48" s="415" t="s">
        <v>489</v>
      </c>
      <c r="AH48" s="415" t="s">
        <v>491</v>
      </c>
      <c r="AI48" s="343" t="s">
        <v>501</v>
      </c>
    </row>
    <row r="49" spans="2:49" ht="17.25" customHeight="1">
      <c r="B49" s="48" t="s">
        <v>174</v>
      </c>
      <c r="C49" s="48"/>
      <c r="D49" s="48"/>
      <c r="E49" s="48"/>
      <c r="G49" s="155"/>
      <c r="H49" s="135"/>
      <c r="I49" s="146"/>
      <c r="J49" s="146"/>
      <c r="K49" s="146"/>
      <c r="L49" s="146"/>
      <c r="M49" s="146"/>
      <c r="N49" s="146"/>
      <c r="O49" s="130">
        <v>42339</v>
      </c>
      <c r="P49" s="130">
        <v>42370</v>
      </c>
      <c r="Q49" s="344">
        <v>42401</v>
      </c>
      <c r="R49" s="344">
        <v>42430</v>
      </c>
      <c r="S49" s="344">
        <v>42461</v>
      </c>
      <c r="T49" s="344">
        <v>42491</v>
      </c>
      <c r="U49" s="344">
        <v>42523</v>
      </c>
      <c r="V49" s="344">
        <v>42553</v>
      </c>
      <c r="W49" s="128"/>
      <c r="X49" s="128"/>
      <c r="Y49" s="128"/>
      <c r="Z49" s="128"/>
      <c r="AA49" s="142"/>
      <c r="AB49" s="128"/>
      <c r="AC49" s="128"/>
      <c r="AD49" s="343"/>
      <c r="AE49" s="343"/>
      <c r="AF49" s="343"/>
      <c r="AG49" s="343"/>
      <c r="AH49" s="343"/>
      <c r="AI49" s="343"/>
    </row>
    <row r="50" spans="2:49" s="51" customFormat="1" ht="15.75" thickBot="1">
      <c r="C50" s="48"/>
      <c r="D50" s="48"/>
      <c r="E50" s="48"/>
      <c r="F50" s="48"/>
      <c r="G50" s="156"/>
      <c r="H50" s="131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27"/>
      <c r="X50" s="127"/>
      <c r="Y50" s="127"/>
      <c r="Z50" s="127"/>
      <c r="AA50" s="142"/>
      <c r="AB50" s="128"/>
      <c r="AC50" s="128"/>
      <c r="AD50" s="343"/>
      <c r="AE50" s="343"/>
      <c r="AF50" s="343"/>
      <c r="AG50" s="343"/>
      <c r="AH50" s="343"/>
      <c r="AI50" s="343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</row>
    <row r="51" spans="2:49" s="51" customFormat="1" ht="18" customHeight="1">
      <c r="C51" s="61"/>
      <c r="D51" s="49" t="s">
        <v>175</v>
      </c>
      <c r="E51" s="49"/>
      <c r="F51" s="149" t="s">
        <v>176</v>
      </c>
      <c r="G51" s="157" t="s">
        <v>240</v>
      </c>
      <c r="H51" s="136"/>
      <c r="I51" s="146"/>
      <c r="J51" s="146">
        <f t="shared" ref="J51:M53" si="13">J2*W51</f>
        <v>111048.813176</v>
      </c>
      <c r="K51" s="146">
        <f t="shared" si="13"/>
        <v>111797.41075800001</v>
      </c>
      <c r="L51" s="146">
        <f t="shared" si="13"/>
        <v>103719.79367400003</v>
      </c>
      <c r="M51" s="146">
        <f t="shared" si="13"/>
        <v>117504.0467370001</v>
      </c>
      <c r="N51" s="146">
        <v>120821.78835599989</v>
      </c>
      <c r="O51" s="146">
        <f t="shared" ref="O51:V53" si="14">O2*AB51</f>
        <v>141037.79715000006</v>
      </c>
      <c r="P51" s="146">
        <f t="shared" si="14"/>
        <v>151094.80799999999</v>
      </c>
      <c r="Q51" s="146">
        <f t="shared" si="14"/>
        <v>118703.68919999998</v>
      </c>
      <c r="R51" s="146">
        <f t="shared" si="14"/>
        <v>148272.44320000007</v>
      </c>
      <c r="S51" s="146">
        <f t="shared" si="14"/>
        <v>138113.54029999994</v>
      </c>
      <c r="T51" s="146">
        <f t="shared" si="14"/>
        <v>161373.90780000007</v>
      </c>
      <c r="U51" s="146">
        <f t="shared" si="14"/>
        <v>151001.4758999999</v>
      </c>
      <c r="V51" s="146">
        <f t="shared" si="14"/>
        <v>145462.96400000007</v>
      </c>
      <c r="W51" s="142">
        <v>1166479.1299999999</v>
      </c>
      <c r="X51" s="142">
        <v>1081212.8700000001</v>
      </c>
      <c r="Y51" s="142">
        <v>1105754.7300000004</v>
      </c>
      <c r="Z51" s="142">
        <v>1122292.7100000009</v>
      </c>
      <c r="AA51" s="142">
        <v>1018733.459999999</v>
      </c>
      <c r="AB51" s="142">
        <v>1056462.9000000004</v>
      </c>
      <c r="AC51" s="142">
        <v>1007298.72</v>
      </c>
      <c r="AD51" s="343">
        <v>989197.40999999992</v>
      </c>
      <c r="AE51" s="343">
        <v>926702.77000000048</v>
      </c>
      <c r="AF51" s="343">
        <v>726913.36999999965</v>
      </c>
      <c r="AG51" s="343">
        <v>896521.71000000043</v>
      </c>
      <c r="AH51" s="343">
        <v>794744.6099999994</v>
      </c>
      <c r="AI51" s="183">
        <v>727314.8200000003</v>
      </c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</row>
    <row r="52" spans="2:49" s="51" customFormat="1" ht="18" customHeight="1">
      <c r="C52" s="61"/>
      <c r="D52" s="49" t="s">
        <v>177</v>
      </c>
      <c r="E52" s="49"/>
      <c r="F52" s="150" t="s">
        <v>178</v>
      </c>
      <c r="G52" s="158" t="s">
        <v>240</v>
      </c>
      <c r="H52" s="136"/>
      <c r="I52" s="146"/>
      <c r="J52" s="146">
        <f t="shared" si="13"/>
        <v>25546.193113999998</v>
      </c>
      <c r="K52" s="146">
        <f t="shared" si="13"/>
        <v>3326.3776799999996</v>
      </c>
      <c r="L52" s="146">
        <f t="shared" si="13"/>
        <v>37553.937005000007</v>
      </c>
      <c r="M52" s="146">
        <f t="shared" si="13"/>
        <v>89861.931119999936</v>
      </c>
      <c r="N52" s="146">
        <v>67102.188570000028</v>
      </c>
      <c r="O52" s="146">
        <f t="shared" si="14"/>
        <v>24879.405066000007</v>
      </c>
      <c r="P52" s="146">
        <f t="shared" si="14"/>
        <v>44451.754799999995</v>
      </c>
      <c r="Q52" s="146">
        <f t="shared" si="14"/>
        <v>15197.269600000001</v>
      </c>
      <c r="R52" s="146">
        <f t="shared" si="14"/>
        <v>32693.235199999996</v>
      </c>
      <c r="S52" s="146">
        <f t="shared" si="14"/>
        <v>12309.547599999998</v>
      </c>
      <c r="T52" s="146">
        <f t="shared" si="14"/>
        <v>162187.84800000006</v>
      </c>
      <c r="U52" s="146">
        <f t="shared" si="14"/>
        <v>44275.392699999997</v>
      </c>
      <c r="V52" s="146">
        <f t="shared" si="14"/>
        <v>80816.150400000071</v>
      </c>
      <c r="W52" s="142">
        <v>577968.16999999993</v>
      </c>
      <c r="X52" s="142">
        <v>415797.20999999996</v>
      </c>
      <c r="Y52" s="142">
        <v>444425.29000000004</v>
      </c>
      <c r="Z52" s="142">
        <v>645559.84999999963</v>
      </c>
      <c r="AA52" s="142">
        <v>758216.8200000003</v>
      </c>
      <c r="AB52" s="142">
        <v>402579.37000000011</v>
      </c>
      <c r="AC52" s="142">
        <v>740862.58</v>
      </c>
      <c r="AD52" s="343">
        <v>759863.4800000001</v>
      </c>
      <c r="AE52" s="343">
        <v>817330.87999999989</v>
      </c>
      <c r="AF52" s="343">
        <v>615477.37999999989</v>
      </c>
      <c r="AG52" s="343">
        <v>810939.24000000022</v>
      </c>
      <c r="AH52" s="343">
        <v>632505.60999999987</v>
      </c>
      <c r="AI52" s="343">
        <v>505100.94000000041</v>
      </c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</row>
    <row r="53" spans="2:49" s="51" customFormat="1" ht="18" customHeight="1" thickBot="1">
      <c r="C53" s="61"/>
      <c r="D53" s="49" t="s">
        <v>179</v>
      </c>
      <c r="E53" s="49"/>
      <c r="F53" s="151" t="s">
        <v>180</v>
      </c>
      <c r="G53" s="158" t="s">
        <v>240</v>
      </c>
      <c r="H53" s="136"/>
      <c r="I53" s="146"/>
      <c r="J53" s="146">
        <f t="shared" si="13"/>
        <v>0</v>
      </c>
      <c r="K53" s="146">
        <f t="shared" si="13"/>
        <v>0</v>
      </c>
      <c r="L53" s="146">
        <f t="shared" si="13"/>
        <v>0</v>
      </c>
      <c r="M53" s="146">
        <f t="shared" si="13"/>
        <v>80.6961960000001</v>
      </c>
      <c r="N53" s="146">
        <v>5031.1450279999999</v>
      </c>
      <c r="O53" s="146">
        <f t="shared" si="14"/>
        <v>282.42241999999993</v>
      </c>
      <c r="P53" s="146">
        <f t="shared" si="14"/>
        <v>6169.2232000000004</v>
      </c>
      <c r="Q53" s="146">
        <f t="shared" si="14"/>
        <v>921.11090000000013</v>
      </c>
      <c r="R53" s="146">
        <f t="shared" si="14"/>
        <v>0</v>
      </c>
      <c r="S53" s="146">
        <f t="shared" si="14"/>
        <v>0</v>
      </c>
      <c r="T53" s="146">
        <f t="shared" si="14"/>
        <v>18489.892200000002</v>
      </c>
      <c r="U53" s="146">
        <f t="shared" si="14"/>
        <v>4369.0080000000016</v>
      </c>
      <c r="V53" s="146">
        <f t="shared" si="14"/>
        <v>4759.1606999999931</v>
      </c>
      <c r="W53" s="142">
        <v>92122.459999999963</v>
      </c>
      <c r="X53" s="142">
        <v>98330.890000000014</v>
      </c>
      <c r="Y53" s="142">
        <v>180173.90000000002</v>
      </c>
      <c r="Z53" s="142">
        <v>115280.28000000014</v>
      </c>
      <c r="AA53" s="142">
        <v>156246.74</v>
      </c>
      <c r="AB53" s="142">
        <v>141211.20999999996</v>
      </c>
      <c r="AC53" s="142">
        <v>88131.76</v>
      </c>
      <c r="AD53" s="343">
        <v>92111.090000000011</v>
      </c>
      <c r="AE53" s="343">
        <v>120137.38000000003</v>
      </c>
      <c r="AF53" s="343">
        <v>131883.20999999996</v>
      </c>
      <c r="AG53" s="343">
        <v>142229.94</v>
      </c>
      <c r="AH53" s="343">
        <v>87380.160000000033</v>
      </c>
      <c r="AI53" s="343">
        <v>67988.009999999893</v>
      </c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</row>
    <row r="54" spans="2:49" s="51" customFormat="1" ht="18" customHeight="1">
      <c r="C54" s="61"/>
      <c r="D54" s="49"/>
      <c r="E54" s="49"/>
      <c r="F54" s="49"/>
      <c r="G54" s="153"/>
      <c r="H54" s="133"/>
      <c r="I54" s="146"/>
      <c r="J54" s="182">
        <f t="shared" ref="J54:P54" si="15">SUM(J51:J53)</f>
        <v>136595.00628999999</v>
      </c>
      <c r="K54" s="182">
        <f t="shared" si="15"/>
        <v>115123.78843800002</v>
      </c>
      <c r="L54" s="182">
        <f t="shared" si="15"/>
        <v>141273.73067900003</v>
      </c>
      <c r="M54" s="182">
        <f t="shared" si="15"/>
        <v>207446.67405300002</v>
      </c>
      <c r="N54" s="182">
        <f t="shared" si="15"/>
        <v>192955.12195399991</v>
      </c>
      <c r="O54" s="182">
        <f t="shared" si="15"/>
        <v>166199.62463600005</v>
      </c>
      <c r="P54" s="182">
        <f t="shared" si="15"/>
        <v>201715.78599999999</v>
      </c>
      <c r="Q54" s="182">
        <f t="shared" ref="Q54:V54" si="16">SUM(Q51:Q53)</f>
        <v>134822.06969999999</v>
      </c>
      <c r="R54" s="182">
        <f t="shared" si="16"/>
        <v>180965.67840000006</v>
      </c>
      <c r="S54" s="146">
        <f t="shared" si="16"/>
        <v>150423.08789999993</v>
      </c>
      <c r="T54" s="146">
        <f t="shared" si="16"/>
        <v>342051.64800000016</v>
      </c>
      <c r="U54" s="146">
        <f t="shared" si="16"/>
        <v>199645.8765999999</v>
      </c>
      <c r="V54" s="146">
        <f t="shared" si="16"/>
        <v>231038.27510000014</v>
      </c>
      <c r="W54" s="183">
        <f t="shared" ref="W54:AI54" si="17">SUM(W51:W53)</f>
        <v>1836569.7599999998</v>
      </c>
      <c r="X54" s="183">
        <f t="shared" si="17"/>
        <v>1595340.9700000002</v>
      </c>
      <c r="Y54" s="183">
        <f t="shared" si="17"/>
        <v>1730353.9200000004</v>
      </c>
      <c r="Z54" s="183">
        <f t="shared" si="17"/>
        <v>1883132.8400000008</v>
      </c>
      <c r="AA54" s="183">
        <f t="shared" si="17"/>
        <v>1933197.0199999993</v>
      </c>
      <c r="AB54" s="183">
        <f t="shared" si="17"/>
        <v>1600253.4800000004</v>
      </c>
      <c r="AC54" s="183">
        <f t="shared" si="17"/>
        <v>1836293.0599999998</v>
      </c>
      <c r="AD54" s="183">
        <f t="shared" si="17"/>
        <v>1841171.9800000002</v>
      </c>
      <c r="AE54" s="183">
        <f t="shared" si="17"/>
        <v>1864171.0300000005</v>
      </c>
      <c r="AF54" s="183">
        <f t="shared" si="17"/>
        <v>1474273.9599999995</v>
      </c>
      <c r="AG54" s="183">
        <f t="shared" si="17"/>
        <v>1849690.8900000006</v>
      </c>
      <c r="AH54" s="183">
        <f t="shared" si="17"/>
        <v>1514630.3799999994</v>
      </c>
      <c r="AI54" s="343">
        <f t="shared" si="17"/>
        <v>1300403.7700000005</v>
      </c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</row>
    <row r="55" spans="2:49" s="51" customFormat="1" ht="19.5" customHeight="1">
      <c r="C55" s="61"/>
      <c r="D55" s="49"/>
      <c r="E55" s="49"/>
      <c r="F55" s="49"/>
      <c r="G55" s="153"/>
      <c r="H55" s="133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27"/>
      <c r="X55" s="127"/>
      <c r="Y55" s="127"/>
      <c r="Z55" s="127"/>
      <c r="AA55" s="142"/>
      <c r="AB55" s="142"/>
      <c r="AC55" s="142"/>
      <c r="AD55" s="142"/>
      <c r="AE55" s="142"/>
      <c r="AF55" s="343"/>
      <c r="AG55" s="343"/>
      <c r="AH55" s="343"/>
      <c r="AI55" s="343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</row>
    <row r="56" spans="2:49" s="51" customFormat="1" ht="20.25" customHeight="1">
      <c r="B56" s="70" t="s">
        <v>181</v>
      </c>
      <c r="C56" s="61"/>
      <c r="D56" s="49"/>
      <c r="E56" s="49"/>
      <c r="F56" s="49" t="s">
        <v>182</v>
      </c>
      <c r="G56" s="153"/>
      <c r="H56" s="133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27"/>
      <c r="X56" s="127"/>
      <c r="Y56" s="127"/>
      <c r="Z56" s="127"/>
      <c r="AA56" s="142"/>
      <c r="AB56" s="142"/>
      <c r="AC56" s="142"/>
      <c r="AD56" s="142"/>
      <c r="AE56" s="142"/>
      <c r="AF56" s="343"/>
      <c r="AG56" s="343"/>
      <c r="AH56" s="343"/>
      <c r="AI56" s="343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</row>
    <row r="57" spans="2:49" s="51" customFormat="1">
      <c r="D57" s="49"/>
      <c r="E57" s="49"/>
      <c r="F57" s="49"/>
      <c r="G57" s="153"/>
      <c r="H57" s="131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27"/>
      <c r="X57" s="127"/>
      <c r="Y57" s="127"/>
      <c r="Z57" s="127"/>
      <c r="AA57" s="142"/>
      <c r="AB57" s="142"/>
      <c r="AC57" s="142"/>
      <c r="AD57" s="142"/>
      <c r="AE57" s="142"/>
      <c r="AF57" s="343"/>
      <c r="AG57" s="343"/>
      <c r="AH57" s="343"/>
      <c r="AI57" s="343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</row>
    <row r="58" spans="2:49" s="51" customFormat="1" ht="18" customHeight="1" thickBot="1">
      <c r="C58" s="61"/>
      <c r="D58" s="49" t="s">
        <v>183</v>
      </c>
      <c r="E58" s="49"/>
      <c r="F58" s="49" t="s">
        <v>184</v>
      </c>
      <c r="G58" s="153" t="s">
        <v>241</v>
      </c>
      <c r="H58" s="136"/>
      <c r="I58" s="146"/>
      <c r="J58" s="146">
        <f t="shared" ref="J58:M59" si="18">W58</f>
        <v>0</v>
      </c>
      <c r="K58" s="146">
        <f t="shared" si="18"/>
        <v>0</v>
      </c>
      <c r="L58" s="146">
        <f t="shared" si="18"/>
        <v>0</v>
      </c>
      <c r="M58" s="146">
        <f t="shared" si="18"/>
        <v>0</v>
      </c>
      <c r="N58" s="146">
        <v>0</v>
      </c>
      <c r="O58" s="146">
        <v>0</v>
      </c>
      <c r="P58" s="146"/>
      <c r="Q58" s="146"/>
      <c r="R58" s="146"/>
      <c r="S58" s="146"/>
      <c r="T58" s="146"/>
      <c r="U58" s="146"/>
      <c r="V58" s="146"/>
      <c r="W58" s="142">
        <v>0</v>
      </c>
      <c r="X58" s="142">
        <v>0</v>
      </c>
      <c r="Y58" s="142">
        <v>0</v>
      </c>
      <c r="Z58" s="142">
        <v>0</v>
      </c>
      <c r="AA58" s="142">
        <v>0</v>
      </c>
      <c r="AB58" s="142"/>
      <c r="AC58" s="142"/>
      <c r="AD58" s="142"/>
      <c r="AE58" s="142"/>
      <c r="AF58" s="343"/>
      <c r="AG58" s="343"/>
      <c r="AH58" s="343"/>
      <c r="AI58" s="343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</row>
    <row r="59" spans="2:49" s="51" customFormat="1">
      <c r="C59" s="61"/>
      <c r="D59" s="49" t="s">
        <v>185</v>
      </c>
      <c r="E59" s="49"/>
      <c r="F59" s="149" t="s">
        <v>186</v>
      </c>
      <c r="G59" s="160" t="s">
        <v>242</v>
      </c>
      <c r="H59" s="136"/>
      <c r="I59" s="146"/>
      <c r="J59" s="146">
        <f t="shared" si="18"/>
        <v>302559.89999999991</v>
      </c>
      <c r="K59" s="146">
        <f t="shared" si="18"/>
        <v>0</v>
      </c>
      <c r="L59" s="146">
        <f t="shared" si="18"/>
        <v>10828.930000000168</v>
      </c>
      <c r="M59" s="146">
        <f t="shared" si="18"/>
        <v>12367.760000000009</v>
      </c>
      <c r="N59" s="146">
        <v>0</v>
      </c>
      <c r="O59" s="146">
        <v>0</v>
      </c>
      <c r="P59" s="146"/>
      <c r="Q59" s="146"/>
      <c r="R59" s="146"/>
      <c r="S59" s="146"/>
      <c r="T59" s="146"/>
      <c r="U59" s="146"/>
      <c r="V59" s="146"/>
      <c r="W59" s="142">
        <v>302559.89999999991</v>
      </c>
      <c r="X59" s="142">
        <v>0</v>
      </c>
      <c r="Y59" s="142">
        <v>10828.930000000168</v>
      </c>
      <c r="Z59" s="142">
        <v>12367.760000000009</v>
      </c>
      <c r="AA59" s="142"/>
      <c r="AB59" s="142"/>
      <c r="AC59" s="142"/>
      <c r="AD59" s="142"/>
      <c r="AE59" s="142"/>
      <c r="AF59" s="343"/>
      <c r="AG59" s="343"/>
      <c r="AH59" s="343"/>
      <c r="AI59" s="343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</row>
    <row r="60" spans="2:49" s="51" customFormat="1" ht="15">
      <c r="C60" s="61"/>
      <c r="D60" s="49" t="s">
        <v>363</v>
      </c>
      <c r="E60" s="49"/>
      <c r="F60" s="150" t="s">
        <v>364</v>
      </c>
      <c r="G60" s="153"/>
      <c r="H60" s="136"/>
      <c r="I60" s="146"/>
      <c r="J60" s="146"/>
      <c r="K60" s="146"/>
      <c r="L60" s="146"/>
      <c r="M60" s="146"/>
      <c r="N60" s="146"/>
      <c r="O60" s="146"/>
      <c r="P60" s="146">
        <f t="shared" ref="P60:V61" si="19">P6*AC60</f>
        <v>137333.84000000003</v>
      </c>
      <c r="Q60" s="146">
        <f t="shared" si="19"/>
        <v>120271.7908</v>
      </c>
      <c r="R60" s="146">
        <f t="shared" si="19"/>
        <v>153005.23520000008</v>
      </c>
      <c r="S60" s="146">
        <f t="shared" si="19"/>
        <v>120961.53219999993</v>
      </c>
      <c r="T60" s="146">
        <f t="shared" si="19"/>
        <v>138629.19349999996</v>
      </c>
      <c r="U60" s="146">
        <f t="shared" si="19"/>
        <v>156414.65600000005</v>
      </c>
      <c r="V60" s="146">
        <f t="shared" si="19"/>
        <v>131701.02409999989</v>
      </c>
      <c r="W60" s="142">
        <v>0</v>
      </c>
      <c r="X60" s="142">
        <v>0</v>
      </c>
      <c r="Y60" s="142">
        <v>0</v>
      </c>
      <c r="Z60" s="142">
        <v>0</v>
      </c>
      <c r="AA60" s="142"/>
      <c r="AB60" s="142"/>
      <c r="AC60" s="142">
        <v>490478</v>
      </c>
      <c r="AD60" s="142">
        <v>429542.11</v>
      </c>
      <c r="AE60" s="142">
        <v>478141.36000000022</v>
      </c>
      <c r="AF60" s="343">
        <v>326923.05999999982</v>
      </c>
      <c r="AG60" s="343">
        <v>396083.40999999992</v>
      </c>
      <c r="AH60" s="343">
        <v>391036.64000000013</v>
      </c>
      <c r="AI60" s="407">
        <v>321222.00999999978</v>
      </c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</row>
    <row r="61" spans="2:49" s="51" customFormat="1" ht="18" customHeight="1" thickBot="1">
      <c r="C61" s="61"/>
      <c r="D61" s="49" t="s">
        <v>187</v>
      </c>
      <c r="E61" s="49"/>
      <c r="F61" s="151" t="s">
        <v>188</v>
      </c>
      <c r="G61" s="158" t="s">
        <v>240</v>
      </c>
      <c r="H61" s="136"/>
      <c r="I61" s="146"/>
      <c r="J61" s="146">
        <f>J7*W61</f>
        <v>556069.30180799961</v>
      </c>
      <c r="K61" s="146">
        <f>K7*X61</f>
        <v>525149.04127200041</v>
      </c>
      <c r="L61" s="146">
        <f>L7*Y61</f>
        <v>579067.88332399959</v>
      </c>
      <c r="M61" s="146">
        <f>M7*Z61</f>
        <v>659237.50260000001</v>
      </c>
      <c r="N61" s="146">
        <v>650082.71164799971</v>
      </c>
      <c r="O61" s="146">
        <f>O7*AB61</f>
        <v>538325.90038500004</v>
      </c>
      <c r="P61" s="146">
        <f t="shared" si="19"/>
        <v>428411.01799999998</v>
      </c>
      <c r="Q61" s="146">
        <f t="shared" si="19"/>
        <v>554619.3084000001</v>
      </c>
      <c r="R61" s="146">
        <f t="shared" si="19"/>
        <v>603732.72600000002</v>
      </c>
      <c r="S61" s="146">
        <f t="shared" si="19"/>
        <v>567970.55999999994</v>
      </c>
      <c r="T61" s="146">
        <f t="shared" si="19"/>
        <v>688969.00070000009</v>
      </c>
      <c r="U61" s="146">
        <f t="shared" si="19"/>
        <v>764372.38500000036</v>
      </c>
      <c r="V61" s="146">
        <f t="shared" si="19"/>
        <v>672105.90239999944</v>
      </c>
      <c r="W61" s="142">
        <v>2292124.0799999982</v>
      </c>
      <c r="X61" s="142">
        <v>2026819.9200000018</v>
      </c>
      <c r="Y61" s="142">
        <v>2067361.2399999984</v>
      </c>
      <c r="Z61" s="142">
        <v>2199658</v>
      </c>
      <c r="AA61" s="142">
        <v>2074290.7199999988</v>
      </c>
      <c r="AB61" s="142">
        <v>2166301.41</v>
      </c>
      <c r="AC61" s="142">
        <v>1530039.3499999999</v>
      </c>
      <c r="AD61" s="142">
        <v>1631233.26</v>
      </c>
      <c r="AE61" s="142">
        <v>1677035.35</v>
      </c>
      <c r="AF61" s="343">
        <v>1262156.7999999998</v>
      </c>
      <c r="AG61" s="343">
        <v>1602253.4900000002</v>
      </c>
      <c r="AH61" s="343">
        <v>1698605.3000000007</v>
      </c>
      <c r="AI61" s="513">
        <v>1400220.629999999</v>
      </c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</row>
    <row r="62" spans="2:49" s="51" customFormat="1" ht="18" customHeight="1">
      <c r="C62" s="61"/>
      <c r="D62" s="49" t="s">
        <v>416</v>
      </c>
      <c r="E62" s="49"/>
      <c r="F62" s="58" t="s">
        <v>417</v>
      </c>
      <c r="G62" s="158"/>
      <c r="H62" s="136"/>
      <c r="I62" s="146"/>
      <c r="J62" s="146"/>
      <c r="K62" s="146"/>
      <c r="L62" s="146"/>
      <c r="M62" s="146"/>
      <c r="N62" s="146"/>
      <c r="O62" s="146"/>
      <c r="P62" s="146"/>
      <c r="Q62" s="146"/>
      <c r="R62" s="146">
        <f>AE62</f>
        <v>3240</v>
      </c>
      <c r="S62" s="146">
        <f>AF62</f>
        <v>2430</v>
      </c>
      <c r="T62" s="146">
        <f>AG62</f>
        <v>1740</v>
      </c>
      <c r="U62" s="146">
        <f>AH62</f>
        <v>1620</v>
      </c>
      <c r="V62" s="146">
        <f>AI62</f>
        <v>3570</v>
      </c>
      <c r="W62" s="142"/>
      <c r="X62" s="142"/>
      <c r="Y62" s="142"/>
      <c r="Z62" s="142"/>
      <c r="AA62" s="142"/>
      <c r="AB62" s="142"/>
      <c r="AC62" s="142"/>
      <c r="AD62" s="142"/>
      <c r="AE62" s="142">
        <v>3240</v>
      </c>
      <c r="AF62" s="343">
        <v>2430</v>
      </c>
      <c r="AG62" s="343">
        <v>1740</v>
      </c>
      <c r="AH62" s="343">
        <v>1620</v>
      </c>
      <c r="AI62" s="343">
        <v>3570</v>
      </c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</row>
    <row r="63" spans="2:49" s="51" customFormat="1" ht="19.5" customHeight="1">
      <c r="C63" s="61"/>
      <c r="D63" s="49"/>
      <c r="E63" s="49"/>
      <c r="F63" s="49"/>
      <c r="G63" s="153"/>
      <c r="H63" s="133"/>
      <c r="I63" s="146"/>
      <c r="J63" s="182">
        <f t="shared" ref="J63:Q63" si="20">SUM(J58:J61)</f>
        <v>858629.20180799952</v>
      </c>
      <c r="K63" s="182">
        <f t="shared" si="20"/>
        <v>525149.04127200041</v>
      </c>
      <c r="L63" s="182">
        <f t="shared" si="20"/>
        <v>589896.81332399976</v>
      </c>
      <c r="M63" s="182">
        <f t="shared" si="20"/>
        <v>671605.26260000002</v>
      </c>
      <c r="N63" s="146">
        <f t="shared" si="20"/>
        <v>650082.71164799971</v>
      </c>
      <c r="O63" s="146">
        <f t="shared" si="20"/>
        <v>538325.90038500004</v>
      </c>
      <c r="P63" s="146">
        <f t="shared" si="20"/>
        <v>565744.85800000001</v>
      </c>
      <c r="Q63" s="146">
        <f t="shared" si="20"/>
        <v>674891.09920000006</v>
      </c>
      <c r="R63" s="146">
        <f>SUM(R58:R62)</f>
        <v>759977.96120000014</v>
      </c>
      <c r="S63" s="146">
        <f>SUM(S58:S62)</f>
        <v>691362.09219999984</v>
      </c>
      <c r="T63" s="146">
        <f>SUM(T58:T62)</f>
        <v>829338.19420000003</v>
      </c>
      <c r="U63" s="146">
        <f>SUM(U58:U62)</f>
        <v>922407.04100000043</v>
      </c>
      <c r="V63" s="146">
        <f>SUM(V58:V62)</f>
        <v>807376.92649999936</v>
      </c>
      <c r="W63" s="183">
        <f t="shared" ref="W63:AD63" si="21">SUM(W58:W61)</f>
        <v>2594683.9799999981</v>
      </c>
      <c r="X63" s="183">
        <f t="shared" si="21"/>
        <v>2026819.9200000018</v>
      </c>
      <c r="Y63" s="183">
        <f t="shared" si="21"/>
        <v>2078190.1699999985</v>
      </c>
      <c r="Z63" s="183">
        <f t="shared" si="21"/>
        <v>2212025.7599999998</v>
      </c>
      <c r="AA63" s="142">
        <f t="shared" si="21"/>
        <v>2074290.7199999988</v>
      </c>
      <c r="AB63" s="142">
        <f t="shared" si="21"/>
        <v>2166301.41</v>
      </c>
      <c r="AC63" s="407">
        <f t="shared" si="21"/>
        <v>2020517.3499999999</v>
      </c>
      <c r="AD63" s="407">
        <f t="shared" si="21"/>
        <v>2060775.37</v>
      </c>
      <c r="AE63" s="407">
        <f>SUM(AE58:AE62)</f>
        <v>2158416.7100000004</v>
      </c>
      <c r="AF63" s="407">
        <f>SUM(AF58:AF62)</f>
        <v>1591509.8599999996</v>
      </c>
      <c r="AG63" s="407">
        <f>SUM(AG58:AG62)</f>
        <v>2000076.9000000001</v>
      </c>
      <c r="AH63" s="407">
        <f>SUM(AH58:AH62)</f>
        <v>2091261.9400000009</v>
      </c>
      <c r="AI63" s="407">
        <f>SUM(AI58:AI62)</f>
        <v>1725012.6399999987</v>
      </c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</row>
    <row r="64" spans="2:49" s="506" customFormat="1" ht="19.5" customHeight="1">
      <c r="C64" s="507"/>
      <c r="D64" s="508" t="s">
        <v>495</v>
      </c>
      <c r="E64" s="508"/>
      <c r="F64" s="508" t="s">
        <v>495</v>
      </c>
      <c r="G64" s="509"/>
      <c r="H64" s="510"/>
      <c r="I64" s="511"/>
      <c r="J64" s="512"/>
      <c r="K64" s="512"/>
      <c r="L64" s="512"/>
      <c r="M64" s="512"/>
      <c r="N64" s="511"/>
      <c r="O64" s="511"/>
      <c r="P64" s="511"/>
      <c r="Q64" s="511"/>
      <c r="R64" s="511"/>
      <c r="S64" s="511"/>
      <c r="T64" s="511"/>
      <c r="U64" s="511">
        <f>AH64</f>
        <v>653972.6</v>
      </c>
      <c r="V64" s="511">
        <f>AI64</f>
        <v>1899393.42</v>
      </c>
      <c r="W64" s="513"/>
      <c r="X64" s="513"/>
      <c r="Y64" s="513"/>
      <c r="Z64" s="513"/>
      <c r="AA64" s="514"/>
      <c r="AB64" s="514"/>
      <c r="AC64" s="513"/>
      <c r="AD64" s="513"/>
      <c r="AE64" s="513"/>
      <c r="AF64" s="513"/>
      <c r="AG64" s="513"/>
      <c r="AH64" s="513">
        <v>653972.6</v>
      </c>
      <c r="AI64" s="513">
        <v>1899393.42</v>
      </c>
      <c r="AJ64" s="508"/>
      <c r="AK64" s="508"/>
      <c r="AL64" s="508"/>
      <c r="AM64" s="508"/>
      <c r="AN64" s="508"/>
      <c r="AO64" s="508"/>
      <c r="AP64" s="508"/>
      <c r="AQ64" s="508"/>
      <c r="AR64" s="508"/>
      <c r="AS64" s="508"/>
      <c r="AT64" s="508"/>
      <c r="AU64" s="508"/>
      <c r="AV64" s="508"/>
      <c r="AW64" s="508"/>
    </row>
    <row r="65" spans="1:49" s="51" customFormat="1" ht="18.75" customHeight="1">
      <c r="C65" s="71" t="s">
        <v>189</v>
      </c>
      <c r="D65" s="49"/>
      <c r="E65" s="49"/>
      <c r="F65" s="49" t="s">
        <v>190</v>
      </c>
      <c r="G65" s="153"/>
      <c r="H65" s="133"/>
      <c r="I65" s="146"/>
      <c r="J65" s="182"/>
      <c r="K65" s="182"/>
      <c r="L65" s="182"/>
      <c r="M65" s="182"/>
      <c r="N65" s="146"/>
      <c r="O65" s="146"/>
      <c r="P65" s="146"/>
      <c r="Q65" s="146"/>
      <c r="R65" s="146"/>
      <c r="S65" s="146"/>
      <c r="T65" s="146"/>
      <c r="U65" s="146"/>
      <c r="V65" s="146"/>
      <c r="W65" s="183"/>
      <c r="X65" s="183"/>
      <c r="Y65" s="183"/>
      <c r="Z65" s="183"/>
      <c r="AA65" s="142"/>
      <c r="AB65" s="142"/>
      <c r="AC65" s="142"/>
      <c r="AD65" s="142"/>
      <c r="AE65" s="142"/>
      <c r="AF65" s="343"/>
      <c r="AG65" s="343"/>
      <c r="AH65" s="343"/>
      <c r="AI65" s="343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</row>
    <row r="66" spans="1:49" s="190" customFormat="1" ht="21">
      <c r="A66" s="340"/>
      <c r="F66" s="191" t="s">
        <v>243</v>
      </c>
      <c r="G66" s="192"/>
      <c r="H66" s="193"/>
      <c r="I66" s="193"/>
      <c r="J66" s="195">
        <f t="shared" ref="J66:T66" si="22">J54+J63</f>
        <v>995224.20809799945</v>
      </c>
      <c r="K66" s="195">
        <f t="shared" si="22"/>
        <v>640272.82971000043</v>
      </c>
      <c r="L66" s="195">
        <f t="shared" si="22"/>
        <v>731170.54400299978</v>
      </c>
      <c r="M66" s="195">
        <f t="shared" si="22"/>
        <v>879051.93665300007</v>
      </c>
      <c r="N66" s="195">
        <f t="shared" si="22"/>
        <v>843037.83360199956</v>
      </c>
      <c r="O66" s="195">
        <f t="shared" si="22"/>
        <v>704525.52502100007</v>
      </c>
      <c r="P66" s="195">
        <f t="shared" si="22"/>
        <v>767460.64399999997</v>
      </c>
      <c r="Q66" s="195">
        <f t="shared" si="22"/>
        <v>809713.16890000005</v>
      </c>
      <c r="R66" s="195">
        <f t="shared" si="22"/>
        <v>940943.63960000023</v>
      </c>
      <c r="S66" s="195">
        <f t="shared" si="22"/>
        <v>841785.18009999976</v>
      </c>
      <c r="T66" s="195">
        <f t="shared" si="22"/>
        <v>1171389.8422000003</v>
      </c>
      <c r="U66" s="195">
        <f>U54+U63+U64</f>
        <v>1776025.5176000004</v>
      </c>
      <c r="V66" s="195">
        <f>V54+V63+V64</f>
        <v>2937808.6215999993</v>
      </c>
      <c r="W66" s="196">
        <f t="shared" ref="W66:AI66" si="23">W54+W63</f>
        <v>4431253.7399999984</v>
      </c>
      <c r="X66" s="196">
        <f t="shared" si="23"/>
        <v>3622160.890000002</v>
      </c>
      <c r="Y66" s="196">
        <f t="shared" si="23"/>
        <v>3808544.0899999989</v>
      </c>
      <c r="Z66" s="196">
        <f t="shared" si="23"/>
        <v>4095158.6000000006</v>
      </c>
      <c r="AA66" s="341">
        <f t="shared" si="23"/>
        <v>4007487.7399999984</v>
      </c>
      <c r="AB66" s="341">
        <f t="shared" si="23"/>
        <v>3766554.8900000006</v>
      </c>
      <c r="AC66" s="408">
        <f t="shared" si="23"/>
        <v>3856810.4099999997</v>
      </c>
      <c r="AD66" s="408">
        <f t="shared" si="23"/>
        <v>3901947.3500000006</v>
      </c>
      <c r="AE66" s="408">
        <f t="shared" si="23"/>
        <v>4022587.7400000012</v>
      </c>
      <c r="AF66" s="408">
        <f t="shared" si="23"/>
        <v>3065783.8199999994</v>
      </c>
      <c r="AG66" s="408">
        <f t="shared" si="23"/>
        <v>3849767.790000001</v>
      </c>
      <c r="AH66" s="408">
        <f>AH54+AH63</f>
        <v>3605892.3200000003</v>
      </c>
      <c r="AI66" s="408">
        <f t="shared" si="23"/>
        <v>3025416.4099999992</v>
      </c>
    </row>
    <row r="67" spans="1:49">
      <c r="F67" s="50"/>
      <c r="G67" s="154"/>
      <c r="H67" s="134"/>
      <c r="I67" s="134"/>
      <c r="J67" s="134"/>
      <c r="K67" s="134"/>
      <c r="L67" s="134"/>
      <c r="M67" s="134"/>
      <c r="N67" s="146"/>
      <c r="O67" s="146"/>
      <c r="P67" s="146"/>
      <c r="Q67" s="146"/>
      <c r="R67" s="146"/>
      <c r="S67" s="146"/>
      <c r="T67" s="146"/>
      <c r="U67" s="146"/>
      <c r="V67" s="146"/>
      <c r="W67" s="128"/>
      <c r="X67" s="128"/>
      <c r="Y67" s="128"/>
      <c r="Z67" s="128"/>
      <c r="AA67" s="127"/>
    </row>
    <row r="178" ht="15" customHeight="1"/>
    <row r="179" ht="21" customHeight="1"/>
    <row r="180" ht="22.5" customHeight="1"/>
    <row r="183" hidden="1"/>
    <row r="184" hidden="1"/>
  </sheetData>
  <pageMargins left="0.25" right="0.25" top="0.75" bottom="0.75" header="0.3" footer="0.3"/>
  <pageSetup paperSize="5" scale="65" orientation="portrait" r:id="rId1"/>
  <headerFooter>
    <oddFooter xml:space="preserve">&amp;LDetail &amp;F   5 /7&amp;C 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Notes for Jib</vt:lpstr>
      <vt:lpstr>Apr'15</vt:lpstr>
      <vt:lpstr>Compare_July'15 &amp; 16</vt:lpstr>
      <vt:lpstr>PL MFC</vt:lpstr>
      <vt:lpstr>PL MFC _Conso</vt:lpstr>
      <vt:lpstr>OPEX MFC</vt:lpstr>
      <vt:lpstr>Opex Grouping</vt:lpstr>
      <vt:lpstr>Other Income_FS</vt:lpstr>
      <vt:lpstr>Sheet1</vt:lpstr>
      <vt:lpstr>Overdue Comparison</vt:lpstr>
      <vt:lpstr>Credit Cost</vt:lpstr>
      <vt:lpstr>Movement</vt:lpstr>
      <vt:lpstr>Income by product</vt:lpstr>
      <vt:lpstr>'Compare_July''15 &amp; 16'!Print_Area</vt:lpstr>
      <vt:lpstr>'Credit Cost'!Print_Area</vt:lpstr>
      <vt:lpstr>'Income by product'!Print_Area</vt:lpstr>
      <vt:lpstr>'OPEX MFC'!Print_Area</vt:lpstr>
      <vt:lpstr>'Other Income_FS'!Print_Area</vt:lpstr>
      <vt:lpstr>'PL MFC'!Print_Area</vt:lpstr>
      <vt:lpstr>'PL MFC _Conso'!Print_Area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Chanyapat Ussawadharapan</cp:lastModifiedBy>
  <cp:lastPrinted>2016-07-08T10:01:03Z</cp:lastPrinted>
  <dcterms:created xsi:type="dcterms:W3CDTF">2014-11-20T07:18:25Z</dcterms:created>
  <dcterms:modified xsi:type="dcterms:W3CDTF">2016-08-09T11:21:00Z</dcterms:modified>
</cp:coreProperties>
</file>