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.6\page\FINANCE\BUDGET\"/>
    </mc:Choice>
  </mc:AlternateContent>
  <xr:revisionPtr revIDLastSave="0" documentId="13_ncr:1_{1C45601D-B3E1-4C12-AE3B-E6E40D0C22FF}" xr6:coauthVersionLast="36" xr6:coauthVersionMax="36" xr10:uidLastSave="{00000000-0000-0000-0000-000000000000}"/>
  <bookViews>
    <workbookView xWindow="0" yWindow="0" windowWidth="21333" windowHeight="7513" xr2:uid="{C5F959BA-3B04-44B0-A09B-1CE6B47B2C0F}"/>
  </bookViews>
  <sheets>
    <sheet name="Summary" sheetId="17" r:id="rId1"/>
    <sheet name="Data" sheetId="5" r:id="rId2"/>
    <sheet name="DataSimple" sheetId="15" r:id="rId3"/>
    <sheet name="Corp" sheetId="18" r:id="rId4"/>
    <sheet name="Agency" sheetId="19" r:id="rId5"/>
    <sheet name="Educator" sheetId="20" r:id="rId6"/>
    <sheet name="NGO" sheetId="21" r:id="rId7"/>
    <sheet name="Govt" sheetId="22" r:id="rId8"/>
    <sheet name="Search" sheetId="23" r:id="rId9"/>
    <sheet name="Honors" sheetId="24" r:id="rId10"/>
    <sheet name="Retired" sheetId="25" r:id="rId11"/>
    <sheet name="PastDue" sheetId="26" r:id="rId12"/>
    <sheet name="v1" sheetId="1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7" l="1"/>
  <c r="B14" i="17"/>
  <c r="C14" i="17"/>
  <c r="A15" i="17"/>
  <c r="A16" i="17"/>
  <c r="A17" i="17"/>
  <c r="A18" i="17"/>
  <c r="A19" i="17"/>
  <c r="A20" i="17"/>
  <c r="A21" i="17"/>
  <c r="A22" i="17"/>
  <c r="A23" i="17"/>
  <c r="A24" i="17"/>
  <c r="B24" i="17"/>
  <c r="C24" i="17"/>
  <c r="A25" i="17"/>
  <c r="C25" i="17"/>
  <c r="A26" i="17"/>
  <c r="C26" i="17"/>
  <c r="A27" i="17"/>
  <c r="C27" i="17"/>
  <c r="A28" i="17"/>
  <c r="C28" i="17"/>
  <c r="A29" i="17"/>
  <c r="C29" i="17"/>
  <c r="A30" i="17"/>
  <c r="C30" i="17"/>
  <c r="A31" i="17"/>
  <c r="C31" i="17"/>
  <c r="A33" i="17"/>
  <c r="Y1000" i="15"/>
  <c r="U1000" i="15"/>
  <c r="P1000" i="15"/>
  <c r="M1000" i="15"/>
  <c r="L1000" i="15"/>
  <c r="K1000" i="15"/>
  <c r="J1000" i="15"/>
  <c r="A1000" i="15"/>
  <c r="Y999" i="15"/>
  <c r="U999" i="15"/>
  <c r="P999" i="15"/>
  <c r="M999" i="15"/>
  <c r="L999" i="15"/>
  <c r="K999" i="15"/>
  <c r="J999" i="15"/>
  <c r="A999" i="15"/>
  <c r="Y998" i="15"/>
  <c r="U998" i="15"/>
  <c r="P998" i="15"/>
  <c r="M998" i="15"/>
  <c r="L998" i="15"/>
  <c r="K998" i="15"/>
  <c r="J998" i="15"/>
  <c r="A998" i="15"/>
  <c r="Y997" i="15"/>
  <c r="U997" i="15"/>
  <c r="P997" i="15"/>
  <c r="M997" i="15"/>
  <c r="L997" i="15"/>
  <c r="K997" i="15"/>
  <c r="J997" i="15"/>
  <c r="A997" i="15"/>
  <c r="Y996" i="15"/>
  <c r="U996" i="15"/>
  <c r="P996" i="15"/>
  <c r="M996" i="15"/>
  <c r="L996" i="15"/>
  <c r="K996" i="15"/>
  <c r="J996" i="15"/>
  <c r="A996" i="15"/>
  <c r="Y995" i="15"/>
  <c r="U995" i="15"/>
  <c r="P995" i="15"/>
  <c r="M995" i="15"/>
  <c r="L995" i="15"/>
  <c r="K995" i="15"/>
  <c r="J995" i="15"/>
  <c r="A995" i="15"/>
  <c r="Y994" i="15"/>
  <c r="U994" i="15"/>
  <c r="P994" i="15"/>
  <c r="M994" i="15"/>
  <c r="L994" i="15"/>
  <c r="K994" i="15"/>
  <c r="J994" i="15"/>
  <c r="A994" i="15"/>
  <c r="Y993" i="15"/>
  <c r="U993" i="15"/>
  <c r="P993" i="15"/>
  <c r="M993" i="15"/>
  <c r="L993" i="15"/>
  <c r="K993" i="15"/>
  <c r="J993" i="15"/>
  <c r="A993" i="15"/>
  <c r="Y992" i="15"/>
  <c r="U992" i="15"/>
  <c r="P992" i="15"/>
  <c r="M992" i="15"/>
  <c r="L992" i="15"/>
  <c r="K992" i="15"/>
  <c r="J992" i="15"/>
  <c r="A992" i="15"/>
  <c r="Y991" i="15"/>
  <c r="U991" i="15"/>
  <c r="P991" i="15"/>
  <c r="M991" i="15"/>
  <c r="L991" i="15"/>
  <c r="K991" i="15"/>
  <c r="J991" i="15"/>
  <c r="A991" i="15"/>
  <c r="Y990" i="15"/>
  <c r="U990" i="15"/>
  <c r="P990" i="15"/>
  <c r="M990" i="15"/>
  <c r="L990" i="15"/>
  <c r="K990" i="15"/>
  <c r="J990" i="15"/>
  <c r="A990" i="15"/>
  <c r="Y989" i="15"/>
  <c r="U989" i="15"/>
  <c r="P989" i="15"/>
  <c r="M989" i="15"/>
  <c r="L989" i="15"/>
  <c r="K989" i="15"/>
  <c r="J989" i="15"/>
  <c r="A989" i="15"/>
  <c r="Y988" i="15"/>
  <c r="U988" i="15"/>
  <c r="P988" i="15"/>
  <c r="M988" i="15"/>
  <c r="L988" i="15"/>
  <c r="K988" i="15"/>
  <c r="J988" i="15"/>
  <c r="A988" i="15"/>
  <c r="Y987" i="15"/>
  <c r="U987" i="15"/>
  <c r="P987" i="15"/>
  <c r="M987" i="15"/>
  <c r="L987" i="15"/>
  <c r="K987" i="15"/>
  <c r="J987" i="15"/>
  <c r="A987" i="15"/>
  <c r="Y986" i="15"/>
  <c r="U986" i="15"/>
  <c r="P986" i="15"/>
  <c r="M986" i="15"/>
  <c r="L986" i="15"/>
  <c r="K986" i="15"/>
  <c r="J986" i="15"/>
  <c r="A986" i="15"/>
  <c r="Y985" i="15"/>
  <c r="U985" i="15"/>
  <c r="P985" i="15"/>
  <c r="M985" i="15"/>
  <c r="L985" i="15"/>
  <c r="K985" i="15"/>
  <c r="J985" i="15"/>
  <c r="A985" i="15"/>
  <c r="Y984" i="15"/>
  <c r="U984" i="15"/>
  <c r="P984" i="15"/>
  <c r="M984" i="15"/>
  <c r="L984" i="15"/>
  <c r="K984" i="15"/>
  <c r="J984" i="15"/>
  <c r="A984" i="15"/>
  <c r="Y983" i="15"/>
  <c r="U983" i="15"/>
  <c r="P983" i="15"/>
  <c r="M983" i="15"/>
  <c r="L983" i="15"/>
  <c r="K983" i="15"/>
  <c r="J983" i="15"/>
  <c r="A983" i="15"/>
  <c r="Y982" i="15"/>
  <c r="U982" i="15"/>
  <c r="P982" i="15"/>
  <c r="M982" i="15"/>
  <c r="L982" i="15"/>
  <c r="K982" i="15"/>
  <c r="J982" i="15"/>
  <c r="A982" i="15"/>
  <c r="Y981" i="15"/>
  <c r="U981" i="15"/>
  <c r="P981" i="15"/>
  <c r="M981" i="15"/>
  <c r="L981" i="15"/>
  <c r="K981" i="15"/>
  <c r="J981" i="15"/>
  <c r="A981" i="15"/>
  <c r="Y980" i="15"/>
  <c r="U980" i="15"/>
  <c r="P980" i="15"/>
  <c r="M980" i="15"/>
  <c r="L980" i="15"/>
  <c r="K980" i="15"/>
  <c r="J980" i="15"/>
  <c r="A980" i="15"/>
  <c r="Y979" i="15"/>
  <c r="U979" i="15"/>
  <c r="P979" i="15"/>
  <c r="M979" i="15"/>
  <c r="L979" i="15"/>
  <c r="K979" i="15"/>
  <c r="J979" i="15"/>
  <c r="A979" i="15"/>
  <c r="Y978" i="15"/>
  <c r="U978" i="15"/>
  <c r="P978" i="15"/>
  <c r="M978" i="15"/>
  <c r="L978" i="15"/>
  <c r="K978" i="15"/>
  <c r="J978" i="15"/>
  <c r="A978" i="15"/>
  <c r="Y977" i="15"/>
  <c r="U977" i="15"/>
  <c r="P977" i="15"/>
  <c r="M977" i="15"/>
  <c r="L977" i="15"/>
  <c r="K977" i="15"/>
  <c r="J977" i="15"/>
  <c r="A977" i="15"/>
  <c r="Y976" i="15"/>
  <c r="U976" i="15"/>
  <c r="P976" i="15"/>
  <c r="M976" i="15"/>
  <c r="L976" i="15"/>
  <c r="K976" i="15"/>
  <c r="J976" i="15"/>
  <c r="A976" i="15"/>
  <c r="Y975" i="15"/>
  <c r="U975" i="15"/>
  <c r="P975" i="15"/>
  <c r="M975" i="15"/>
  <c r="L975" i="15"/>
  <c r="K975" i="15"/>
  <c r="J975" i="15"/>
  <c r="A975" i="15"/>
  <c r="Y974" i="15"/>
  <c r="U974" i="15"/>
  <c r="P974" i="15"/>
  <c r="M974" i="15"/>
  <c r="L974" i="15"/>
  <c r="K974" i="15"/>
  <c r="J974" i="15"/>
  <c r="A974" i="15"/>
  <c r="Y973" i="15"/>
  <c r="U973" i="15"/>
  <c r="P973" i="15"/>
  <c r="M973" i="15"/>
  <c r="L973" i="15"/>
  <c r="K973" i="15"/>
  <c r="J973" i="15"/>
  <c r="A973" i="15"/>
  <c r="Y972" i="15"/>
  <c r="U972" i="15"/>
  <c r="P972" i="15"/>
  <c r="M972" i="15"/>
  <c r="L972" i="15"/>
  <c r="K972" i="15"/>
  <c r="J972" i="15"/>
  <c r="A972" i="15"/>
  <c r="Y971" i="15"/>
  <c r="U971" i="15"/>
  <c r="P971" i="15"/>
  <c r="M971" i="15"/>
  <c r="L971" i="15"/>
  <c r="K971" i="15"/>
  <c r="J971" i="15"/>
  <c r="A971" i="15"/>
  <c r="Y970" i="15"/>
  <c r="U970" i="15"/>
  <c r="P970" i="15"/>
  <c r="M970" i="15"/>
  <c r="L970" i="15"/>
  <c r="K970" i="15"/>
  <c r="J970" i="15"/>
  <c r="A970" i="15"/>
  <c r="Y969" i="15"/>
  <c r="U969" i="15"/>
  <c r="P969" i="15"/>
  <c r="M969" i="15"/>
  <c r="L969" i="15"/>
  <c r="K969" i="15"/>
  <c r="J969" i="15"/>
  <c r="A969" i="15"/>
  <c r="Y968" i="15"/>
  <c r="U968" i="15"/>
  <c r="P968" i="15"/>
  <c r="M968" i="15"/>
  <c r="L968" i="15"/>
  <c r="K968" i="15"/>
  <c r="J968" i="15"/>
  <c r="A968" i="15"/>
  <c r="Y967" i="15"/>
  <c r="U967" i="15"/>
  <c r="P967" i="15"/>
  <c r="M967" i="15"/>
  <c r="L967" i="15"/>
  <c r="K967" i="15"/>
  <c r="J967" i="15"/>
  <c r="A967" i="15"/>
  <c r="Y966" i="15"/>
  <c r="U966" i="15"/>
  <c r="P966" i="15"/>
  <c r="M966" i="15"/>
  <c r="L966" i="15"/>
  <c r="K966" i="15"/>
  <c r="J966" i="15"/>
  <c r="A966" i="15"/>
  <c r="Y965" i="15"/>
  <c r="U965" i="15"/>
  <c r="P965" i="15"/>
  <c r="M965" i="15"/>
  <c r="L965" i="15"/>
  <c r="K965" i="15"/>
  <c r="J965" i="15"/>
  <c r="A965" i="15"/>
  <c r="Y964" i="15"/>
  <c r="U964" i="15"/>
  <c r="P964" i="15"/>
  <c r="M964" i="15"/>
  <c r="L964" i="15"/>
  <c r="K964" i="15"/>
  <c r="J964" i="15"/>
  <c r="A964" i="15"/>
  <c r="Y963" i="15"/>
  <c r="U963" i="15"/>
  <c r="P963" i="15"/>
  <c r="M963" i="15"/>
  <c r="L963" i="15"/>
  <c r="K963" i="15"/>
  <c r="J963" i="15"/>
  <c r="A963" i="15"/>
  <c r="Y962" i="15"/>
  <c r="U962" i="15"/>
  <c r="P962" i="15"/>
  <c r="M962" i="15"/>
  <c r="L962" i="15"/>
  <c r="K962" i="15"/>
  <c r="J962" i="15"/>
  <c r="A962" i="15"/>
  <c r="Y961" i="15"/>
  <c r="U961" i="15"/>
  <c r="P961" i="15"/>
  <c r="M961" i="15"/>
  <c r="L961" i="15"/>
  <c r="K961" i="15"/>
  <c r="J961" i="15"/>
  <c r="A961" i="15"/>
  <c r="Y960" i="15"/>
  <c r="U960" i="15"/>
  <c r="P960" i="15"/>
  <c r="M960" i="15"/>
  <c r="L960" i="15"/>
  <c r="K960" i="15"/>
  <c r="J960" i="15"/>
  <c r="A960" i="15"/>
  <c r="Y959" i="15"/>
  <c r="U959" i="15"/>
  <c r="P959" i="15"/>
  <c r="M959" i="15"/>
  <c r="L959" i="15"/>
  <c r="K959" i="15"/>
  <c r="J959" i="15"/>
  <c r="A959" i="15"/>
  <c r="Y958" i="15"/>
  <c r="U958" i="15"/>
  <c r="P958" i="15"/>
  <c r="M958" i="15"/>
  <c r="L958" i="15"/>
  <c r="K958" i="15"/>
  <c r="J958" i="15"/>
  <c r="A958" i="15"/>
  <c r="Y957" i="15"/>
  <c r="U957" i="15"/>
  <c r="P957" i="15"/>
  <c r="M957" i="15"/>
  <c r="L957" i="15"/>
  <c r="K957" i="15"/>
  <c r="J957" i="15"/>
  <c r="A957" i="15"/>
  <c r="Y956" i="15"/>
  <c r="U956" i="15"/>
  <c r="P956" i="15"/>
  <c r="M956" i="15"/>
  <c r="L956" i="15"/>
  <c r="K956" i="15"/>
  <c r="J956" i="15"/>
  <c r="A956" i="15"/>
  <c r="Y955" i="15"/>
  <c r="U955" i="15"/>
  <c r="P955" i="15"/>
  <c r="M955" i="15"/>
  <c r="L955" i="15"/>
  <c r="K955" i="15"/>
  <c r="J955" i="15"/>
  <c r="A955" i="15"/>
  <c r="Y954" i="15"/>
  <c r="U954" i="15"/>
  <c r="P954" i="15"/>
  <c r="M954" i="15"/>
  <c r="L954" i="15"/>
  <c r="K954" i="15"/>
  <c r="J954" i="15"/>
  <c r="A954" i="15"/>
  <c r="Y953" i="15"/>
  <c r="U953" i="15"/>
  <c r="P953" i="15"/>
  <c r="M953" i="15"/>
  <c r="L953" i="15"/>
  <c r="K953" i="15"/>
  <c r="J953" i="15"/>
  <c r="A953" i="15"/>
  <c r="Y952" i="15"/>
  <c r="U952" i="15"/>
  <c r="P952" i="15"/>
  <c r="M952" i="15"/>
  <c r="L952" i="15"/>
  <c r="K952" i="15"/>
  <c r="J952" i="15"/>
  <c r="A952" i="15"/>
  <c r="Y951" i="15"/>
  <c r="U951" i="15"/>
  <c r="P951" i="15"/>
  <c r="M951" i="15"/>
  <c r="L951" i="15"/>
  <c r="K951" i="15"/>
  <c r="J951" i="15"/>
  <c r="A951" i="15"/>
  <c r="Y950" i="15"/>
  <c r="U950" i="15"/>
  <c r="P950" i="15"/>
  <c r="M950" i="15"/>
  <c r="L950" i="15"/>
  <c r="K950" i="15"/>
  <c r="J950" i="15"/>
  <c r="A950" i="15"/>
  <c r="Y949" i="15"/>
  <c r="U949" i="15"/>
  <c r="P949" i="15"/>
  <c r="M949" i="15"/>
  <c r="L949" i="15"/>
  <c r="K949" i="15"/>
  <c r="J949" i="15"/>
  <c r="A949" i="15"/>
  <c r="Y948" i="15"/>
  <c r="U948" i="15"/>
  <c r="P948" i="15"/>
  <c r="M948" i="15"/>
  <c r="L948" i="15"/>
  <c r="K948" i="15"/>
  <c r="J948" i="15"/>
  <c r="A948" i="15"/>
  <c r="Y947" i="15"/>
  <c r="U947" i="15"/>
  <c r="P947" i="15"/>
  <c r="M947" i="15"/>
  <c r="L947" i="15"/>
  <c r="K947" i="15"/>
  <c r="J947" i="15"/>
  <c r="A947" i="15"/>
  <c r="Y946" i="15"/>
  <c r="U946" i="15"/>
  <c r="P946" i="15"/>
  <c r="M946" i="15"/>
  <c r="L946" i="15"/>
  <c r="K946" i="15"/>
  <c r="J946" i="15"/>
  <c r="A946" i="15"/>
  <c r="Y945" i="15"/>
  <c r="U945" i="15"/>
  <c r="P945" i="15"/>
  <c r="M945" i="15"/>
  <c r="L945" i="15"/>
  <c r="K945" i="15"/>
  <c r="J945" i="15"/>
  <c r="A945" i="15"/>
  <c r="Y944" i="15"/>
  <c r="U944" i="15"/>
  <c r="P944" i="15"/>
  <c r="M944" i="15"/>
  <c r="L944" i="15"/>
  <c r="K944" i="15"/>
  <c r="J944" i="15"/>
  <c r="A944" i="15"/>
  <c r="Y943" i="15"/>
  <c r="U943" i="15"/>
  <c r="P943" i="15"/>
  <c r="M943" i="15"/>
  <c r="L943" i="15"/>
  <c r="K943" i="15"/>
  <c r="J943" i="15"/>
  <c r="A943" i="15"/>
  <c r="Y942" i="15"/>
  <c r="U942" i="15"/>
  <c r="P942" i="15"/>
  <c r="M942" i="15"/>
  <c r="L942" i="15"/>
  <c r="K942" i="15"/>
  <c r="J942" i="15"/>
  <c r="A942" i="15"/>
  <c r="Y941" i="15"/>
  <c r="U941" i="15"/>
  <c r="P941" i="15"/>
  <c r="M941" i="15"/>
  <c r="L941" i="15"/>
  <c r="K941" i="15"/>
  <c r="J941" i="15"/>
  <c r="A941" i="15"/>
  <c r="Y940" i="15"/>
  <c r="U940" i="15"/>
  <c r="P940" i="15"/>
  <c r="M940" i="15"/>
  <c r="L940" i="15"/>
  <c r="K940" i="15"/>
  <c r="J940" i="15"/>
  <c r="A940" i="15"/>
  <c r="Y939" i="15"/>
  <c r="U939" i="15"/>
  <c r="P939" i="15"/>
  <c r="M939" i="15"/>
  <c r="L939" i="15"/>
  <c r="K939" i="15"/>
  <c r="J939" i="15"/>
  <c r="A939" i="15"/>
  <c r="Y938" i="15"/>
  <c r="U938" i="15"/>
  <c r="P938" i="15"/>
  <c r="M938" i="15"/>
  <c r="L938" i="15"/>
  <c r="K938" i="15"/>
  <c r="J938" i="15"/>
  <c r="A938" i="15"/>
  <c r="Y937" i="15"/>
  <c r="U937" i="15"/>
  <c r="P937" i="15"/>
  <c r="M937" i="15"/>
  <c r="L937" i="15"/>
  <c r="K937" i="15"/>
  <c r="J937" i="15"/>
  <c r="A937" i="15"/>
  <c r="Y936" i="15"/>
  <c r="U936" i="15"/>
  <c r="P936" i="15"/>
  <c r="M936" i="15"/>
  <c r="L936" i="15"/>
  <c r="K936" i="15"/>
  <c r="J936" i="15"/>
  <c r="A936" i="15"/>
  <c r="Y935" i="15"/>
  <c r="U935" i="15"/>
  <c r="P935" i="15"/>
  <c r="M935" i="15"/>
  <c r="L935" i="15"/>
  <c r="K935" i="15"/>
  <c r="J935" i="15"/>
  <c r="A935" i="15"/>
  <c r="Y934" i="15"/>
  <c r="U934" i="15"/>
  <c r="P934" i="15"/>
  <c r="M934" i="15"/>
  <c r="L934" i="15"/>
  <c r="K934" i="15"/>
  <c r="J934" i="15"/>
  <c r="A934" i="15"/>
  <c r="Y933" i="15"/>
  <c r="U933" i="15"/>
  <c r="P933" i="15"/>
  <c r="M933" i="15"/>
  <c r="L933" i="15"/>
  <c r="K933" i="15"/>
  <c r="J933" i="15"/>
  <c r="A933" i="15"/>
  <c r="Y932" i="15"/>
  <c r="U932" i="15"/>
  <c r="P932" i="15"/>
  <c r="M932" i="15"/>
  <c r="L932" i="15"/>
  <c r="K932" i="15"/>
  <c r="J932" i="15"/>
  <c r="A932" i="15"/>
  <c r="Y931" i="15"/>
  <c r="U931" i="15"/>
  <c r="P931" i="15"/>
  <c r="M931" i="15"/>
  <c r="L931" i="15"/>
  <c r="K931" i="15"/>
  <c r="J931" i="15"/>
  <c r="A931" i="15"/>
  <c r="Y930" i="15"/>
  <c r="U930" i="15"/>
  <c r="P930" i="15"/>
  <c r="M930" i="15"/>
  <c r="L930" i="15"/>
  <c r="K930" i="15"/>
  <c r="J930" i="15"/>
  <c r="A930" i="15"/>
  <c r="Y929" i="15"/>
  <c r="U929" i="15"/>
  <c r="P929" i="15"/>
  <c r="M929" i="15"/>
  <c r="L929" i="15"/>
  <c r="K929" i="15"/>
  <c r="J929" i="15"/>
  <c r="A929" i="15"/>
  <c r="Y928" i="15"/>
  <c r="U928" i="15"/>
  <c r="P928" i="15"/>
  <c r="M928" i="15"/>
  <c r="L928" i="15"/>
  <c r="K928" i="15"/>
  <c r="J928" i="15"/>
  <c r="A928" i="15"/>
  <c r="Y927" i="15"/>
  <c r="U927" i="15"/>
  <c r="P927" i="15"/>
  <c r="M927" i="15"/>
  <c r="L927" i="15"/>
  <c r="K927" i="15"/>
  <c r="J927" i="15"/>
  <c r="A927" i="15"/>
  <c r="Y926" i="15"/>
  <c r="U926" i="15"/>
  <c r="P926" i="15"/>
  <c r="M926" i="15"/>
  <c r="L926" i="15"/>
  <c r="K926" i="15"/>
  <c r="J926" i="15"/>
  <c r="A926" i="15"/>
  <c r="Y925" i="15"/>
  <c r="U925" i="15"/>
  <c r="P925" i="15"/>
  <c r="M925" i="15"/>
  <c r="L925" i="15"/>
  <c r="K925" i="15"/>
  <c r="J925" i="15"/>
  <c r="A925" i="15"/>
  <c r="Y924" i="15"/>
  <c r="U924" i="15"/>
  <c r="P924" i="15"/>
  <c r="M924" i="15"/>
  <c r="L924" i="15"/>
  <c r="K924" i="15"/>
  <c r="J924" i="15"/>
  <c r="A924" i="15"/>
  <c r="Y923" i="15"/>
  <c r="U923" i="15"/>
  <c r="P923" i="15"/>
  <c r="M923" i="15"/>
  <c r="L923" i="15"/>
  <c r="K923" i="15"/>
  <c r="J923" i="15"/>
  <c r="A923" i="15"/>
  <c r="Y922" i="15"/>
  <c r="U922" i="15"/>
  <c r="P922" i="15"/>
  <c r="M922" i="15"/>
  <c r="L922" i="15"/>
  <c r="K922" i="15"/>
  <c r="J922" i="15"/>
  <c r="A922" i="15"/>
  <c r="Y921" i="15"/>
  <c r="U921" i="15"/>
  <c r="P921" i="15"/>
  <c r="M921" i="15"/>
  <c r="L921" i="15"/>
  <c r="K921" i="15"/>
  <c r="J921" i="15"/>
  <c r="A921" i="15"/>
  <c r="Y920" i="15"/>
  <c r="U920" i="15"/>
  <c r="P920" i="15"/>
  <c r="M920" i="15"/>
  <c r="L920" i="15"/>
  <c r="K920" i="15"/>
  <c r="J920" i="15"/>
  <c r="A920" i="15"/>
  <c r="Y919" i="15"/>
  <c r="U919" i="15"/>
  <c r="P919" i="15"/>
  <c r="M919" i="15"/>
  <c r="L919" i="15"/>
  <c r="K919" i="15"/>
  <c r="J919" i="15"/>
  <c r="A919" i="15"/>
  <c r="Y918" i="15"/>
  <c r="U918" i="15"/>
  <c r="P918" i="15"/>
  <c r="M918" i="15"/>
  <c r="L918" i="15"/>
  <c r="K918" i="15"/>
  <c r="J918" i="15"/>
  <c r="A918" i="15"/>
  <c r="Y917" i="15"/>
  <c r="U917" i="15"/>
  <c r="P917" i="15"/>
  <c r="M917" i="15"/>
  <c r="L917" i="15"/>
  <c r="K917" i="15"/>
  <c r="J917" i="15"/>
  <c r="A917" i="15"/>
  <c r="Y916" i="15"/>
  <c r="U916" i="15"/>
  <c r="P916" i="15"/>
  <c r="M916" i="15"/>
  <c r="L916" i="15"/>
  <c r="K916" i="15"/>
  <c r="J916" i="15"/>
  <c r="A916" i="15"/>
  <c r="Y915" i="15"/>
  <c r="U915" i="15"/>
  <c r="P915" i="15"/>
  <c r="M915" i="15"/>
  <c r="L915" i="15"/>
  <c r="K915" i="15"/>
  <c r="J915" i="15"/>
  <c r="A915" i="15"/>
  <c r="Y914" i="15"/>
  <c r="U914" i="15"/>
  <c r="P914" i="15"/>
  <c r="M914" i="15"/>
  <c r="L914" i="15"/>
  <c r="K914" i="15"/>
  <c r="J914" i="15"/>
  <c r="A914" i="15"/>
  <c r="Y913" i="15"/>
  <c r="U913" i="15"/>
  <c r="P913" i="15"/>
  <c r="M913" i="15"/>
  <c r="L913" i="15"/>
  <c r="K913" i="15"/>
  <c r="J913" i="15"/>
  <c r="A913" i="15"/>
  <c r="Y912" i="15"/>
  <c r="U912" i="15"/>
  <c r="P912" i="15"/>
  <c r="M912" i="15"/>
  <c r="L912" i="15"/>
  <c r="K912" i="15"/>
  <c r="J912" i="15"/>
  <c r="A912" i="15"/>
  <c r="Y911" i="15"/>
  <c r="U911" i="15"/>
  <c r="P911" i="15"/>
  <c r="M911" i="15"/>
  <c r="L911" i="15"/>
  <c r="K911" i="15"/>
  <c r="J911" i="15"/>
  <c r="A911" i="15"/>
  <c r="Y910" i="15"/>
  <c r="U910" i="15"/>
  <c r="P910" i="15"/>
  <c r="M910" i="15"/>
  <c r="L910" i="15"/>
  <c r="K910" i="15"/>
  <c r="J910" i="15"/>
  <c r="A910" i="15"/>
  <c r="Y909" i="15"/>
  <c r="U909" i="15"/>
  <c r="P909" i="15"/>
  <c r="M909" i="15"/>
  <c r="L909" i="15"/>
  <c r="K909" i="15"/>
  <c r="J909" i="15"/>
  <c r="A909" i="15"/>
  <c r="Y908" i="15"/>
  <c r="U908" i="15"/>
  <c r="P908" i="15"/>
  <c r="M908" i="15"/>
  <c r="L908" i="15"/>
  <c r="K908" i="15"/>
  <c r="J908" i="15"/>
  <c r="A908" i="15"/>
  <c r="Y907" i="15"/>
  <c r="U907" i="15"/>
  <c r="P907" i="15"/>
  <c r="M907" i="15"/>
  <c r="L907" i="15"/>
  <c r="K907" i="15"/>
  <c r="J907" i="15"/>
  <c r="A907" i="15"/>
  <c r="Y906" i="15"/>
  <c r="U906" i="15"/>
  <c r="P906" i="15"/>
  <c r="M906" i="15"/>
  <c r="L906" i="15"/>
  <c r="K906" i="15"/>
  <c r="J906" i="15"/>
  <c r="A906" i="15"/>
  <c r="Y905" i="15"/>
  <c r="U905" i="15"/>
  <c r="P905" i="15"/>
  <c r="M905" i="15"/>
  <c r="L905" i="15"/>
  <c r="K905" i="15"/>
  <c r="J905" i="15"/>
  <c r="A905" i="15"/>
  <c r="Y904" i="15"/>
  <c r="U904" i="15"/>
  <c r="P904" i="15"/>
  <c r="M904" i="15"/>
  <c r="L904" i="15"/>
  <c r="K904" i="15"/>
  <c r="J904" i="15"/>
  <c r="A904" i="15"/>
  <c r="Y903" i="15"/>
  <c r="U903" i="15"/>
  <c r="P903" i="15"/>
  <c r="M903" i="15"/>
  <c r="L903" i="15"/>
  <c r="K903" i="15"/>
  <c r="J903" i="15"/>
  <c r="A903" i="15"/>
  <c r="Y902" i="15"/>
  <c r="U902" i="15"/>
  <c r="P902" i="15"/>
  <c r="M902" i="15"/>
  <c r="L902" i="15"/>
  <c r="K902" i="15"/>
  <c r="J902" i="15"/>
  <c r="A902" i="15"/>
  <c r="Y901" i="15"/>
  <c r="U901" i="15"/>
  <c r="P901" i="15"/>
  <c r="M901" i="15"/>
  <c r="L901" i="15"/>
  <c r="K901" i="15"/>
  <c r="J901" i="15"/>
  <c r="A901" i="15"/>
  <c r="Y900" i="15"/>
  <c r="U900" i="15"/>
  <c r="P900" i="15"/>
  <c r="M900" i="15"/>
  <c r="L900" i="15"/>
  <c r="K900" i="15"/>
  <c r="J900" i="15"/>
  <c r="A900" i="15"/>
  <c r="Y899" i="15"/>
  <c r="U899" i="15"/>
  <c r="P899" i="15"/>
  <c r="M899" i="15"/>
  <c r="L899" i="15"/>
  <c r="K899" i="15"/>
  <c r="J899" i="15"/>
  <c r="A899" i="15"/>
  <c r="Y898" i="15"/>
  <c r="U898" i="15"/>
  <c r="P898" i="15"/>
  <c r="M898" i="15"/>
  <c r="L898" i="15"/>
  <c r="K898" i="15"/>
  <c r="J898" i="15"/>
  <c r="A898" i="15"/>
  <c r="Y897" i="15"/>
  <c r="U897" i="15"/>
  <c r="P897" i="15"/>
  <c r="M897" i="15"/>
  <c r="L897" i="15"/>
  <c r="K897" i="15"/>
  <c r="J897" i="15"/>
  <c r="A897" i="15"/>
  <c r="Y896" i="15"/>
  <c r="U896" i="15"/>
  <c r="P896" i="15"/>
  <c r="M896" i="15"/>
  <c r="L896" i="15"/>
  <c r="K896" i="15"/>
  <c r="J896" i="15"/>
  <c r="A896" i="15"/>
  <c r="Y895" i="15"/>
  <c r="U895" i="15"/>
  <c r="P895" i="15"/>
  <c r="M895" i="15"/>
  <c r="L895" i="15"/>
  <c r="K895" i="15"/>
  <c r="J895" i="15"/>
  <c r="A895" i="15"/>
  <c r="Y894" i="15"/>
  <c r="U894" i="15"/>
  <c r="P894" i="15"/>
  <c r="M894" i="15"/>
  <c r="L894" i="15"/>
  <c r="K894" i="15"/>
  <c r="J894" i="15"/>
  <c r="A894" i="15"/>
  <c r="Y893" i="15"/>
  <c r="U893" i="15"/>
  <c r="P893" i="15"/>
  <c r="M893" i="15"/>
  <c r="L893" i="15"/>
  <c r="K893" i="15"/>
  <c r="J893" i="15"/>
  <c r="A893" i="15"/>
  <c r="Y892" i="15"/>
  <c r="U892" i="15"/>
  <c r="P892" i="15"/>
  <c r="M892" i="15"/>
  <c r="L892" i="15"/>
  <c r="K892" i="15"/>
  <c r="J892" i="15"/>
  <c r="A892" i="15"/>
  <c r="Y891" i="15"/>
  <c r="U891" i="15"/>
  <c r="P891" i="15"/>
  <c r="M891" i="15"/>
  <c r="L891" i="15"/>
  <c r="K891" i="15"/>
  <c r="J891" i="15"/>
  <c r="A891" i="15"/>
  <c r="Y890" i="15"/>
  <c r="U890" i="15"/>
  <c r="P890" i="15"/>
  <c r="M890" i="15"/>
  <c r="L890" i="15"/>
  <c r="K890" i="15"/>
  <c r="J890" i="15"/>
  <c r="A890" i="15"/>
  <c r="Y889" i="15"/>
  <c r="Y888" i="15"/>
  <c r="Y887" i="15"/>
  <c r="Y886" i="15"/>
  <c r="Y885" i="15"/>
  <c r="Y884" i="15"/>
  <c r="Y883" i="15"/>
  <c r="Y882" i="15"/>
  <c r="Y881" i="15"/>
  <c r="Y880" i="15"/>
  <c r="Y879" i="15"/>
  <c r="Y878" i="15"/>
  <c r="Y877" i="15"/>
  <c r="Y876" i="15"/>
  <c r="Y875" i="15"/>
  <c r="Y874" i="15"/>
  <c r="Y873" i="15"/>
  <c r="Y872" i="15"/>
  <c r="Y871" i="15"/>
  <c r="Y870" i="15"/>
  <c r="Y869" i="15"/>
  <c r="Y868" i="15"/>
  <c r="Y867" i="15"/>
  <c r="Y866" i="15"/>
  <c r="Y865" i="15"/>
  <c r="Y864" i="15"/>
  <c r="Y863" i="15"/>
  <c r="Y862" i="15"/>
  <c r="Y861" i="15"/>
  <c r="Y860" i="15"/>
  <c r="Y859" i="15"/>
  <c r="Y858" i="15"/>
  <c r="Y857" i="15"/>
  <c r="Y856" i="15"/>
  <c r="Y855" i="15"/>
  <c r="Y854" i="15"/>
  <c r="Y853" i="15"/>
  <c r="Y852" i="15"/>
  <c r="Y851" i="15"/>
  <c r="Y850" i="15"/>
  <c r="Y849" i="15"/>
  <c r="Y848" i="15"/>
  <c r="Y847" i="15"/>
  <c r="Y846" i="15"/>
  <c r="Y845" i="15"/>
  <c r="Y844" i="15"/>
  <c r="Y843" i="15"/>
  <c r="Y842" i="15"/>
  <c r="Y841" i="15"/>
  <c r="Y840" i="15"/>
  <c r="Y839" i="15"/>
  <c r="Y838" i="15"/>
  <c r="Y837" i="15"/>
  <c r="Y836" i="15"/>
  <c r="Y835" i="15"/>
  <c r="Y834" i="15"/>
  <c r="Y833" i="15"/>
  <c r="Y832" i="15"/>
  <c r="Y831" i="15"/>
  <c r="Y830" i="15"/>
  <c r="Y829" i="15"/>
  <c r="Y828" i="15"/>
  <c r="Y827" i="15"/>
  <c r="Y826" i="15"/>
  <c r="Y825" i="15"/>
  <c r="Y824" i="15"/>
  <c r="Y823" i="15"/>
  <c r="Y822" i="15"/>
  <c r="Y821" i="15"/>
  <c r="Y820" i="15"/>
  <c r="Y819" i="15"/>
  <c r="Y818" i="15"/>
  <c r="Y817" i="15"/>
  <c r="Y816" i="15"/>
  <c r="Y815" i="15"/>
  <c r="Y814" i="15"/>
  <c r="Y813" i="15"/>
  <c r="Y812" i="15"/>
  <c r="Y811" i="15"/>
  <c r="Y810" i="15"/>
  <c r="Y809" i="15"/>
  <c r="Y808" i="15"/>
  <c r="Y807" i="15"/>
  <c r="Y806" i="15"/>
  <c r="Y805" i="15"/>
  <c r="Y804" i="15"/>
  <c r="Y803" i="15"/>
  <c r="Y802" i="15"/>
  <c r="Y801" i="15"/>
  <c r="Y800" i="15"/>
  <c r="Y799" i="15"/>
  <c r="Y798" i="15"/>
  <c r="Y797" i="15"/>
  <c r="Y796" i="15"/>
  <c r="Y795" i="15"/>
  <c r="Y794" i="15"/>
  <c r="Y793" i="15"/>
  <c r="Y792" i="15"/>
  <c r="Y791" i="15"/>
  <c r="Y790" i="15"/>
  <c r="Y789" i="15"/>
  <c r="Y788" i="15"/>
  <c r="Y787" i="15"/>
  <c r="Y786" i="15"/>
  <c r="Y785" i="15"/>
  <c r="Y784" i="15"/>
  <c r="Y783" i="15"/>
  <c r="Y782" i="15"/>
  <c r="Y781" i="15"/>
  <c r="Y780" i="15"/>
  <c r="Y779" i="15"/>
  <c r="Y778" i="15"/>
  <c r="Y777" i="15"/>
  <c r="Y776" i="15"/>
  <c r="Y775" i="15"/>
  <c r="Y774" i="15"/>
  <c r="Y773" i="15"/>
  <c r="Y772" i="15"/>
  <c r="Y771" i="15"/>
  <c r="Y770" i="15"/>
  <c r="Y769" i="15"/>
  <c r="Y768" i="15"/>
  <c r="Y767" i="15"/>
  <c r="Y766" i="15"/>
  <c r="Y765" i="15"/>
  <c r="Y764" i="15"/>
  <c r="Y763" i="15"/>
  <c r="Y762" i="15"/>
  <c r="Y761" i="15"/>
  <c r="Y760" i="15"/>
  <c r="Y759" i="15"/>
  <c r="Y758" i="15"/>
  <c r="Y757" i="15"/>
  <c r="Y756" i="15"/>
  <c r="Y755" i="15"/>
  <c r="Y754" i="15"/>
  <c r="Y753" i="15"/>
  <c r="Y752" i="15"/>
  <c r="Y751" i="15"/>
  <c r="Y750" i="15"/>
  <c r="Y749" i="15"/>
  <c r="Y748" i="15"/>
  <c r="Y747" i="15"/>
  <c r="Y746" i="15"/>
  <c r="Y745" i="15"/>
  <c r="Y744" i="15"/>
  <c r="Y743" i="15"/>
  <c r="Y742" i="15"/>
  <c r="Y741" i="15"/>
  <c r="Y740" i="15"/>
  <c r="Y739" i="15"/>
  <c r="Y738" i="15"/>
  <c r="Y737" i="15"/>
  <c r="Y736" i="15"/>
  <c r="Y735" i="15"/>
  <c r="Y734" i="15"/>
  <c r="Y733" i="15"/>
  <c r="Y732" i="15"/>
  <c r="Y731" i="15"/>
  <c r="Y730" i="15"/>
  <c r="Y729" i="15"/>
  <c r="Y728" i="15"/>
  <c r="Y727" i="15"/>
  <c r="Y726" i="15"/>
  <c r="Y725" i="15"/>
  <c r="Y724" i="15"/>
  <c r="Y723" i="15"/>
  <c r="Y722" i="15"/>
  <c r="Y721" i="15"/>
  <c r="Y720" i="15"/>
  <c r="Y719" i="15"/>
  <c r="Y718" i="15"/>
  <c r="Y717" i="15"/>
  <c r="Y716" i="15"/>
  <c r="Y715" i="15"/>
  <c r="Y714" i="15"/>
  <c r="Y713" i="15"/>
  <c r="Y712" i="15"/>
  <c r="Y711" i="15"/>
  <c r="Y710" i="15"/>
  <c r="Y709" i="15"/>
  <c r="Y708" i="15"/>
  <c r="Y707" i="15"/>
  <c r="Y706" i="15"/>
  <c r="Y705" i="15"/>
  <c r="Y704" i="15"/>
  <c r="Y703" i="15"/>
  <c r="Y702" i="15"/>
  <c r="Y701" i="15"/>
  <c r="Y700" i="15"/>
  <c r="Y699" i="15"/>
  <c r="Y698" i="15"/>
  <c r="Y697" i="15"/>
  <c r="Y696" i="15"/>
  <c r="Y695" i="15"/>
  <c r="Y694" i="15"/>
  <c r="Y693" i="15"/>
  <c r="Y692" i="15"/>
  <c r="Y691" i="15"/>
  <c r="Y690" i="15"/>
  <c r="Y689" i="15"/>
  <c r="Y688" i="15"/>
  <c r="Y687" i="15"/>
  <c r="Y686" i="15"/>
  <c r="Y685" i="15"/>
  <c r="Y684" i="15"/>
  <c r="Y683" i="15"/>
  <c r="Y682" i="15"/>
  <c r="Y681" i="15"/>
  <c r="Y680" i="15"/>
  <c r="Y679" i="15"/>
  <c r="Y678" i="15"/>
  <c r="Y677" i="15"/>
  <c r="Y676" i="15"/>
  <c r="Y675" i="15"/>
  <c r="Y674" i="15"/>
  <c r="Y673" i="15"/>
  <c r="Y672" i="15"/>
  <c r="Y671" i="15"/>
  <c r="Y670" i="15"/>
  <c r="Y669" i="15"/>
  <c r="Y668" i="15"/>
  <c r="Y667" i="15"/>
  <c r="Y666" i="15"/>
  <c r="Y665" i="15"/>
  <c r="Y664" i="15"/>
  <c r="Y663" i="15"/>
  <c r="Y662" i="15"/>
  <c r="Y661" i="15"/>
  <c r="Y660" i="15"/>
  <c r="Y659" i="15"/>
  <c r="Y658" i="15"/>
  <c r="Y657" i="15"/>
  <c r="Y656" i="15"/>
  <c r="Y655" i="15"/>
  <c r="Y654" i="15"/>
  <c r="Y653" i="15"/>
  <c r="Y652" i="15"/>
  <c r="Y651" i="15"/>
  <c r="Y650" i="15"/>
  <c r="Y649" i="15"/>
  <c r="Y648" i="15"/>
  <c r="Y647" i="15"/>
  <c r="Y646" i="15"/>
  <c r="Y645" i="15"/>
  <c r="Y644" i="15"/>
  <c r="Y643" i="15"/>
  <c r="Y642" i="15"/>
  <c r="Y641" i="15"/>
  <c r="Y640" i="15"/>
  <c r="Y639" i="15"/>
  <c r="Y638" i="15"/>
  <c r="Y637" i="15"/>
  <c r="Y636" i="15"/>
  <c r="Y635" i="15"/>
  <c r="Y634" i="15"/>
  <c r="Y633" i="15"/>
  <c r="Y632" i="15"/>
  <c r="Y631" i="15"/>
  <c r="Y630" i="15"/>
  <c r="Y629" i="15"/>
  <c r="Y628" i="15"/>
  <c r="Y627" i="15"/>
  <c r="Y626" i="15"/>
  <c r="Y625" i="15"/>
  <c r="Y624" i="15"/>
  <c r="Y623" i="15"/>
  <c r="Y622" i="15"/>
  <c r="Y621" i="15"/>
  <c r="Y620" i="15"/>
  <c r="Y619" i="15"/>
  <c r="Y618" i="15"/>
  <c r="Y617" i="15"/>
  <c r="Y616" i="15"/>
  <c r="Y615" i="15"/>
  <c r="Y614" i="15"/>
  <c r="Y613" i="15"/>
  <c r="Y612" i="15"/>
  <c r="Y611" i="15"/>
  <c r="Y610" i="15"/>
  <c r="Y609" i="15"/>
  <c r="Y608" i="15"/>
  <c r="Y607" i="15"/>
  <c r="Y606" i="15"/>
  <c r="Y605" i="15"/>
  <c r="Y604" i="15"/>
  <c r="Y603" i="15"/>
  <c r="Y602" i="15"/>
  <c r="Y601" i="15"/>
  <c r="Y600" i="15"/>
  <c r="Y599" i="15"/>
  <c r="Y598" i="15"/>
  <c r="Y597" i="15"/>
  <c r="Y596" i="15"/>
  <c r="Y595" i="15"/>
  <c r="Y594" i="15"/>
  <c r="Y593" i="15"/>
  <c r="Y592" i="15"/>
  <c r="Y591" i="15"/>
  <c r="Y590" i="15"/>
  <c r="Y589" i="15"/>
  <c r="Y588" i="15"/>
  <c r="Y587" i="15"/>
  <c r="Y586" i="15"/>
  <c r="Y585" i="15"/>
  <c r="Y584" i="15"/>
  <c r="Y583" i="15"/>
  <c r="Y582" i="15"/>
  <c r="Y581" i="15"/>
  <c r="Y580" i="15"/>
  <c r="Y579" i="15"/>
  <c r="Y578" i="15"/>
  <c r="Y577" i="15"/>
  <c r="Y576" i="15"/>
  <c r="Y575" i="15"/>
  <c r="Y574" i="15"/>
  <c r="Y573" i="15"/>
  <c r="Y572" i="15"/>
  <c r="Y571" i="15"/>
  <c r="Y570" i="15"/>
  <c r="Y569" i="15"/>
  <c r="Y568" i="15"/>
  <c r="Y567" i="15"/>
  <c r="Y566" i="15"/>
  <c r="Y565" i="15"/>
  <c r="Y564" i="15"/>
  <c r="Y563" i="15"/>
  <c r="Y562" i="15"/>
  <c r="Y561" i="15"/>
  <c r="Y560" i="15"/>
  <c r="Y559" i="15"/>
  <c r="Y558" i="15"/>
  <c r="Y557" i="15"/>
  <c r="Y556" i="15"/>
  <c r="Y555" i="15"/>
  <c r="Y554" i="15"/>
  <c r="Y553" i="15"/>
  <c r="Y552" i="15"/>
  <c r="Y551" i="15"/>
  <c r="Y550" i="15"/>
  <c r="Y549" i="15"/>
  <c r="Y548" i="15"/>
  <c r="Y547" i="15"/>
  <c r="Y546" i="15"/>
  <c r="Y545" i="15"/>
  <c r="Y544" i="15"/>
  <c r="Y543" i="15"/>
  <c r="Y542" i="15"/>
  <c r="Y541" i="15"/>
  <c r="Y540" i="15"/>
  <c r="Y539" i="15"/>
  <c r="Y538" i="15"/>
  <c r="Y537" i="15"/>
  <c r="Y536" i="15"/>
  <c r="Y535" i="15"/>
  <c r="Y534" i="15"/>
  <c r="Y533" i="15"/>
  <c r="Y532" i="15"/>
  <c r="Y531" i="15"/>
  <c r="Y530" i="15"/>
  <c r="Y529" i="15"/>
  <c r="Y528" i="15"/>
  <c r="Y527" i="15"/>
  <c r="Y526" i="15"/>
  <c r="Y525" i="15"/>
  <c r="Y524" i="15"/>
  <c r="Y523" i="15"/>
  <c r="Y522" i="15"/>
  <c r="Y521" i="15"/>
  <c r="Y520" i="15"/>
  <c r="Y519" i="15"/>
  <c r="Y518" i="15"/>
  <c r="Y517" i="15"/>
  <c r="Y516" i="15"/>
  <c r="Y515" i="15"/>
  <c r="Y514" i="15"/>
  <c r="Y513" i="15"/>
  <c r="Y512" i="15"/>
  <c r="Y511" i="15"/>
  <c r="Y510" i="15"/>
  <c r="Y509" i="15"/>
  <c r="Y508" i="15"/>
  <c r="Y507" i="15"/>
  <c r="Y506" i="15"/>
  <c r="Y505" i="15"/>
  <c r="Y504" i="15"/>
  <c r="Y503" i="15"/>
  <c r="Y502" i="15"/>
  <c r="Y501" i="15"/>
  <c r="Y500" i="15"/>
  <c r="Y499" i="15"/>
  <c r="Y498" i="15"/>
  <c r="Y497" i="15"/>
  <c r="Y496" i="15"/>
  <c r="Y495" i="15"/>
  <c r="Y494" i="15"/>
  <c r="Y493" i="15"/>
  <c r="Y492" i="15"/>
  <c r="Y491" i="15"/>
  <c r="Y490" i="15"/>
  <c r="Y489" i="15"/>
  <c r="Y488" i="15"/>
  <c r="Y487" i="15"/>
  <c r="Y486" i="15"/>
  <c r="Y485" i="15"/>
  <c r="Y484" i="15"/>
  <c r="Y483" i="15"/>
  <c r="Y482" i="15"/>
  <c r="Y481" i="15"/>
  <c r="Y480" i="15"/>
  <c r="Y479" i="15"/>
  <c r="Y478" i="15"/>
  <c r="Y477" i="15"/>
  <c r="Y476" i="15"/>
  <c r="Y475" i="15"/>
  <c r="Y474" i="15"/>
  <c r="Y473" i="15"/>
  <c r="Y472" i="15"/>
  <c r="Y471" i="15"/>
  <c r="Y470" i="15"/>
  <c r="Y469" i="15"/>
  <c r="Y468" i="15"/>
  <c r="Y467" i="15"/>
  <c r="Y466" i="15"/>
  <c r="Y465" i="15"/>
  <c r="Y464" i="15"/>
  <c r="Y463" i="15"/>
  <c r="Y462" i="15"/>
  <c r="Y461" i="15"/>
  <c r="Y460" i="15"/>
  <c r="Y459" i="15"/>
  <c r="Y458" i="15"/>
  <c r="Y457" i="15"/>
  <c r="Y456" i="15"/>
  <c r="Y455" i="15"/>
  <c r="Y454" i="15"/>
  <c r="Y453" i="15"/>
  <c r="Y452" i="15"/>
  <c r="Y451" i="15"/>
  <c r="Y450" i="15"/>
  <c r="Y449" i="15"/>
  <c r="Y448" i="15"/>
  <c r="Y447" i="15"/>
  <c r="Y446" i="15"/>
  <c r="Y445" i="15"/>
  <c r="Y444" i="15"/>
  <c r="Y443" i="15"/>
  <c r="Y442" i="15"/>
  <c r="Y441" i="15"/>
  <c r="Y440" i="15"/>
  <c r="Y439" i="15"/>
  <c r="Y438" i="15"/>
  <c r="Y437" i="15"/>
  <c r="Y436" i="15"/>
  <c r="Y435" i="15"/>
  <c r="Y434" i="15"/>
  <c r="Y433" i="15"/>
  <c r="Y432" i="15"/>
  <c r="Y431" i="15"/>
  <c r="Y430" i="15"/>
  <c r="Y429" i="15"/>
  <c r="Y428" i="15"/>
  <c r="Y427" i="15"/>
  <c r="Y426" i="15"/>
  <c r="Y425" i="15"/>
  <c r="Y424" i="15"/>
  <c r="Y423" i="15"/>
  <c r="Y422" i="15"/>
  <c r="Y421" i="15"/>
  <c r="Y420" i="15"/>
  <c r="Y419" i="15"/>
  <c r="Y418" i="15"/>
  <c r="Y417" i="15"/>
  <c r="Y416" i="15"/>
  <c r="Y415" i="15"/>
  <c r="Y414" i="15"/>
  <c r="Y413" i="15"/>
  <c r="Y412" i="15"/>
  <c r="Y411" i="15"/>
  <c r="Y410" i="15"/>
  <c r="Y409" i="15"/>
  <c r="Y408" i="15"/>
  <c r="Y407" i="15"/>
  <c r="Y406" i="15"/>
  <c r="Y405" i="15"/>
  <c r="Y404" i="15"/>
  <c r="Y403" i="15"/>
  <c r="Y402" i="15"/>
  <c r="Y401" i="15"/>
  <c r="Y400" i="15"/>
  <c r="Y399" i="15"/>
  <c r="Y398" i="15"/>
  <c r="Y397" i="15"/>
  <c r="Y396" i="15"/>
  <c r="Y395" i="15"/>
  <c r="Y394" i="15"/>
  <c r="Y393" i="15"/>
  <c r="Y392" i="15"/>
  <c r="Y391" i="15"/>
  <c r="Y390" i="15"/>
  <c r="Y389" i="15"/>
  <c r="Y388" i="15"/>
  <c r="Y387" i="15"/>
  <c r="Y386" i="15"/>
  <c r="Y385" i="15"/>
  <c r="Y384" i="15"/>
  <c r="Y383" i="15"/>
  <c r="Y382" i="15"/>
  <c r="Y381" i="15"/>
  <c r="Y380" i="15"/>
  <c r="Y379" i="15"/>
  <c r="Y378" i="15"/>
  <c r="Y377" i="15"/>
  <c r="Y376" i="15"/>
  <c r="Y375" i="15"/>
  <c r="Y374" i="15"/>
  <c r="Y373" i="15"/>
  <c r="Y372" i="15"/>
  <c r="Y371" i="15"/>
  <c r="Y370" i="15"/>
  <c r="Y369" i="15"/>
  <c r="Y368" i="15"/>
  <c r="Y367" i="15"/>
  <c r="Y366" i="15"/>
  <c r="Y365" i="15"/>
  <c r="Y364" i="15"/>
  <c r="Y363" i="15"/>
  <c r="Y362" i="15"/>
  <c r="Y361" i="15"/>
  <c r="Y360" i="15"/>
  <c r="Y359" i="15"/>
  <c r="Y358" i="15"/>
  <c r="Y357" i="15"/>
  <c r="Y356" i="15"/>
  <c r="Y355" i="15"/>
  <c r="Y354" i="15"/>
  <c r="Y353" i="15"/>
  <c r="Y352" i="15"/>
  <c r="Y351" i="15"/>
  <c r="Y350" i="15"/>
  <c r="Y349" i="15"/>
  <c r="Y348" i="15"/>
  <c r="Y347" i="15"/>
  <c r="Y346" i="15"/>
  <c r="Y345" i="15"/>
  <c r="Y344" i="15"/>
  <c r="Y343" i="15"/>
  <c r="Y342" i="15"/>
  <c r="Y341" i="15"/>
  <c r="Y340" i="15"/>
  <c r="Y339" i="15"/>
  <c r="Y338" i="15"/>
  <c r="Y337" i="15"/>
  <c r="Y336" i="15"/>
  <c r="Y335" i="15"/>
  <c r="Y334" i="15"/>
  <c r="Y333" i="15"/>
  <c r="Y332" i="15"/>
  <c r="Y331" i="15"/>
  <c r="Y330" i="15"/>
  <c r="Y329" i="15"/>
  <c r="Y328" i="15"/>
  <c r="Y327" i="15"/>
  <c r="Y326" i="15"/>
  <c r="Y325" i="15"/>
  <c r="Y324" i="15"/>
  <c r="Y323" i="15"/>
  <c r="Y322" i="15"/>
  <c r="Y321" i="15"/>
  <c r="Y320" i="15"/>
  <c r="Y319" i="15"/>
  <c r="Y318" i="15"/>
  <c r="Y317" i="15"/>
  <c r="Y316" i="15"/>
  <c r="Y315" i="15"/>
  <c r="Y314" i="15"/>
  <c r="Y313" i="15"/>
  <c r="Y312" i="15"/>
  <c r="Y311" i="15"/>
  <c r="Y310" i="15"/>
  <c r="Y309" i="15"/>
  <c r="Y308" i="15"/>
  <c r="Y307" i="15"/>
  <c r="Y306" i="15"/>
  <c r="Y305" i="15"/>
  <c r="Y304" i="15"/>
  <c r="Y303" i="15"/>
  <c r="Y302" i="15"/>
  <c r="Y301" i="15"/>
  <c r="Y300" i="15"/>
  <c r="Y299" i="15"/>
  <c r="Y298" i="15"/>
  <c r="Y297" i="15"/>
  <c r="Y296" i="15"/>
  <c r="Y295" i="15"/>
  <c r="Y294" i="15"/>
  <c r="Y293" i="15"/>
  <c r="Y292" i="15"/>
  <c r="Y291" i="15"/>
  <c r="Y290" i="15"/>
  <c r="Y289" i="15"/>
  <c r="Y288" i="15"/>
  <c r="Y287" i="15"/>
  <c r="Y286" i="15"/>
  <c r="Y285" i="15"/>
  <c r="Y284" i="15"/>
  <c r="Y283" i="15"/>
  <c r="Y282" i="15"/>
  <c r="Y281" i="15"/>
  <c r="Y280" i="15"/>
  <c r="Y279" i="15"/>
  <c r="Y278" i="15"/>
  <c r="Y277" i="15"/>
  <c r="Y276" i="15"/>
  <c r="Y275" i="15"/>
  <c r="Y274" i="15"/>
  <c r="Y273" i="15"/>
  <c r="Y272" i="15"/>
  <c r="Y271" i="15"/>
  <c r="Y270" i="15"/>
  <c r="Y269" i="15"/>
  <c r="Y268" i="15"/>
  <c r="Y267" i="15"/>
  <c r="Y266" i="15"/>
  <c r="Y265" i="15"/>
  <c r="Y264" i="15"/>
  <c r="Y263" i="15"/>
  <c r="Y262" i="15"/>
  <c r="Y261" i="15"/>
  <c r="Y260" i="15"/>
  <c r="Y259" i="15"/>
  <c r="Y258" i="15"/>
  <c r="Y257" i="15"/>
  <c r="Y256" i="15"/>
  <c r="Y255" i="15"/>
  <c r="Y254" i="15"/>
  <c r="Y253" i="15"/>
  <c r="Y252" i="15"/>
  <c r="Y251" i="15"/>
  <c r="Y250" i="15"/>
  <c r="Y249" i="15"/>
  <c r="Y248" i="15"/>
  <c r="Y247" i="15"/>
  <c r="Y246" i="15"/>
  <c r="Y245" i="15"/>
  <c r="Y244" i="15"/>
  <c r="Y243" i="15"/>
  <c r="Y242" i="15"/>
  <c r="Y241" i="15"/>
  <c r="Y240" i="15"/>
  <c r="Y239" i="15"/>
  <c r="Y238" i="15"/>
  <c r="Y237" i="15"/>
  <c r="Y236" i="15"/>
  <c r="Y235" i="15"/>
  <c r="Y234" i="15"/>
  <c r="Y233" i="15"/>
  <c r="Y232" i="15"/>
  <c r="Y231" i="15"/>
  <c r="Y230" i="15"/>
  <c r="Y229" i="15"/>
  <c r="Y228" i="15"/>
  <c r="Y227" i="15"/>
  <c r="Y226" i="15"/>
  <c r="Y225" i="15"/>
  <c r="Y224" i="15"/>
  <c r="Y223" i="15"/>
  <c r="Y222" i="15"/>
  <c r="Y221" i="15"/>
  <c r="Y220" i="15"/>
  <c r="Y219" i="15"/>
  <c r="Y218" i="15"/>
  <c r="Y217" i="15"/>
  <c r="Y216" i="15"/>
  <c r="Y215" i="15"/>
  <c r="Y214" i="15"/>
  <c r="Y213" i="15"/>
  <c r="Y212" i="15"/>
  <c r="Y211" i="15"/>
  <c r="Y210" i="15"/>
  <c r="Y209" i="15"/>
  <c r="Y208" i="15"/>
  <c r="Y207" i="15"/>
  <c r="Y206" i="15"/>
  <c r="Y205" i="15"/>
  <c r="Y204" i="15"/>
  <c r="Y203" i="15"/>
  <c r="Y202" i="15"/>
  <c r="Y201" i="15"/>
  <c r="Y200" i="15"/>
  <c r="Y199" i="15"/>
  <c r="Y198" i="15"/>
  <c r="Y197" i="15"/>
  <c r="Y196" i="15"/>
  <c r="Y195" i="15"/>
  <c r="Y194" i="15"/>
  <c r="Y193" i="15"/>
  <c r="Y192" i="15"/>
  <c r="Y191" i="15"/>
  <c r="Y190" i="15"/>
  <c r="Y189" i="15"/>
  <c r="Y188" i="15"/>
  <c r="Y187" i="15"/>
  <c r="Y186" i="15"/>
  <c r="Y185" i="15"/>
  <c r="Y184" i="15"/>
  <c r="Y183" i="15"/>
  <c r="Y182" i="15"/>
  <c r="Y181" i="15"/>
  <c r="Y180" i="15"/>
  <c r="Y179" i="15"/>
  <c r="Y178" i="15"/>
  <c r="Y177" i="15"/>
  <c r="Y176" i="15"/>
  <c r="Y175" i="15"/>
  <c r="Y174" i="15"/>
  <c r="Y173" i="15"/>
  <c r="Y172" i="15"/>
  <c r="Y171" i="15"/>
  <c r="Y170" i="15"/>
  <c r="Y169" i="15"/>
  <c r="Y168" i="15"/>
  <c r="Y167" i="15"/>
  <c r="Y166" i="15"/>
  <c r="Y165" i="15"/>
  <c r="Y164" i="15"/>
  <c r="Y163" i="15"/>
  <c r="Y162" i="15"/>
  <c r="Y161" i="15"/>
  <c r="Y160" i="15"/>
  <c r="Y159" i="15"/>
  <c r="Y158" i="15"/>
  <c r="Y157" i="15"/>
  <c r="Y156" i="15"/>
  <c r="Y155" i="15"/>
  <c r="Y154" i="15"/>
  <c r="Y153" i="15"/>
  <c r="Y152" i="15"/>
  <c r="Y151" i="15"/>
  <c r="Y150" i="15"/>
  <c r="Y149" i="15"/>
  <c r="Y148" i="15"/>
  <c r="Y147" i="15"/>
  <c r="Y146" i="15"/>
  <c r="Y145" i="15"/>
  <c r="Y144" i="15"/>
  <c r="Y143" i="15"/>
  <c r="Y142" i="15"/>
  <c r="Y141" i="15"/>
  <c r="Y140" i="15"/>
  <c r="Y139" i="15"/>
  <c r="Y138" i="15"/>
  <c r="Y137" i="15"/>
  <c r="Y136" i="15"/>
  <c r="Y135" i="15"/>
  <c r="Y134" i="15"/>
  <c r="Y133" i="15"/>
  <c r="Y132" i="15"/>
  <c r="Y131" i="15"/>
  <c r="Y130" i="15"/>
  <c r="Y129" i="15"/>
  <c r="Y128" i="15"/>
  <c r="Y127" i="15"/>
  <c r="Y126" i="15"/>
  <c r="Y125" i="15"/>
  <c r="Y124" i="15"/>
  <c r="Y123" i="15"/>
  <c r="Y122" i="15"/>
  <c r="Y121" i="15"/>
  <c r="Y120" i="15"/>
  <c r="Y119" i="15"/>
  <c r="Y118" i="15"/>
  <c r="Y117" i="15"/>
  <c r="Y116" i="15"/>
  <c r="Y115" i="15"/>
  <c r="Y114" i="15"/>
  <c r="Y113" i="15"/>
  <c r="Y112" i="15"/>
  <c r="Y111" i="15"/>
  <c r="Y110" i="15"/>
  <c r="Y109" i="15"/>
  <c r="Y108" i="15"/>
  <c r="Y107" i="15"/>
  <c r="Y106" i="15"/>
  <c r="Y105" i="15"/>
  <c r="Y104" i="15"/>
  <c r="Y103" i="15"/>
  <c r="Y102" i="15"/>
  <c r="Y101" i="15"/>
  <c r="Y100" i="15"/>
  <c r="Y99" i="15"/>
  <c r="Y98" i="15"/>
  <c r="Y97" i="15"/>
  <c r="Y96" i="15"/>
  <c r="Y95" i="15"/>
  <c r="Y94" i="15"/>
  <c r="Y93" i="15"/>
  <c r="Y92" i="15"/>
  <c r="Y91" i="15"/>
  <c r="Y90" i="15"/>
  <c r="Y89" i="15"/>
  <c r="Y88" i="15"/>
  <c r="Y87" i="15"/>
  <c r="Y86" i="15"/>
  <c r="Y85" i="15"/>
  <c r="Y84" i="15"/>
  <c r="Y83" i="15"/>
  <c r="Y82" i="15"/>
  <c r="Y81" i="15"/>
  <c r="Y80" i="15"/>
  <c r="Y79" i="15"/>
  <c r="Y78" i="15"/>
  <c r="Y77" i="15"/>
  <c r="Y76" i="15"/>
  <c r="Y75" i="15"/>
  <c r="Y74" i="15"/>
  <c r="Y73" i="15"/>
  <c r="Y72" i="15"/>
  <c r="Y71" i="15"/>
  <c r="Y70" i="15"/>
  <c r="Y69" i="15"/>
  <c r="Y68" i="15"/>
  <c r="Y67" i="15"/>
  <c r="Y66" i="15"/>
  <c r="Y65" i="15"/>
  <c r="Y64" i="15"/>
  <c r="Y63" i="15"/>
  <c r="Y62" i="15"/>
  <c r="Y61" i="15"/>
  <c r="Y60" i="15"/>
  <c r="Y59" i="15"/>
  <c r="Y58" i="15"/>
  <c r="Y57" i="15"/>
  <c r="Y56" i="15"/>
  <c r="Y55" i="15"/>
  <c r="Y54" i="15"/>
  <c r="Y53" i="15"/>
  <c r="Y52" i="15"/>
  <c r="Y51" i="15"/>
  <c r="Y50" i="15"/>
  <c r="Y49" i="15"/>
  <c r="Y48" i="15"/>
  <c r="Y47" i="15"/>
  <c r="Y46" i="15"/>
  <c r="Y45" i="15"/>
  <c r="Y44" i="15"/>
  <c r="Y43" i="15"/>
  <c r="Y42" i="15"/>
  <c r="Y41" i="15"/>
  <c r="Y40" i="15"/>
  <c r="Y39" i="15"/>
  <c r="Y38" i="15"/>
  <c r="Y37" i="15"/>
  <c r="Y36" i="15"/>
  <c r="Y35" i="15"/>
  <c r="Y34" i="15"/>
  <c r="Y33" i="15"/>
  <c r="Y32" i="15"/>
  <c r="Y31" i="15"/>
  <c r="Y30" i="15"/>
  <c r="Y29" i="15"/>
  <c r="Y28" i="15"/>
  <c r="Y27" i="15"/>
  <c r="Y26" i="15"/>
  <c r="Y25" i="15"/>
  <c r="Y24" i="15"/>
  <c r="Y23" i="15"/>
  <c r="Y22" i="15"/>
  <c r="Y21" i="15"/>
  <c r="Y20" i="15"/>
  <c r="Y19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" i="15"/>
  <c r="Y1" i="15"/>
  <c r="U1" i="15"/>
  <c r="T1" i="15"/>
  <c r="S1" i="15"/>
  <c r="R1" i="15"/>
  <c r="Q1" i="15"/>
  <c r="P1" i="15"/>
  <c r="O1" i="15"/>
  <c r="N1" i="15"/>
  <c r="M1" i="15"/>
  <c r="L1" i="15"/>
  <c r="K1" i="15"/>
  <c r="J1" i="15"/>
  <c r="U889" i="15" l="1"/>
  <c r="U888" i="15"/>
  <c r="U887" i="15"/>
  <c r="U886" i="15"/>
  <c r="U885" i="15"/>
  <c r="U884" i="15"/>
  <c r="U883" i="15"/>
  <c r="U882" i="15"/>
  <c r="U881" i="15"/>
  <c r="U880" i="15"/>
  <c r="U879" i="15"/>
  <c r="U878" i="15"/>
  <c r="U877" i="15"/>
  <c r="U876" i="15"/>
  <c r="U875" i="15"/>
  <c r="U874" i="15"/>
  <c r="U873" i="15"/>
  <c r="U872" i="15"/>
  <c r="U871" i="15"/>
  <c r="U870" i="15"/>
  <c r="U869" i="15"/>
  <c r="U868" i="15"/>
  <c r="U867" i="15"/>
  <c r="U866" i="15"/>
  <c r="U865" i="15"/>
  <c r="U864" i="15"/>
  <c r="U863" i="15"/>
  <c r="U862" i="15"/>
  <c r="U861" i="15"/>
  <c r="U860" i="15"/>
  <c r="U859" i="15"/>
  <c r="U858" i="15"/>
  <c r="U857" i="15"/>
  <c r="U856" i="15"/>
  <c r="U855" i="15"/>
  <c r="U854" i="15"/>
  <c r="U853" i="15"/>
  <c r="U852" i="15"/>
  <c r="U851" i="15"/>
  <c r="U850" i="15"/>
  <c r="U849" i="15"/>
  <c r="U848" i="15"/>
  <c r="U847" i="15"/>
  <c r="U846" i="15"/>
  <c r="U845" i="15"/>
  <c r="U844" i="15"/>
  <c r="U843" i="15"/>
  <c r="U842" i="15"/>
  <c r="U841" i="15"/>
  <c r="U840" i="15"/>
  <c r="U839" i="15"/>
  <c r="U838" i="15"/>
  <c r="U837" i="15"/>
  <c r="U836" i="15"/>
  <c r="U835" i="15"/>
  <c r="U834" i="15"/>
  <c r="U833" i="15"/>
  <c r="U832" i="15"/>
  <c r="U831" i="15"/>
  <c r="U830" i="15"/>
  <c r="U829" i="15"/>
  <c r="U828" i="15"/>
  <c r="U827" i="15"/>
  <c r="U826" i="15"/>
  <c r="U825" i="15"/>
  <c r="U824" i="15"/>
  <c r="U823" i="15"/>
  <c r="U822" i="15"/>
  <c r="U821" i="15"/>
  <c r="U820" i="15"/>
  <c r="U819" i="15"/>
  <c r="U818" i="15"/>
  <c r="U817" i="15"/>
  <c r="U816" i="15"/>
  <c r="U815" i="15"/>
  <c r="U814" i="15"/>
  <c r="U813" i="15"/>
  <c r="U812" i="15"/>
  <c r="U811" i="15"/>
  <c r="U810" i="15"/>
  <c r="U809" i="15"/>
  <c r="U808" i="15"/>
  <c r="U807" i="15"/>
  <c r="U806" i="15"/>
  <c r="U805" i="15"/>
  <c r="U804" i="15"/>
  <c r="U803" i="15"/>
  <c r="U802" i="15"/>
  <c r="U801" i="15"/>
  <c r="U800" i="15"/>
  <c r="U799" i="15"/>
  <c r="U798" i="15"/>
  <c r="U797" i="15"/>
  <c r="U796" i="15"/>
  <c r="U795" i="15"/>
  <c r="U794" i="15"/>
  <c r="U793" i="15"/>
  <c r="U792" i="15"/>
  <c r="U791" i="15"/>
  <c r="U790" i="15"/>
  <c r="U789" i="15"/>
  <c r="U788" i="15"/>
  <c r="U787" i="15"/>
  <c r="U786" i="15"/>
  <c r="U785" i="15"/>
  <c r="U784" i="15"/>
  <c r="U783" i="15"/>
  <c r="U782" i="15"/>
  <c r="U781" i="15"/>
  <c r="U780" i="15"/>
  <c r="U779" i="15"/>
  <c r="U778" i="15"/>
  <c r="U777" i="15"/>
  <c r="U776" i="15"/>
  <c r="U775" i="15"/>
  <c r="U774" i="15"/>
  <c r="U773" i="15"/>
  <c r="U772" i="15"/>
  <c r="U771" i="15"/>
  <c r="U770" i="15"/>
  <c r="U769" i="15"/>
  <c r="U768" i="15"/>
  <c r="U767" i="15"/>
  <c r="U766" i="15"/>
  <c r="U765" i="15"/>
  <c r="U764" i="15"/>
  <c r="U763" i="15"/>
  <c r="U762" i="15"/>
  <c r="U761" i="15"/>
  <c r="U760" i="15"/>
  <c r="U759" i="15"/>
  <c r="U758" i="15"/>
  <c r="U757" i="15"/>
  <c r="U756" i="15"/>
  <c r="U755" i="15"/>
  <c r="U754" i="15"/>
  <c r="U753" i="15"/>
  <c r="U752" i="15"/>
  <c r="U751" i="15"/>
  <c r="U750" i="15"/>
  <c r="U749" i="15"/>
  <c r="U748" i="15"/>
  <c r="U747" i="15"/>
  <c r="U746" i="15"/>
  <c r="U745" i="15"/>
  <c r="U744" i="15"/>
  <c r="U743" i="15"/>
  <c r="U742" i="15"/>
  <c r="U741" i="15"/>
  <c r="U740" i="15"/>
  <c r="U739" i="15"/>
  <c r="U738" i="15"/>
  <c r="U737" i="15"/>
  <c r="U736" i="15"/>
  <c r="U735" i="15"/>
  <c r="U734" i="15"/>
  <c r="U733" i="15"/>
  <c r="U732" i="15"/>
  <c r="U731" i="15"/>
  <c r="U730" i="15"/>
  <c r="U729" i="15"/>
  <c r="U728" i="15"/>
  <c r="U727" i="15"/>
  <c r="U726" i="15"/>
  <c r="U725" i="15"/>
  <c r="U724" i="15"/>
  <c r="U723" i="15"/>
  <c r="U722" i="15"/>
  <c r="U721" i="15"/>
  <c r="U720" i="15"/>
  <c r="U719" i="15"/>
  <c r="U718" i="15"/>
  <c r="U717" i="15"/>
  <c r="U716" i="15"/>
  <c r="U715" i="15"/>
  <c r="U714" i="15"/>
  <c r="U713" i="15"/>
  <c r="U712" i="15"/>
  <c r="U711" i="15"/>
  <c r="U710" i="15"/>
  <c r="U709" i="15"/>
  <c r="U708" i="15"/>
  <c r="U707" i="15"/>
  <c r="U706" i="15"/>
  <c r="U705" i="15"/>
  <c r="U704" i="15"/>
  <c r="U703" i="15"/>
  <c r="U702" i="15"/>
  <c r="U701" i="15"/>
  <c r="U700" i="15"/>
  <c r="U699" i="15"/>
  <c r="U698" i="15"/>
  <c r="U697" i="15"/>
  <c r="U696" i="15"/>
  <c r="U695" i="15"/>
  <c r="U694" i="15"/>
  <c r="U693" i="15"/>
  <c r="U692" i="15"/>
  <c r="U691" i="15"/>
  <c r="U690" i="15"/>
  <c r="U689" i="15"/>
  <c r="U688" i="15"/>
  <c r="U687" i="15"/>
  <c r="U686" i="15"/>
  <c r="U685" i="15"/>
  <c r="U684" i="15"/>
  <c r="U683" i="15"/>
  <c r="U682" i="15"/>
  <c r="U681" i="15"/>
  <c r="U680" i="15"/>
  <c r="U679" i="15"/>
  <c r="U678" i="15"/>
  <c r="U677" i="15"/>
  <c r="U676" i="15"/>
  <c r="U675" i="15"/>
  <c r="U674" i="15"/>
  <c r="U673" i="15"/>
  <c r="U672" i="15"/>
  <c r="U671" i="15"/>
  <c r="U670" i="15"/>
  <c r="U669" i="15"/>
  <c r="U668" i="15"/>
  <c r="U667" i="15"/>
  <c r="U666" i="15"/>
  <c r="U665" i="15"/>
  <c r="U664" i="15"/>
  <c r="U663" i="15"/>
  <c r="U662" i="15"/>
  <c r="U661" i="15"/>
  <c r="U660" i="15"/>
  <c r="U659" i="15"/>
  <c r="U658" i="15"/>
  <c r="U657" i="15"/>
  <c r="U656" i="15"/>
  <c r="U655" i="15"/>
  <c r="U654" i="15"/>
  <c r="U653" i="15"/>
  <c r="U652" i="15"/>
  <c r="U651" i="15"/>
  <c r="U650" i="15"/>
  <c r="U649" i="15"/>
  <c r="U648" i="15"/>
  <c r="U647" i="15"/>
  <c r="U646" i="15"/>
  <c r="U645" i="15"/>
  <c r="U644" i="15"/>
  <c r="U643" i="15"/>
  <c r="U642" i="15"/>
  <c r="U641" i="15"/>
  <c r="U640" i="15"/>
  <c r="U639" i="15"/>
  <c r="U638" i="15"/>
  <c r="U637" i="15"/>
  <c r="U636" i="15"/>
  <c r="U635" i="15"/>
  <c r="U634" i="15"/>
  <c r="U633" i="15"/>
  <c r="U632" i="15"/>
  <c r="U631" i="15"/>
  <c r="U630" i="15"/>
  <c r="U629" i="15"/>
  <c r="U628" i="15"/>
  <c r="U627" i="15"/>
  <c r="U626" i="15"/>
  <c r="U625" i="15"/>
  <c r="U624" i="15"/>
  <c r="U623" i="15"/>
  <c r="U622" i="15"/>
  <c r="U621" i="15"/>
  <c r="U620" i="15"/>
  <c r="U619" i="15"/>
  <c r="U618" i="15"/>
  <c r="U617" i="15"/>
  <c r="U616" i="15"/>
  <c r="U615" i="15"/>
  <c r="U614" i="15"/>
  <c r="U613" i="15"/>
  <c r="U612" i="15"/>
  <c r="U611" i="15"/>
  <c r="U610" i="15"/>
  <c r="U609" i="15"/>
  <c r="U608" i="15"/>
  <c r="U607" i="15"/>
  <c r="U606" i="15"/>
  <c r="U605" i="15"/>
  <c r="U604" i="15"/>
  <c r="U603" i="15"/>
  <c r="U602" i="15"/>
  <c r="U601" i="15"/>
  <c r="U600" i="15"/>
  <c r="U599" i="15"/>
  <c r="U598" i="15"/>
  <c r="U597" i="15"/>
  <c r="U596" i="15"/>
  <c r="U595" i="15"/>
  <c r="U594" i="15"/>
  <c r="U593" i="15"/>
  <c r="U592" i="15"/>
  <c r="U591" i="15"/>
  <c r="U590" i="15"/>
  <c r="U589" i="15"/>
  <c r="U588" i="15"/>
  <c r="U587" i="15"/>
  <c r="U586" i="15"/>
  <c r="U585" i="15"/>
  <c r="U584" i="15"/>
  <c r="U583" i="15"/>
  <c r="U582" i="15"/>
  <c r="U581" i="15"/>
  <c r="U580" i="15"/>
  <c r="U579" i="15"/>
  <c r="U578" i="15"/>
  <c r="U577" i="15"/>
  <c r="U576" i="15"/>
  <c r="U575" i="15"/>
  <c r="U574" i="15"/>
  <c r="U573" i="15"/>
  <c r="U572" i="15"/>
  <c r="U571" i="15"/>
  <c r="U570" i="15"/>
  <c r="U569" i="15"/>
  <c r="U568" i="15"/>
  <c r="U567" i="15"/>
  <c r="U566" i="15"/>
  <c r="U565" i="15"/>
  <c r="U564" i="15"/>
  <c r="U563" i="15"/>
  <c r="U562" i="15"/>
  <c r="U561" i="15"/>
  <c r="U560" i="15"/>
  <c r="U559" i="15"/>
  <c r="U558" i="15"/>
  <c r="U557" i="15"/>
  <c r="U556" i="15"/>
  <c r="U555" i="15"/>
  <c r="U554" i="15"/>
  <c r="U553" i="15"/>
  <c r="U552" i="15"/>
  <c r="U551" i="15"/>
  <c r="U550" i="15"/>
  <c r="U549" i="15"/>
  <c r="U548" i="15"/>
  <c r="U547" i="15"/>
  <c r="U546" i="15"/>
  <c r="U545" i="15"/>
  <c r="U544" i="15"/>
  <c r="U543" i="15"/>
  <c r="U542" i="15"/>
  <c r="U541" i="15"/>
  <c r="U540" i="15"/>
  <c r="U539" i="15"/>
  <c r="U538" i="15"/>
  <c r="U537" i="15"/>
  <c r="U536" i="15"/>
  <c r="U535" i="15"/>
  <c r="U534" i="15"/>
  <c r="U533" i="15"/>
  <c r="U532" i="15"/>
  <c r="U531" i="15"/>
  <c r="U530" i="15"/>
  <c r="U529" i="15"/>
  <c r="U528" i="15"/>
  <c r="U527" i="15"/>
  <c r="U526" i="15"/>
  <c r="U525" i="15"/>
  <c r="U524" i="15"/>
  <c r="U523" i="15"/>
  <c r="U522" i="15"/>
  <c r="U521" i="15"/>
  <c r="U520" i="15"/>
  <c r="U519" i="15"/>
  <c r="U518" i="15"/>
  <c r="U517" i="15"/>
  <c r="U516" i="15"/>
  <c r="U515" i="15"/>
  <c r="U514" i="15"/>
  <c r="U513" i="15"/>
  <c r="U512" i="15"/>
  <c r="U511" i="15"/>
  <c r="U510" i="15"/>
  <c r="U509" i="15"/>
  <c r="U508" i="15"/>
  <c r="U507" i="15"/>
  <c r="U506" i="15"/>
  <c r="U505" i="15"/>
  <c r="U504" i="15"/>
  <c r="U503" i="15"/>
  <c r="U502" i="15"/>
  <c r="U501" i="15"/>
  <c r="U500" i="15"/>
  <c r="U499" i="15"/>
  <c r="U498" i="15"/>
  <c r="U497" i="15"/>
  <c r="U496" i="15"/>
  <c r="U495" i="15"/>
  <c r="U494" i="15"/>
  <c r="U493" i="15"/>
  <c r="U492" i="15"/>
  <c r="U491" i="15"/>
  <c r="U490" i="15"/>
  <c r="U489" i="15"/>
  <c r="U488" i="15"/>
  <c r="U487" i="15"/>
  <c r="U486" i="15"/>
  <c r="U485" i="15"/>
  <c r="U484" i="15"/>
  <c r="U483" i="15"/>
  <c r="U482" i="15"/>
  <c r="U481" i="15"/>
  <c r="U480" i="15"/>
  <c r="U479" i="15"/>
  <c r="U478" i="15"/>
  <c r="U477" i="15"/>
  <c r="U476" i="15"/>
  <c r="U475" i="15"/>
  <c r="U474" i="15"/>
  <c r="U473" i="15"/>
  <c r="U472" i="15"/>
  <c r="U471" i="15"/>
  <c r="U470" i="15"/>
  <c r="U469" i="15"/>
  <c r="U468" i="15"/>
  <c r="U467" i="15"/>
  <c r="U466" i="15"/>
  <c r="U465" i="15"/>
  <c r="U464" i="15"/>
  <c r="U463" i="15"/>
  <c r="U462" i="15"/>
  <c r="U461" i="15"/>
  <c r="U460" i="15"/>
  <c r="U459" i="15"/>
  <c r="U458" i="15"/>
  <c r="U457" i="15"/>
  <c r="U456" i="15"/>
  <c r="U455" i="15"/>
  <c r="U454" i="15"/>
  <c r="U453" i="15"/>
  <c r="U452" i="15"/>
  <c r="U451" i="15"/>
  <c r="U450" i="15"/>
  <c r="U449" i="15"/>
  <c r="U448" i="15"/>
  <c r="U447" i="15"/>
  <c r="U446" i="15"/>
  <c r="U445" i="15"/>
  <c r="U444" i="15"/>
  <c r="U443" i="15"/>
  <c r="U442" i="15"/>
  <c r="U441" i="15"/>
  <c r="U440" i="15"/>
  <c r="U439" i="15"/>
  <c r="U438" i="15"/>
  <c r="U437" i="15"/>
  <c r="U436" i="15"/>
  <c r="U435" i="15"/>
  <c r="U434" i="15"/>
  <c r="U433" i="15"/>
  <c r="U432" i="15"/>
  <c r="U431" i="15"/>
  <c r="U430" i="15"/>
  <c r="U429" i="15"/>
  <c r="U428" i="15"/>
  <c r="U427" i="15"/>
  <c r="U426" i="15"/>
  <c r="U425" i="15"/>
  <c r="U424" i="15"/>
  <c r="U423" i="15"/>
  <c r="U422" i="15"/>
  <c r="U421" i="15"/>
  <c r="U420" i="15"/>
  <c r="U419" i="15"/>
  <c r="U418" i="15"/>
  <c r="U417" i="15"/>
  <c r="U416" i="15"/>
  <c r="U415" i="15"/>
  <c r="U414" i="15"/>
  <c r="U413" i="15"/>
  <c r="U412" i="15"/>
  <c r="U411" i="15"/>
  <c r="U410" i="15"/>
  <c r="U409" i="15"/>
  <c r="U408" i="15"/>
  <c r="U407" i="15"/>
  <c r="U406" i="15"/>
  <c r="U405" i="15"/>
  <c r="U404" i="15"/>
  <c r="U403" i="15"/>
  <c r="U402" i="15"/>
  <c r="U401" i="15"/>
  <c r="U400" i="15"/>
  <c r="U399" i="15"/>
  <c r="U398" i="15"/>
  <c r="U397" i="15"/>
  <c r="U396" i="15"/>
  <c r="U395" i="15"/>
  <c r="U394" i="15"/>
  <c r="U393" i="15"/>
  <c r="U392" i="15"/>
  <c r="U391" i="15"/>
  <c r="U390" i="15"/>
  <c r="U389" i="15"/>
  <c r="U388" i="15"/>
  <c r="U387" i="15"/>
  <c r="U386" i="15"/>
  <c r="U385" i="15"/>
  <c r="U384" i="15"/>
  <c r="U383" i="15"/>
  <c r="U382" i="15"/>
  <c r="U381" i="15"/>
  <c r="U380" i="15"/>
  <c r="U379" i="15"/>
  <c r="U378" i="15"/>
  <c r="U377" i="15"/>
  <c r="U376" i="15"/>
  <c r="U375" i="15"/>
  <c r="U374" i="15"/>
  <c r="U373" i="15"/>
  <c r="U372" i="15"/>
  <c r="U371" i="15"/>
  <c r="U370" i="15"/>
  <c r="U369" i="15"/>
  <c r="U368" i="15"/>
  <c r="U367" i="15"/>
  <c r="U366" i="15"/>
  <c r="U365" i="15"/>
  <c r="U364" i="15"/>
  <c r="U363" i="15"/>
  <c r="U362" i="15"/>
  <c r="U361" i="15"/>
  <c r="U360" i="15"/>
  <c r="U359" i="15"/>
  <c r="U358" i="15"/>
  <c r="U357" i="15"/>
  <c r="U356" i="15"/>
  <c r="U355" i="15"/>
  <c r="U354" i="15"/>
  <c r="U353" i="15"/>
  <c r="U352" i="15"/>
  <c r="U351" i="15"/>
  <c r="U350" i="15"/>
  <c r="U349" i="15"/>
  <c r="U348" i="15"/>
  <c r="U347" i="15"/>
  <c r="U346" i="15"/>
  <c r="U345" i="15"/>
  <c r="U344" i="15"/>
  <c r="U343" i="15"/>
  <c r="U342" i="15"/>
  <c r="U341" i="15"/>
  <c r="U340" i="15"/>
  <c r="U339" i="15"/>
  <c r="U338" i="15"/>
  <c r="U337" i="15"/>
  <c r="U336" i="15"/>
  <c r="U335" i="15"/>
  <c r="U334" i="15"/>
  <c r="U333" i="15"/>
  <c r="U332" i="15"/>
  <c r="U331" i="15"/>
  <c r="U330" i="15"/>
  <c r="U329" i="15"/>
  <c r="U328" i="15"/>
  <c r="U327" i="15"/>
  <c r="U326" i="15"/>
  <c r="U325" i="15"/>
  <c r="U324" i="15"/>
  <c r="U323" i="15"/>
  <c r="U322" i="15"/>
  <c r="U321" i="15"/>
  <c r="U320" i="15"/>
  <c r="U319" i="15"/>
  <c r="U318" i="15"/>
  <c r="U317" i="15"/>
  <c r="U316" i="15"/>
  <c r="U315" i="15"/>
  <c r="U314" i="15"/>
  <c r="U313" i="15"/>
  <c r="U312" i="15"/>
  <c r="U311" i="15"/>
  <c r="U310" i="15"/>
  <c r="U309" i="15"/>
  <c r="U308" i="15"/>
  <c r="U307" i="15"/>
  <c r="U306" i="15"/>
  <c r="U305" i="15"/>
  <c r="U304" i="15"/>
  <c r="U303" i="15"/>
  <c r="U302" i="15"/>
  <c r="U301" i="15"/>
  <c r="U300" i="15"/>
  <c r="U299" i="15"/>
  <c r="U298" i="15"/>
  <c r="U297" i="15"/>
  <c r="U296" i="15"/>
  <c r="U295" i="15"/>
  <c r="U294" i="15"/>
  <c r="U293" i="15"/>
  <c r="U292" i="15"/>
  <c r="U291" i="15"/>
  <c r="U290" i="15"/>
  <c r="U289" i="15"/>
  <c r="U288" i="15"/>
  <c r="U287" i="15"/>
  <c r="U286" i="15"/>
  <c r="U285" i="15"/>
  <c r="U284" i="15"/>
  <c r="U283" i="15"/>
  <c r="U282" i="15"/>
  <c r="U281" i="15"/>
  <c r="U280" i="15"/>
  <c r="U279" i="15"/>
  <c r="U278" i="15"/>
  <c r="U277" i="15"/>
  <c r="U276" i="15"/>
  <c r="U275" i="15"/>
  <c r="U274" i="15"/>
  <c r="U273" i="15"/>
  <c r="U272" i="15"/>
  <c r="U271" i="15"/>
  <c r="U270" i="15"/>
  <c r="U269" i="15"/>
  <c r="U268" i="15"/>
  <c r="U267" i="15"/>
  <c r="U266" i="15"/>
  <c r="U265" i="15"/>
  <c r="U264" i="15"/>
  <c r="U263" i="15"/>
  <c r="U262" i="15"/>
  <c r="U261" i="15"/>
  <c r="U260" i="15"/>
  <c r="U259" i="15"/>
  <c r="U258" i="15"/>
  <c r="U257" i="15"/>
  <c r="U256" i="15"/>
  <c r="U255" i="15"/>
  <c r="U254" i="15"/>
  <c r="U253" i="15"/>
  <c r="U252" i="15"/>
  <c r="U251" i="15"/>
  <c r="U250" i="15"/>
  <c r="U249" i="15"/>
  <c r="U248" i="15"/>
  <c r="U247" i="15"/>
  <c r="U246" i="15"/>
  <c r="U245" i="15"/>
  <c r="U244" i="15"/>
  <c r="U243" i="15"/>
  <c r="U242" i="15"/>
  <c r="U241" i="15"/>
  <c r="U240" i="15"/>
  <c r="U239" i="15"/>
  <c r="U238" i="15"/>
  <c r="U237" i="15"/>
  <c r="U236" i="15"/>
  <c r="U235" i="15"/>
  <c r="U234" i="15"/>
  <c r="U233" i="15"/>
  <c r="U232" i="15"/>
  <c r="U231" i="15"/>
  <c r="U230" i="15"/>
  <c r="U229" i="15"/>
  <c r="U228" i="15"/>
  <c r="U227" i="15"/>
  <c r="U226" i="15"/>
  <c r="U225" i="15"/>
  <c r="U224" i="15"/>
  <c r="U223" i="15"/>
  <c r="U222" i="15"/>
  <c r="U221" i="15"/>
  <c r="U220" i="15"/>
  <c r="U219" i="15"/>
  <c r="U218" i="15"/>
  <c r="U217" i="15"/>
  <c r="U216" i="15"/>
  <c r="U215" i="15"/>
  <c r="U214" i="15"/>
  <c r="U213" i="15"/>
  <c r="U212" i="15"/>
  <c r="U211" i="15"/>
  <c r="U210" i="15"/>
  <c r="U209" i="15"/>
  <c r="U208" i="15"/>
  <c r="U207" i="15"/>
  <c r="U206" i="15"/>
  <c r="U205" i="15"/>
  <c r="U204" i="15"/>
  <c r="U203" i="15"/>
  <c r="U202" i="15"/>
  <c r="U201" i="15"/>
  <c r="U200" i="15"/>
  <c r="U199" i="15"/>
  <c r="U198" i="15"/>
  <c r="U197" i="15"/>
  <c r="U196" i="15"/>
  <c r="U195" i="15"/>
  <c r="U194" i="15"/>
  <c r="U193" i="15"/>
  <c r="U192" i="15"/>
  <c r="U191" i="15"/>
  <c r="U190" i="15"/>
  <c r="U189" i="15"/>
  <c r="U188" i="15"/>
  <c r="U187" i="15"/>
  <c r="U186" i="15"/>
  <c r="U185" i="15"/>
  <c r="U184" i="15"/>
  <c r="U183" i="15"/>
  <c r="U182" i="15"/>
  <c r="U181" i="15"/>
  <c r="U180" i="15"/>
  <c r="U179" i="15"/>
  <c r="U178" i="15"/>
  <c r="U177" i="15"/>
  <c r="U176" i="15"/>
  <c r="U175" i="15"/>
  <c r="U174" i="15"/>
  <c r="U173" i="15"/>
  <c r="U172" i="15"/>
  <c r="U171" i="15"/>
  <c r="U170" i="15"/>
  <c r="U169" i="15"/>
  <c r="U168" i="15"/>
  <c r="U167" i="15"/>
  <c r="U166" i="15"/>
  <c r="U165" i="15"/>
  <c r="U164" i="15"/>
  <c r="U163" i="15"/>
  <c r="U162" i="15"/>
  <c r="U161" i="15"/>
  <c r="U160" i="15"/>
  <c r="U159" i="15"/>
  <c r="U158" i="15"/>
  <c r="U157" i="15"/>
  <c r="U156" i="15"/>
  <c r="U155" i="15"/>
  <c r="U154" i="15"/>
  <c r="U153" i="15"/>
  <c r="U152" i="15"/>
  <c r="U151" i="15"/>
  <c r="U150" i="15"/>
  <c r="U149" i="15"/>
  <c r="U148" i="15"/>
  <c r="U147" i="15"/>
  <c r="U146" i="15"/>
  <c r="U145" i="15"/>
  <c r="U144" i="15"/>
  <c r="U143" i="15"/>
  <c r="U142" i="15"/>
  <c r="U141" i="15"/>
  <c r="U140" i="15"/>
  <c r="U139" i="15"/>
  <c r="U138" i="15"/>
  <c r="U137" i="15"/>
  <c r="U136" i="15"/>
  <c r="U135" i="15"/>
  <c r="U134" i="15"/>
  <c r="U133" i="15"/>
  <c r="U132" i="15"/>
  <c r="U131" i="15"/>
  <c r="U130" i="15"/>
  <c r="U129" i="15"/>
  <c r="U128" i="15"/>
  <c r="U127" i="15"/>
  <c r="U126" i="15"/>
  <c r="U125" i="15"/>
  <c r="U124" i="15"/>
  <c r="U123" i="15"/>
  <c r="U122" i="15"/>
  <c r="U121" i="15"/>
  <c r="U120" i="15"/>
  <c r="U119" i="15"/>
  <c r="U118" i="15"/>
  <c r="U117" i="15"/>
  <c r="U116" i="15"/>
  <c r="U115" i="15"/>
  <c r="U114" i="15"/>
  <c r="U113" i="15"/>
  <c r="U112" i="15"/>
  <c r="U111" i="15"/>
  <c r="U110" i="15"/>
  <c r="U109" i="15"/>
  <c r="U108" i="15"/>
  <c r="U107" i="15"/>
  <c r="U106" i="15"/>
  <c r="U105" i="15"/>
  <c r="U104" i="15"/>
  <c r="U103" i="15"/>
  <c r="U102" i="15"/>
  <c r="U101" i="15"/>
  <c r="U100" i="15"/>
  <c r="U99" i="15"/>
  <c r="U98" i="15"/>
  <c r="U97" i="15"/>
  <c r="U96" i="15"/>
  <c r="U95" i="15"/>
  <c r="U94" i="15"/>
  <c r="U93" i="15"/>
  <c r="U92" i="15"/>
  <c r="U91" i="15"/>
  <c r="U90" i="15"/>
  <c r="U89" i="15"/>
  <c r="U88" i="15"/>
  <c r="U87" i="15"/>
  <c r="U86" i="15"/>
  <c r="U85" i="15"/>
  <c r="U84" i="15"/>
  <c r="U83" i="15"/>
  <c r="U82" i="15"/>
  <c r="U81" i="15"/>
  <c r="U80" i="15"/>
  <c r="U79" i="15"/>
  <c r="U78" i="15"/>
  <c r="U77" i="15"/>
  <c r="U76" i="15"/>
  <c r="U75" i="15"/>
  <c r="U74" i="15"/>
  <c r="U73" i="15"/>
  <c r="U72" i="15"/>
  <c r="U71" i="15"/>
  <c r="U70" i="15"/>
  <c r="U69" i="15"/>
  <c r="U68" i="15"/>
  <c r="U67" i="15"/>
  <c r="U66" i="15"/>
  <c r="U65" i="15"/>
  <c r="U64" i="15"/>
  <c r="U63" i="15"/>
  <c r="U62" i="15"/>
  <c r="U61" i="15"/>
  <c r="U60" i="15"/>
  <c r="U59" i="15"/>
  <c r="U58" i="15"/>
  <c r="U57" i="15"/>
  <c r="U56" i="15"/>
  <c r="U55" i="15"/>
  <c r="U54" i="15"/>
  <c r="U53" i="15"/>
  <c r="U52" i="15"/>
  <c r="U51" i="15"/>
  <c r="U50" i="15"/>
  <c r="U49" i="15"/>
  <c r="U48" i="15"/>
  <c r="U47" i="15"/>
  <c r="U46" i="15"/>
  <c r="U45" i="15"/>
  <c r="U44" i="15"/>
  <c r="U43" i="15"/>
  <c r="U42" i="15"/>
  <c r="U41" i="15"/>
  <c r="U40" i="15"/>
  <c r="U39" i="15"/>
  <c r="U38" i="15"/>
  <c r="U37" i="15"/>
  <c r="U36" i="15"/>
  <c r="U35" i="15"/>
  <c r="U34" i="15"/>
  <c r="U33" i="15"/>
  <c r="U32" i="15"/>
  <c r="U31" i="15"/>
  <c r="U30" i="15"/>
  <c r="U29" i="15"/>
  <c r="U28" i="15"/>
  <c r="U27" i="15"/>
  <c r="U26" i="15"/>
  <c r="U25" i="15"/>
  <c r="U24" i="15"/>
  <c r="U23" i="15"/>
  <c r="U22" i="15"/>
  <c r="U21" i="15"/>
  <c r="U20" i="15"/>
  <c r="U19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" i="15"/>
  <c r="I1" i="15"/>
  <c r="H1" i="15"/>
  <c r="G1" i="15"/>
  <c r="F1" i="15"/>
  <c r="E1" i="15"/>
  <c r="D1" i="15"/>
  <c r="C1" i="15"/>
  <c r="B1" i="15"/>
  <c r="A1" i="15"/>
  <c r="P889" i="15"/>
  <c r="P888" i="15"/>
  <c r="P887" i="15"/>
  <c r="P886" i="15"/>
  <c r="P885" i="15"/>
  <c r="P884" i="15"/>
  <c r="P883" i="15"/>
  <c r="P882" i="15"/>
  <c r="P881" i="15"/>
  <c r="P880" i="15"/>
  <c r="P879" i="15"/>
  <c r="P878" i="15"/>
  <c r="P877" i="15"/>
  <c r="P876" i="15"/>
  <c r="P875" i="15"/>
  <c r="P874" i="15"/>
  <c r="P873" i="15"/>
  <c r="P872" i="15"/>
  <c r="P871" i="15"/>
  <c r="P870" i="15"/>
  <c r="P869" i="15"/>
  <c r="P868" i="15"/>
  <c r="P867" i="15"/>
  <c r="P866" i="15"/>
  <c r="P865" i="15"/>
  <c r="P864" i="15"/>
  <c r="P863" i="15"/>
  <c r="P862" i="15"/>
  <c r="P861" i="15"/>
  <c r="P860" i="15"/>
  <c r="P859" i="15"/>
  <c r="P858" i="15"/>
  <c r="P857" i="15"/>
  <c r="P856" i="15"/>
  <c r="P855" i="15"/>
  <c r="P854" i="15"/>
  <c r="P853" i="15"/>
  <c r="P852" i="15"/>
  <c r="P851" i="15"/>
  <c r="P850" i="15"/>
  <c r="P849" i="15"/>
  <c r="P848" i="15"/>
  <c r="P847" i="15"/>
  <c r="P846" i="15"/>
  <c r="P845" i="15"/>
  <c r="P844" i="15"/>
  <c r="P843" i="15"/>
  <c r="P842" i="15"/>
  <c r="P841" i="15"/>
  <c r="P840" i="15"/>
  <c r="P839" i="15"/>
  <c r="P838" i="15"/>
  <c r="P837" i="15"/>
  <c r="P836" i="15"/>
  <c r="P835" i="15"/>
  <c r="P834" i="15"/>
  <c r="P833" i="15"/>
  <c r="P832" i="15"/>
  <c r="P831" i="15"/>
  <c r="P830" i="15"/>
  <c r="P829" i="15"/>
  <c r="P828" i="15"/>
  <c r="P827" i="15"/>
  <c r="P826" i="15"/>
  <c r="P825" i="15"/>
  <c r="P824" i="15"/>
  <c r="P823" i="15"/>
  <c r="P822" i="15"/>
  <c r="P821" i="15"/>
  <c r="P820" i="15"/>
  <c r="P819" i="15"/>
  <c r="P818" i="15"/>
  <c r="P817" i="15"/>
  <c r="P816" i="15"/>
  <c r="P815" i="15"/>
  <c r="P814" i="15"/>
  <c r="P813" i="15"/>
  <c r="P812" i="15"/>
  <c r="P811" i="15"/>
  <c r="P810" i="15"/>
  <c r="P809" i="15"/>
  <c r="P808" i="15"/>
  <c r="P807" i="15"/>
  <c r="P806" i="15"/>
  <c r="P805" i="15"/>
  <c r="P804" i="15"/>
  <c r="P803" i="15"/>
  <c r="P802" i="15"/>
  <c r="P801" i="15"/>
  <c r="P800" i="15"/>
  <c r="P799" i="15"/>
  <c r="P798" i="15"/>
  <c r="P797" i="15"/>
  <c r="P796" i="15"/>
  <c r="P795" i="15"/>
  <c r="P794" i="15"/>
  <c r="P793" i="15"/>
  <c r="P792" i="15"/>
  <c r="P791" i="15"/>
  <c r="P790" i="15"/>
  <c r="P789" i="15"/>
  <c r="P788" i="15"/>
  <c r="P787" i="15"/>
  <c r="P786" i="15"/>
  <c r="P785" i="15"/>
  <c r="P784" i="15"/>
  <c r="P783" i="15"/>
  <c r="P782" i="15"/>
  <c r="P781" i="15"/>
  <c r="P780" i="15"/>
  <c r="P779" i="15"/>
  <c r="P778" i="15"/>
  <c r="P777" i="15"/>
  <c r="P776" i="15"/>
  <c r="P775" i="15"/>
  <c r="P774" i="15"/>
  <c r="P773" i="15"/>
  <c r="P772" i="15"/>
  <c r="P771" i="15"/>
  <c r="P770" i="15"/>
  <c r="P769" i="15"/>
  <c r="P768" i="15"/>
  <c r="P767" i="15"/>
  <c r="P766" i="15"/>
  <c r="P765" i="15"/>
  <c r="P764" i="15"/>
  <c r="P763" i="15"/>
  <c r="P762" i="15"/>
  <c r="P761" i="15"/>
  <c r="P760" i="15"/>
  <c r="P759" i="15"/>
  <c r="P758" i="15"/>
  <c r="P757" i="15"/>
  <c r="P756" i="15"/>
  <c r="P755" i="15"/>
  <c r="P754" i="15"/>
  <c r="P753" i="15"/>
  <c r="P752" i="15"/>
  <c r="P751" i="15"/>
  <c r="P750" i="15"/>
  <c r="P749" i="15"/>
  <c r="P748" i="15"/>
  <c r="P747" i="15"/>
  <c r="P746" i="15"/>
  <c r="P745" i="15"/>
  <c r="P744" i="15"/>
  <c r="P743" i="15"/>
  <c r="P742" i="15"/>
  <c r="P741" i="15"/>
  <c r="P740" i="15"/>
  <c r="P739" i="15"/>
  <c r="P738" i="15"/>
  <c r="P737" i="15"/>
  <c r="P736" i="15"/>
  <c r="P735" i="15"/>
  <c r="P734" i="15"/>
  <c r="P733" i="15"/>
  <c r="P732" i="15"/>
  <c r="P731" i="15"/>
  <c r="P730" i="15"/>
  <c r="P729" i="15"/>
  <c r="P728" i="15"/>
  <c r="P727" i="15"/>
  <c r="P726" i="15"/>
  <c r="P725" i="15"/>
  <c r="P724" i="15"/>
  <c r="P723" i="15"/>
  <c r="P722" i="15"/>
  <c r="P721" i="15"/>
  <c r="P720" i="15"/>
  <c r="P719" i="15"/>
  <c r="P718" i="15"/>
  <c r="P717" i="15"/>
  <c r="P716" i="15"/>
  <c r="P715" i="15"/>
  <c r="P714" i="15"/>
  <c r="P713" i="15"/>
  <c r="P712" i="15"/>
  <c r="P711" i="15"/>
  <c r="P710" i="15"/>
  <c r="P709" i="15"/>
  <c r="P708" i="15"/>
  <c r="P707" i="15"/>
  <c r="P706" i="15"/>
  <c r="P705" i="15"/>
  <c r="P704" i="15"/>
  <c r="P703" i="15"/>
  <c r="P702" i="15"/>
  <c r="P701" i="15"/>
  <c r="P700" i="15"/>
  <c r="P699" i="15"/>
  <c r="P698" i="15"/>
  <c r="P697" i="15"/>
  <c r="P696" i="15"/>
  <c r="P695" i="15"/>
  <c r="P694" i="15"/>
  <c r="P693" i="15"/>
  <c r="P692" i="15"/>
  <c r="P691" i="15"/>
  <c r="P690" i="15"/>
  <c r="P689" i="15"/>
  <c r="P688" i="15"/>
  <c r="P687" i="15"/>
  <c r="P686" i="15"/>
  <c r="P685" i="15"/>
  <c r="P684" i="15"/>
  <c r="P683" i="15"/>
  <c r="P682" i="15"/>
  <c r="P681" i="15"/>
  <c r="P680" i="15"/>
  <c r="P679" i="15"/>
  <c r="P678" i="15"/>
  <c r="P677" i="15"/>
  <c r="P676" i="15"/>
  <c r="P675" i="15"/>
  <c r="P674" i="15"/>
  <c r="P673" i="15"/>
  <c r="P672" i="15"/>
  <c r="P671" i="15"/>
  <c r="P670" i="15"/>
  <c r="P669" i="15"/>
  <c r="P668" i="15"/>
  <c r="P667" i="15"/>
  <c r="P666" i="15"/>
  <c r="P665" i="15"/>
  <c r="P664" i="15"/>
  <c r="P663" i="15"/>
  <c r="P662" i="15"/>
  <c r="P661" i="15"/>
  <c r="P660" i="15"/>
  <c r="P659" i="15"/>
  <c r="P658" i="15"/>
  <c r="P657" i="15"/>
  <c r="P656" i="15"/>
  <c r="P655" i="15"/>
  <c r="P654" i="15"/>
  <c r="P653" i="15"/>
  <c r="P652" i="15"/>
  <c r="P651" i="15"/>
  <c r="P650" i="15"/>
  <c r="P649" i="15"/>
  <c r="P648" i="15"/>
  <c r="P647" i="15"/>
  <c r="P646" i="15"/>
  <c r="P645" i="15"/>
  <c r="P644" i="15"/>
  <c r="P643" i="15"/>
  <c r="P642" i="15"/>
  <c r="P641" i="15"/>
  <c r="P640" i="15"/>
  <c r="P639" i="15"/>
  <c r="P638" i="15"/>
  <c r="P637" i="15"/>
  <c r="P636" i="15"/>
  <c r="P635" i="15"/>
  <c r="P634" i="15"/>
  <c r="P633" i="15"/>
  <c r="P632" i="15"/>
  <c r="P631" i="15"/>
  <c r="P630" i="15"/>
  <c r="P629" i="15"/>
  <c r="P628" i="15"/>
  <c r="P627" i="15"/>
  <c r="P626" i="15"/>
  <c r="P625" i="15"/>
  <c r="P624" i="15"/>
  <c r="P623" i="15"/>
  <c r="P622" i="15"/>
  <c r="P621" i="15"/>
  <c r="P620" i="15"/>
  <c r="P619" i="15"/>
  <c r="P618" i="15"/>
  <c r="P617" i="15"/>
  <c r="P616" i="15"/>
  <c r="P615" i="15"/>
  <c r="P614" i="15"/>
  <c r="P613" i="15"/>
  <c r="P612" i="15"/>
  <c r="P611" i="15"/>
  <c r="P610" i="15"/>
  <c r="P609" i="15"/>
  <c r="P608" i="15"/>
  <c r="P607" i="15"/>
  <c r="P606" i="15"/>
  <c r="P605" i="15"/>
  <c r="P604" i="15"/>
  <c r="P603" i="15"/>
  <c r="P602" i="15"/>
  <c r="P601" i="15"/>
  <c r="P600" i="15"/>
  <c r="P599" i="15"/>
  <c r="P598" i="15"/>
  <c r="P597" i="15"/>
  <c r="P596" i="15"/>
  <c r="P595" i="15"/>
  <c r="P594" i="15"/>
  <c r="P593" i="15"/>
  <c r="P592" i="15"/>
  <c r="P591" i="15"/>
  <c r="P590" i="15"/>
  <c r="P589" i="15"/>
  <c r="P588" i="15"/>
  <c r="P587" i="15"/>
  <c r="P586" i="15"/>
  <c r="P585" i="15"/>
  <c r="P584" i="15"/>
  <c r="P583" i="15"/>
  <c r="P582" i="15"/>
  <c r="P581" i="15"/>
  <c r="P580" i="15"/>
  <c r="P579" i="15"/>
  <c r="P578" i="15"/>
  <c r="P577" i="15"/>
  <c r="P576" i="15"/>
  <c r="P575" i="15"/>
  <c r="P574" i="15"/>
  <c r="P573" i="15"/>
  <c r="P572" i="15"/>
  <c r="P571" i="15"/>
  <c r="P570" i="15"/>
  <c r="P569" i="15"/>
  <c r="P568" i="15"/>
  <c r="P567" i="15"/>
  <c r="P566" i="15"/>
  <c r="P565" i="15"/>
  <c r="P564" i="15"/>
  <c r="P563" i="15"/>
  <c r="P562" i="15"/>
  <c r="P561" i="15"/>
  <c r="P560" i="15"/>
  <c r="P559" i="15"/>
  <c r="P558" i="15"/>
  <c r="P557" i="15"/>
  <c r="P556" i="15"/>
  <c r="P555" i="15"/>
  <c r="P554" i="15"/>
  <c r="P553" i="15"/>
  <c r="P552" i="15"/>
  <c r="P551" i="15"/>
  <c r="P550" i="15"/>
  <c r="P549" i="15"/>
  <c r="P548" i="15"/>
  <c r="P547" i="15"/>
  <c r="P546" i="15"/>
  <c r="P545" i="15"/>
  <c r="P544" i="15"/>
  <c r="P543" i="15"/>
  <c r="P542" i="15"/>
  <c r="P541" i="15"/>
  <c r="P540" i="15"/>
  <c r="P539" i="15"/>
  <c r="P538" i="15"/>
  <c r="P537" i="15"/>
  <c r="P536" i="15"/>
  <c r="P535" i="15"/>
  <c r="P534" i="15"/>
  <c r="P533" i="15"/>
  <c r="P532" i="15"/>
  <c r="P531" i="15"/>
  <c r="P530" i="15"/>
  <c r="P529" i="15"/>
  <c r="P528" i="15"/>
  <c r="P527" i="15"/>
  <c r="P526" i="15"/>
  <c r="P525" i="15"/>
  <c r="P524" i="15"/>
  <c r="P523" i="15"/>
  <c r="P522" i="15"/>
  <c r="P521" i="15"/>
  <c r="P520" i="15"/>
  <c r="P519" i="15"/>
  <c r="P518" i="15"/>
  <c r="P517" i="15"/>
  <c r="P516" i="15"/>
  <c r="P515" i="15"/>
  <c r="P514" i="15"/>
  <c r="P513" i="15"/>
  <c r="P512" i="15"/>
  <c r="P511" i="15"/>
  <c r="P510" i="15"/>
  <c r="P509" i="15"/>
  <c r="P508" i="15"/>
  <c r="P507" i="15"/>
  <c r="P506" i="15"/>
  <c r="P505" i="15"/>
  <c r="P504" i="15"/>
  <c r="P503" i="15"/>
  <c r="P502" i="15"/>
  <c r="P501" i="15"/>
  <c r="P500" i="15"/>
  <c r="P499" i="15"/>
  <c r="P498" i="15"/>
  <c r="P497" i="15"/>
  <c r="P496" i="15"/>
  <c r="P495" i="15"/>
  <c r="P494" i="15"/>
  <c r="P493" i="15"/>
  <c r="P492" i="15"/>
  <c r="P491" i="15"/>
  <c r="P490" i="15"/>
  <c r="P489" i="15"/>
  <c r="P488" i="15"/>
  <c r="P487" i="15"/>
  <c r="P486" i="15"/>
  <c r="P485" i="15"/>
  <c r="P484" i="15"/>
  <c r="P483" i="15"/>
  <c r="P482" i="15"/>
  <c r="P481" i="15"/>
  <c r="P480" i="15"/>
  <c r="P479" i="15"/>
  <c r="P478" i="15"/>
  <c r="P477" i="15"/>
  <c r="P476" i="15"/>
  <c r="P475" i="15"/>
  <c r="P474" i="15"/>
  <c r="P473" i="15"/>
  <c r="P472" i="15"/>
  <c r="P471" i="15"/>
  <c r="P470" i="15"/>
  <c r="P469" i="15"/>
  <c r="P468" i="15"/>
  <c r="P467" i="15"/>
  <c r="P466" i="15"/>
  <c r="P465" i="15"/>
  <c r="P464" i="15"/>
  <c r="P463" i="15"/>
  <c r="P462" i="15"/>
  <c r="P461" i="15"/>
  <c r="P460" i="15"/>
  <c r="P459" i="15"/>
  <c r="P458" i="15"/>
  <c r="P457" i="15"/>
  <c r="P456" i="15"/>
  <c r="P455" i="15"/>
  <c r="P454" i="15"/>
  <c r="P453" i="15"/>
  <c r="P452" i="15"/>
  <c r="P451" i="15"/>
  <c r="P450" i="15"/>
  <c r="P449" i="15"/>
  <c r="P448" i="15"/>
  <c r="P447" i="15"/>
  <c r="P446" i="15"/>
  <c r="P445" i="15"/>
  <c r="P444" i="15"/>
  <c r="P443" i="15"/>
  <c r="P442" i="15"/>
  <c r="P441" i="15"/>
  <c r="P440" i="15"/>
  <c r="P439" i="15"/>
  <c r="P438" i="15"/>
  <c r="P437" i="15"/>
  <c r="P436" i="15"/>
  <c r="P435" i="15"/>
  <c r="P434" i="15"/>
  <c r="P433" i="15"/>
  <c r="P432" i="15"/>
  <c r="P431" i="15"/>
  <c r="P430" i="15"/>
  <c r="P429" i="15"/>
  <c r="P428" i="15"/>
  <c r="P427" i="15"/>
  <c r="P426" i="15"/>
  <c r="P425" i="15"/>
  <c r="P424" i="15"/>
  <c r="P423" i="15"/>
  <c r="P422" i="15"/>
  <c r="P421" i="15"/>
  <c r="P420" i="15"/>
  <c r="P419" i="15"/>
  <c r="P418" i="15"/>
  <c r="P417" i="15"/>
  <c r="P416" i="15"/>
  <c r="P415" i="15"/>
  <c r="P414" i="15"/>
  <c r="P413" i="15"/>
  <c r="P412" i="15"/>
  <c r="P411" i="15"/>
  <c r="P410" i="15"/>
  <c r="P409" i="15"/>
  <c r="P408" i="15"/>
  <c r="P407" i="15"/>
  <c r="P406" i="15"/>
  <c r="P405" i="15"/>
  <c r="P404" i="15"/>
  <c r="P403" i="15"/>
  <c r="P402" i="15"/>
  <c r="P401" i="15"/>
  <c r="P400" i="15"/>
  <c r="P399" i="15"/>
  <c r="P398" i="15"/>
  <c r="P397" i="15"/>
  <c r="P396" i="15"/>
  <c r="P395" i="15"/>
  <c r="P394" i="15"/>
  <c r="P393" i="15"/>
  <c r="P392" i="15"/>
  <c r="P391" i="15"/>
  <c r="P390" i="15"/>
  <c r="P389" i="15"/>
  <c r="P388" i="15"/>
  <c r="P387" i="15"/>
  <c r="P386" i="15"/>
  <c r="P385" i="15"/>
  <c r="P384" i="15"/>
  <c r="P383" i="15"/>
  <c r="P382" i="15"/>
  <c r="P381" i="15"/>
  <c r="P380" i="15"/>
  <c r="P379" i="15"/>
  <c r="P378" i="15"/>
  <c r="P377" i="15"/>
  <c r="P376" i="15"/>
  <c r="P375" i="15"/>
  <c r="P374" i="15"/>
  <c r="P373" i="15"/>
  <c r="P372" i="15"/>
  <c r="P371" i="15"/>
  <c r="P370" i="15"/>
  <c r="P369" i="15"/>
  <c r="P368" i="15"/>
  <c r="P367" i="15"/>
  <c r="P366" i="15"/>
  <c r="P365" i="15"/>
  <c r="P364" i="15"/>
  <c r="P363" i="15"/>
  <c r="P362" i="15"/>
  <c r="P361" i="15"/>
  <c r="P360" i="15"/>
  <c r="P359" i="15"/>
  <c r="P358" i="15"/>
  <c r="P357" i="15"/>
  <c r="P356" i="15"/>
  <c r="P355" i="15"/>
  <c r="P354" i="15"/>
  <c r="P353" i="15"/>
  <c r="P352" i="15"/>
  <c r="P351" i="15"/>
  <c r="P350" i="15"/>
  <c r="P349" i="15"/>
  <c r="P348" i="15"/>
  <c r="P347" i="15"/>
  <c r="P346" i="15"/>
  <c r="P345" i="15"/>
  <c r="P344" i="15"/>
  <c r="P343" i="15"/>
  <c r="P342" i="15"/>
  <c r="P341" i="15"/>
  <c r="P340" i="15"/>
  <c r="P339" i="15"/>
  <c r="P338" i="15"/>
  <c r="P337" i="15"/>
  <c r="P336" i="15"/>
  <c r="P335" i="15"/>
  <c r="P334" i="15"/>
  <c r="P333" i="15"/>
  <c r="P332" i="15"/>
  <c r="P331" i="15"/>
  <c r="P330" i="15"/>
  <c r="P329" i="15"/>
  <c r="P328" i="15"/>
  <c r="P327" i="15"/>
  <c r="P326" i="15"/>
  <c r="P325" i="15"/>
  <c r="P324" i="15"/>
  <c r="P323" i="15"/>
  <c r="P322" i="15"/>
  <c r="P321" i="15"/>
  <c r="P320" i="15"/>
  <c r="P319" i="15"/>
  <c r="P318" i="15"/>
  <c r="P317" i="15"/>
  <c r="P316" i="15"/>
  <c r="P315" i="15"/>
  <c r="P314" i="15"/>
  <c r="P313" i="15"/>
  <c r="P312" i="15"/>
  <c r="P311" i="15"/>
  <c r="P310" i="15"/>
  <c r="P309" i="15"/>
  <c r="P308" i="15"/>
  <c r="P307" i="15"/>
  <c r="P306" i="15"/>
  <c r="P305" i="15"/>
  <c r="P304" i="15"/>
  <c r="P303" i="15"/>
  <c r="P302" i="15"/>
  <c r="P301" i="15"/>
  <c r="P300" i="15"/>
  <c r="P299" i="15"/>
  <c r="P298" i="15"/>
  <c r="P297" i="15"/>
  <c r="P296" i="15"/>
  <c r="P295" i="15"/>
  <c r="P294" i="15"/>
  <c r="P293" i="15"/>
  <c r="P292" i="15"/>
  <c r="P291" i="15"/>
  <c r="P290" i="15"/>
  <c r="P289" i="15"/>
  <c r="P288" i="15"/>
  <c r="P287" i="15"/>
  <c r="P286" i="15"/>
  <c r="P285" i="15"/>
  <c r="P284" i="15"/>
  <c r="P283" i="15"/>
  <c r="P282" i="15"/>
  <c r="P281" i="15"/>
  <c r="P280" i="15"/>
  <c r="P279" i="15"/>
  <c r="P278" i="15"/>
  <c r="P277" i="15"/>
  <c r="P276" i="15"/>
  <c r="P275" i="15"/>
  <c r="P274" i="15"/>
  <c r="P273" i="15"/>
  <c r="P272" i="15"/>
  <c r="P271" i="15"/>
  <c r="P270" i="15"/>
  <c r="P269" i="15"/>
  <c r="P268" i="15"/>
  <c r="P267" i="15"/>
  <c r="P266" i="15"/>
  <c r="P265" i="15"/>
  <c r="P264" i="15"/>
  <c r="P263" i="15"/>
  <c r="P262" i="15"/>
  <c r="P261" i="15"/>
  <c r="P260" i="15"/>
  <c r="P259" i="15"/>
  <c r="P258" i="15"/>
  <c r="P257" i="15"/>
  <c r="P256" i="15"/>
  <c r="P255" i="15"/>
  <c r="P254" i="15"/>
  <c r="P253" i="15"/>
  <c r="P252" i="15"/>
  <c r="P251" i="15"/>
  <c r="P250" i="15"/>
  <c r="P249" i="15"/>
  <c r="P248" i="15"/>
  <c r="P247" i="15"/>
  <c r="P246" i="15"/>
  <c r="P245" i="15"/>
  <c r="P244" i="15"/>
  <c r="P243" i="15"/>
  <c r="P242" i="15"/>
  <c r="P241" i="15"/>
  <c r="P240" i="15"/>
  <c r="P239" i="15"/>
  <c r="P238" i="15"/>
  <c r="P237" i="15"/>
  <c r="P236" i="15"/>
  <c r="P235" i="15"/>
  <c r="P234" i="15"/>
  <c r="P233" i="15"/>
  <c r="P232" i="15"/>
  <c r="P231" i="15"/>
  <c r="P230" i="15"/>
  <c r="P229" i="15"/>
  <c r="P228" i="15"/>
  <c r="P227" i="15"/>
  <c r="P226" i="15"/>
  <c r="P225" i="15"/>
  <c r="P224" i="15"/>
  <c r="P223" i="15"/>
  <c r="P222" i="15"/>
  <c r="P221" i="15"/>
  <c r="P220" i="15"/>
  <c r="P219" i="15"/>
  <c r="P218" i="15"/>
  <c r="P217" i="15"/>
  <c r="P216" i="15"/>
  <c r="P215" i="15"/>
  <c r="P214" i="15"/>
  <c r="P213" i="15"/>
  <c r="P212" i="15"/>
  <c r="P211" i="15"/>
  <c r="P210" i="15"/>
  <c r="P209" i="15"/>
  <c r="P208" i="15"/>
  <c r="P207" i="15"/>
  <c r="P206" i="15"/>
  <c r="P205" i="15"/>
  <c r="P204" i="15"/>
  <c r="P203" i="15"/>
  <c r="P202" i="15"/>
  <c r="P201" i="15"/>
  <c r="P200" i="15"/>
  <c r="P199" i="15"/>
  <c r="P198" i="15"/>
  <c r="P197" i="15"/>
  <c r="P196" i="15"/>
  <c r="P195" i="15"/>
  <c r="P194" i="15"/>
  <c r="P193" i="15"/>
  <c r="P192" i="15"/>
  <c r="P191" i="15"/>
  <c r="P190" i="15"/>
  <c r="P189" i="15"/>
  <c r="P188" i="15"/>
  <c r="P187" i="15"/>
  <c r="P186" i="15"/>
  <c r="P185" i="15"/>
  <c r="P184" i="15"/>
  <c r="P183" i="15"/>
  <c r="P182" i="15"/>
  <c r="P181" i="15"/>
  <c r="P180" i="15"/>
  <c r="P179" i="15"/>
  <c r="P178" i="15"/>
  <c r="P177" i="15"/>
  <c r="P176" i="15"/>
  <c r="P175" i="15"/>
  <c r="P174" i="15"/>
  <c r="P173" i="15"/>
  <c r="P172" i="15"/>
  <c r="P171" i="15"/>
  <c r="P170" i="15"/>
  <c r="P169" i="15"/>
  <c r="P168" i="15"/>
  <c r="P167" i="15"/>
  <c r="P166" i="15"/>
  <c r="P165" i="15"/>
  <c r="P164" i="15"/>
  <c r="P163" i="15"/>
  <c r="P162" i="15"/>
  <c r="P161" i="15"/>
  <c r="P160" i="15"/>
  <c r="P159" i="15"/>
  <c r="P158" i="15"/>
  <c r="P157" i="15"/>
  <c r="P156" i="15"/>
  <c r="P155" i="15"/>
  <c r="P154" i="15"/>
  <c r="P153" i="15"/>
  <c r="P152" i="15"/>
  <c r="P151" i="15"/>
  <c r="P150" i="15"/>
  <c r="P149" i="15"/>
  <c r="P148" i="15"/>
  <c r="P147" i="15"/>
  <c r="P146" i="15"/>
  <c r="P145" i="15"/>
  <c r="P144" i="15"/>
  <c r="P143" i="15"/>
  <c r="P142" i="15"/>
  <c r="P141" i="15"/>
  <c r="P140" i="15"/>
  <c r="P139" i="15"/>
  <c r="P138" i="15"/>
  <c r="P137" i="15"/>
  <c r="P136" i="15"/>
  <c r="P135" i="15"/>
  <c r="P134" i="15"/>
  <c r="P133" i="15"/>
  <c r="P132" i="15"/>
  <c r="P131" i="15"/>
  <c r="P130" i="15"/>
  <c r="P129" i="15"/>
  <c r="P128" i="15"/>
  <c r="P127" i="15"/>
  <c r="P126" i="15"/>
  <c r="P125" i="15"/>
  <c r="P124" i="15"/>
  <c r="P123" i="15"/>
  <c r="P122" i="15"/>
  <c r="P121" i="15"/>
  <c r="P120" i="15"/>
  <c r="P119" i="15"/>
  <c r="P118" i="15"/>
  <c r="P117" i="15"/>
  <c r="P116" i="15"/>
  <c r="P115" i="15"/>
  <c r="P114" i="15"/>
  <c r="P113" i="15"/>
  <c r="P112" i="15"/>
  <c r="P111" i="15"/>
  <c r="P110" i="15"/>
  <c r="P109" i="15"/>
  <c r="P108" i="15"/>
  <c r="P107" i="15"/>
  <c r="P106" i="15"/>
  <c r="P105" i="15"/>
  <c r="P104" i="15"/>
  <c r="P103" i="15"/>
  <c r="P102" i="15"/>
  <c r="P101" i="15"/>
  <c r="P100" i="15"/>
  <c r="P99" i="15"/>
  <c r="P98" i="15"/>
  <c r="P97" i="15"/>
  <c r="P96" i="15"/>
  <c r="P95" i="15"/>
  <c r="P94" i="15"/>
  <c r="P93" i="15"/>
  <c r="P92" i="15"/>
  <c r="P91" i="15"/>
  <c r="P90" i="15"/>
  <c r="P89" i="15"/>
  <c r="P88" i="15"/>
  <c r="P87" i="15"/>
  <c r="P86" i="15"/>
  <c r="P85" i="15"/>
  <c r="P84" i="15"/>
  <c r="P83" i="15"/>
  <c r="P82" i="15"/>
  <c r="P81" i="15"/>
  <c r="P80" i="15"/>
  <c r="P79" i="15"/>
  <c r="P78" i="15"/>
  <c r="P77" i="15"/>
  <c r="P76" i="15"/>
  <c r="P75" i="15"/>
  <c r="P74" i="15"/>
  <c r="P73" i="15"/>
  <c r="P72" i="15"/>
  <c r="P71" i="15"/>
  <c r="P70" i="15"/>
  <c r="P69" i="15"/>
  <c r="P68" i="15"/>
  <c r="P67" i="15"/>
  <c r="P66" i="15"/>
  <c r="P65" i="15"/>
  <c r="P64" i="15"/>
  <c r="P63" i="15"/>
  <c r="P62" i="15"/>
  <c r="P61" i="15"/>
  <c r="P60" i="15"/>
  <c r="P59" i="15"/>
  <c r="P58" i="15"/>
  <c r="P57" i="15"/>
  <c r="P56" i="15"/>
  <c r="P55" i="15"/>
  <c r="P54" i="15"/>
  <c r="P53" i="15"/>
  <c r="P52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P29" i="15"/>
  <c r="P28" i="15"/>
  <c r="P27" i="15"/>
  <c r="P26" i="15"/>
  <c r="P25" i="15"/>
  <c r="P24" i="15"/>
  <c r="P23" i="15"/>
  <c r="P22" i="15"/>
  <c r="P21" i="15"/>
  <c r="P20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P5" i="15"/>
  <c r="P4" i="15"/>
  <c r="P3" i="15"/>
  <c r="P2" i="15"/>
  <c r="M889" i="15"/>
  <c r="M888" i="15"/>
  <c r="M887" i="15"/>
  <c r="M886" i="15"/>
  <c r="M885" i="15"/>
  <c r="M884" i="15"/>
  <c r="M883" i="15"/>
  <c r="M882" i="15"/>
  <c r="M881" i="15"/>
  <c r="M880" i="15"/>
  <c r="M879" i="15"/>
  <c r="M878" i="15"/>
  <c r="M877" i="15"/>
  <c r="M876" i="15"/>
  <c r="M875" i="15"/>
  <c r="M874" i="15"/>
  <c r="M873" i="15"/>
  <c r="M872" i="15"/>
  <c r="M871" i="15"/>
  <c r="M870" i="15"/>
  <c r="M869" i="15"/>
  <c r="M868" i="15"/>
  <c r="M867" i="15"/>
  <c r="M866" i="15"/>
  <c r="M865" i="15"/>
  <c r="M864" i="15"/>
  <c r="M863" i="15"/>
  <c r="M862" i="15"/>
  <c r="M861" i="15"/>
  <c r="M860" i="15"/>
  <c r="M859" i="15"/>
  <c r="M858" i="15"/>
  <c r="M857" i="15"/>
  <c r="M856" i="15"/>
  <c r="M855" i="15"/>
  <c r="M854" i="15"/>
  <c r="M853" i="15"/>
  <c r="M852" i="15"/>
  <c r="M851" i="15"/>
  <c r="M850" i="15"/>
  <c r="M849" i="15"/>
  <c r="M848" i="15"/>
  <c r="M847" i="15"/>
  <c r="M846" i="15"/>
  <c r="M845" i="15"/>
  <c r="M844" i="15"/>
  <c r="M843" i="15"/>
  <c r="M842" i="15"/>
  <c r="M841" i="15"/>
  <c r="M840" i="15"/>
  <c r="M839" i="15"/>
  <c r="M838" i="15"/>
  <c r="M837" i="15"/>
  <c r="M836" i="15"/>
  <c r="M835" i="15"/>
  <c r="M834" i="15"/>
  <c r="M833" i="15"/>
  <c r="M832" i="15"/>
  <c r="M831" i="15"/>
  <c r="M830" i="15"/>
  <c r="M829" i="15"/>
  <c r="M828" i="15"/>
  <c r="M827" i="15"/>
  <c r="M826" i="15"/>
  <c r="M825" i="15"/>
  <c r="M824" i="15"/>
  <c r="M823" i="15"/>
  <c r="M822" i="15"/>
  <c r="M821" i="15"/>
  <c r="M820" i="15"/>
  <c r="M819" i="15"/>
  <c r="M818" i="15"/>
  <c r="M817" i="15"/>
  <c r="M816" i="15"/>
  <c r="M815" i="15"/>
  <c r="M814" i="15"/>
  <c r="M813" i="15"/>
  <c r="M812" i="15"/>
  <c r="M811" i="15"/>
  <c r="M810" i="15"/>
  <c r="M809" i="15"/>
  <c r="M808" i="15"/>
  <c r="M807" i="15"/>
  <c r="M806" i="15"/>
  <c r="M805" i="15"/>
  <c r="M804" i="15"/>
  <c r="M803" i="15"/>
  <c r="M802" i="15"/>
  <c r="M801" i="15"/>
  <c r="M800" i="15"/>
  <c r="M799" i="15"/>
  <c r="M798" i="15"/>
  <c r="M797" i="15"/>
  <c r="M796" i="15"/>
  <c r="M795" i="15"/>
  <c r="M794" i="15"/>
  <c r="M793" i="15"/>
  <c r="M792" i="15"/>
  <c r="M791" i="15"/>
  <c r="M790" i="15"/>
  <c r="M789" i="15"/>
  <c r="M788" i="15"/>
  <c r="M787" i="15"/>
  <c r="M786" i="15"/>
  <c r="M785" i="15"/>
  <c r="M784" i="15"/>
  <c r="M783" i="15"/>
  <c r="M782" i="15"/>
  <c r="M781" i="15"/>
  <c r="M780" i="15"/>
  <c r="M779" i="15"/>
  <c r="M778" i="15"/>
  <c r="M777" i="15"/>
  <c r="M776" i="15"/>
  <c r="M775" i="15"/>
  <c r="M774" i="15"/>
  <c r="M773" i="15"/>
  <c r="M772" i="15"/>
  <c r="M771" i="15"/>
  <c r="M770" i="15"/>
  <c r="M769" i="15"/>
  <c r="M768" i="15"/>
  <c r="M767" i="15"/>
  <c r="M766" i="15"/>
  <c r="M765" i="15"/>
  <c r="M764" i="15"/>
  <c r="M763" i="15"/>
  <c r="M762" i="15"/>
  <c r="M761" i="15"/>
  <c r="M760" i="15"/>
  <c r="M759" i="15"/>
  <c r="M758" i="15"/>
  <c r="M757" i="15"/>
  <c r="M756" i="15"/>
  <c r="M755" i="15"/>
  <c r="M754" i="15"/>
  <c r="M753" i="15"/>
  <c r="M752" i="15"/>
  <c r="M751" i="15"/>
  <c r="M750" i="15"/>
  <c r="M749" i="15"/>
  <c r="M748" i="15"/>
  <c r="M747" i="15"/>
  <c r="M746" i="15"/>
  <c r="M745" i="15"/>
  <c r="M744" i="15"/>
  <c r="M743" i="15"/>
  <c r="M742" i="15"/>
  <c r="M741" i="15"/>
  <c r="M740" i="15"/>
  <c r="M739" i="15"/>
  <c r="M738" i="15"/>
  <c r="M737" i="15"/>
  <c r="M736" i="15"/>
  <c r="M735" i="15"/>
  <c r="M734" i="15"/>
  <c r="M733" i="15"/>
  <c r="M732" i="15"/>
  <c r="M731" i="15"/>
  <c r="M730" i="15"/>
  <c r="M729" i="15"/>
  <c r="M728" i="15"/>
  <c r="M727" i="15"/>
  <c r="M726" i="15"/>
  <c r="M725" i="15"/>
  <c r="M724" i="15"/>
  <c r="M723" i="15"/>
  <c r="M722" i="15"/>
  <c r="M721" i="15"/>
  <c r="M720" i="15"/>
  <c r="M719" i="15"/>
  <c r="M718" i="15"/>
  <c r="M717" i="15"/>
  <c r="M716" i="15"/>
  <c r="M715" i="15"/>
  <c r="M714" i="15"/>
  <c r="M713" i="15"/>
  <c r="M712" i="15"/>
  <c r="M711" i="15"/>
  <c r="M710" i="15"/>
  <c r="M709" i="15"/>
  <c r="M708" i="15"/>
  <c r="M707" i="15"/>
  <c r="M706" i="15"/>
  <c r="M705" i="15"/>
  <c r="M704" i="15"/>
  <c r="M703" i="15"/>
  <c r="M702" i="15"/>
  <c r="M701" i="15"/>
  <c r="M700" i="15"/>
  <c r="M699" i="15"/>
  <c r="M698" i="15"/>
  <c r="M697" i="15"/>
  <c r="M696" i="15"/>
  <c r="M695" i="15"/>
  <c r="M694" i="15"/>
  <c r="M693" i="15"/>
  <c r="M692" i="15"/>
  <c r="M691" i="15"/>
  <c r="M690" i="15"/>
  <c r="M689" i="15"/>
  <c r="M688" i="15"/>
  <c r="M687" i="15"/>
  <c r="M686" i="15"/>
  <c r="M685" i="15"/>
  <c r="M684" i="15"/>
  <c r="M683" i="15"/>
  <c r="M682" i="15"/>
  <c r="M681" i="15"/>
  <c r="M680" i="15"/>
  <c r="M679" i="15"/>
  <c r="M678" i="15"/>
  <c r="M677" i="15"/>
  <c r="M676" i="15"/>
  <c r="M675" i="15"/>
  <c r="M674" i="15"/>
  <c r="M673" i="15"/>
  <c r="M672" i="15"/>
  <c r="M671" i="15"/>
  <c r="M670" i="15"/>
  <c r="M669" i="15"/>
  <c r="M668" i="15"/>
  <c r="M667" i="15"/>
  <c r="M666" i="15"/>
  <c r="M665" i="15"/>
  <c r="M664" i="15"/>
  <c r="M663" i="15"/>
  <c r="M662" i="15"/>
  <c r="M661" i="15"/>
  <c r="M660" i="15"/>
  <c r="M659" i="15"/>
  <c r="M658" i="15"/>
  <c r="M657" i="15"/>
  <c r="M656" i="15"/>
  <c r="M655" i="15"/>
  <c r="M654" i="15"/>
  <c r="M653" i="15"/>
  <c r="M652" i="15"/>
  <c r="M651" i="15"/>
  <c r="M650" i="15"/>
  <c r="M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M632" i="15"/>
  <c r="M631" i="15"/>
  <c r="M630" i="15"/>
  <c r="M629" i="15"/>
  <c r="M628" i="15"/>
  <c r="M627" i="15"/>
  <c r="M626" i="15"/>
  <c r="M625" i="15"/>
  <c r="M624" i="15"/>
  <c r="M623" i="15"/>
  <c r="M622" i="15"/>
  <c r="M621" i="15"/>
  <c r="M620" i="15"/>
  <c r="M619" i="15"/>
  <c r="M618" i="15"/>
  <c r="M617" i="15"/>
  <c r="M616" i="15"/>
  <c r="M615" i="15"/>
  <c r="M614" i="15"/>
  <c r="M613" i="15"/>
  <c r="M612" i="15"/>
  <c r="M611" i="15"/>
  <c r="M610" i="15"/>
  <c r="M609" i="15"/>
  <c r="M608" i="15"/>
  <c r="M607" i="15"/>
  <c r="M606" i="15"/>
  <c r="M605" i="15"/>
  <c r="M604" i="15"/>
  <c r="M603" i="15"/>
  <c r="M602" i="15"/>
  <c r="M601" i="15"/>
  <c r="M600" i="15"/>
  <c r="M599" i="15"/>
  <c r="M598" i="15"/>
  <c r="M597" i="15"/>
  <c r="M596" i="15"/>
  <c r="M595" i="15"/>
  <c r="M594" i="15"/>
  <c r="M593" i="15"/>
  <c r="M592" i="15"/>
  <c r="M591" i="15"/>
  <c r="M590" i="15"/>
  <c r="M589" i="15"/>
  <c r="M588" i="15"/>
  <c r="M587" i="15"/>
  <c r="M586" i="15"/>
  <c r="M585" i="15"/>
  <c r="M584" i="15"/>
  <c r="M583" i="15"/>
  <c r="M582" i="15"/>
  <c r="M581" i="15"/>
  <c r="M580" i="15"/>
  <c r="M579" i="15"/>
  <c r="M578" i="15"/>
  <c r="M577" i="15"/>
  <c r="M576" i="15"/>
  <c r="M575" i="15"/>
  <c r="M574" i="15"/>
  <c r="M573" i="15"/>
  <c r="M572" i="15"/>
  <c r="M571" i="15"/>
  <c r="M570" i="15"/>
  <c r="M569" i="15"/>
  <c r="M568" i="15"/>
  <c r="M567" i="15"/>
  <c r="M566" i="15"/>
  <c r="M565" i="15"/>
  <c r="M564" i="15"/>
  <c r="M563" i="15"/>
  <c r="M562" i="15"/>
  <c r="M561" i="15"/>
  <c r="M560" i="15"/>
  <c r="M559" i="15"/>
  <c r="M558" i="15"/>
  <c r="M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7" i="15"/>
  <c r="M516" i="15"/>
  <c r="M515" i="15"/>
  <c r="M514" i="15"/>
  <c r="M513" i="15"/>
  <c r="M512" i="15"/>
  <c r="M511" i="15"/>
  <c r="M510" i="15"/>
  <c r="M509" i="15"/>
  <c r="M508" i="15"/>
  <c r="M507" i="15"/>
  <c r="M506" i="15"/>
  <c r="M505" i="15"/>
  <c r="M504" i="15"/>
  <c r="M503" i="15"/>
  <c r="M502" i="15"/>
  <c r="M501" i="15"/>
  <c r="M500" i="15"/>
  <c r="M499" i="15"/>
  <c r="M498" i="15"/>
  <c r="M497" i="15"/>
  <c r="M496" i="15"/>
  <c r="M495" i="15"/>
  <c r="M494" i="15"/>
  <c r="M493" i="15"/>
  <c r="M492" i="15"/>
  <c r="M491" i="15"/>
  <c r="M490" i="15"/>
  <c r="M489" i="15"/>
  <c r="M488" i="15"/>
  <c r="M487" i="15"/>
  <c r="M486" i="15"/>
  <c r="M485" i="15"/>
  <c r="M484" i="15"/>
  <c r="M483" i="15"/>
  <c r="M482" i="15"/>
  <c r="M481" i="15"/>
  <c r="M480" i="15"/>
  <c r="M479" i="15"/>
  <c r="M478" i="15"/>
  <c r="M477" i="15"/>
  <c r="M476" i="15"/>
  <c r="M475" i="15"/>
  <c r="M474" i="15"/>
  <c r="M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M408" i="15"/>
  <c r="M407" i="15"/>
  <c r="M406" i="15"/>
  <c r="M405" i="15"/>
  <c r="M404" i="15"/>
  <c r="M403" i="15"/>
  <c r="M402" i="15"/>
  <c r="M401" i="15"/>
  <c r="M400" i="15"/>
  <c r="M399" i="15"/>
  <c r="M398" i="15"/>
  <c r="M397" i="15"/>
  <c r="M396" i="15"/>
  <c r="M395" i="15"/>
  <c r="M394" i="15"/>
  <c r="M393" i="15"/>
  <c r="M392" i="15"/>
  <c r="M391" i="15"/>
  <c r="M390" i="15"/>
  <c r="M389" i="15"/>
  <c r="M388" i="15"/>
  <c r="M387" i="15"/>
  <c r="M386" i="15"/>
  <c r="M385" i="15"/>
  <c r="M384" i="15"/>
  <c r="M383" i="15"/>
  <c r="M382" i="15"/>
  <c r="M381" i="15"/>
  <c r="M380" i="15"/>
  <c r="M379" i="15"/>
  <c r="M378" i="15"/>
  <c r="M377" i="15"/>
  <c r="M376" i="15"/>
  <c r="M375" i="15"/>
  <c r="M374" i="15"/>
  <c r="M373" i="15"/>
  <c r="M372" i="15"/>
  <c r="M371" i="15"/>
  <c r="M370" i="15"/>
  <c r="M369" i="15"/>
  <c r="M368" i="15"/>
  <c r="M367" i="15"/>
  <c r="M366" i="15"/>
  <c r="M365" i="15"/>
  <c r="M364" i="15"/>
  <c r="M363" i="15"/>
  <c r="M362" i="15"/>
  <c r="M361" i="15"/>
  <c r="M360" i="15"/>
  <c r="M359" i="15"/>
  <c r="M358" i="15"/>
  <c r="M357" i="15"/>
  <c r="M356" i="15"/>
  <c r="M355" i="15"/>
  <c r="M354" i="15"/>
  <c r="M353" i="15"/>
  <c r="M352" i="15"/>
  <c r="M351" i="15"/>
  <c r="M350" i="15"/>
  <c r="M349" i="15"/>
  <c r="M348" i="15"/>
  <c r="M347" i="15"/>
  <c r="M346" i="15"/>
  <c r="M345" i="15"/>
  <c r="M344" i="15"/>
  <c r="M343" i="15"/>
  <c r="M342" i="15"/>
  <c r="M341" i="15"/>
  <c r="M340" i="15"/>
  <c r="M339" i="15"/>
  <c r="M338" i="15"/>
  <c r="M337" i="15"/>
  <c r="M336" i="15"/>
  <c r="M335" i="15"/>
  <c r="M334" i="15"/>
  <c r="M333" i="15"/>
  <c r="M332" i="15"/>
  <c r="M331" i="15"/>
  <c r="M330" i="15"/>
  <c r="M329" i="15"/>
  <c r="M328" i="15"/>
  <c r="M327" i="15"/>
  <c r="M326" i="15"/>
  <c r="M325" i="15"/>
  <c r="M324" i="15"/>
  <c r="M323" i="15"/>
  <c r="M322" i="15"/>
  <c r="M321" i="15"/>
  <c r="M320" i="15"/>
  <c r="M319" i="15"/>
  <c r="M318" i="15"/>
  <c r="M317" i="15"/>
  <c r="M316" i="15"/>
  <c r="M315" i="15"/>
  <c r="M314" i="15"/>
  <c r="M313" i="15"/>
  <c r="M312" i="15"/>
  <c r="M311" i="15"/>
  <c r="M310" i="15"/>
  <c r="M309" i="15"/>
  <c r="M308" i="15"/>
  <c r="M307" i="15"/>
  <c r="M306" i="15"/>
  <c r="M305" i="15"/>
  <c r="M304" i="15"/>
  <c r="M303" i="15"/>
  <c r="M302" i="15"/>
  <c r="M301" i="15"/>
  <c r="M300" i="15"/>
  <c r="M299" i="15"/>
  <c r="M298" i="15"/>
  <c r="M297" i="15"/>
  <c r="M296" i="15"/>
  <c r="M295" i="15"/>
  <c r="M294" i="15"/>
  <c r="M293" i="15"/>
  <c r="M292" i="15"/>
  <c r="M291" i="15"/>
  <c r="M290" i="15"/>
  <c r="M289" i="15"/>
  <c r="M288" i="15"/>
  <c r="M287" i="15"/>
  <c r="M286" i="15"/>
  <c r="M285" i="15"/>
  <c r="M284" i="15"/>
  <c r="M283" i="15"/>
  <c r="M282" i="15"/>
  <c r="M281" i="15"/>
  <c r="M280" i="15"/>
  <c r="M279" i="15"/>
  <c r="M278" i="15"/>
  <c r="M277" i="15"/>
  <c r="M276" i="15"/>
  <c r="M275" i="15"/>
  <c r="M274" i="15"/>
  <c r="M273" i="15"/>
  <c r="M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M186" i="15"/>
  <c r="M185" i="15"/>
  <c r="M184" i="15"/>
  <c r="M183" i="15"/>
  <c r="M182" i="15"/>
  <c r="M181" i="15"/>
  <c r="M180" i="15"/>
  <c r="M179" i="15"/>
  <c r="M178" i="15"/>
  <c r="M177" i="15"/>
  <c r="M176" i="15"/>
  <c r="M175" i="15"/>
  <c r="M174" i="15"/>
  <c r="M173" i="15"/>
  <c r="M172" i="15"/>
  <c r="M171" i="15"/>
  <c r="M170" i="15"/>
  <c r="M169" i="15"/>
  <c r="M168" i="15"/>
  <c r="M167" i="15"/>
  <c r="M166" i="15"/>
  <c r="M165" i="15"/>
  <c r="M164" i="15"/>
  <c r="M163" i="15"/>
  <c r="M162" i="15"/>
  <c r="M161" i="15"/>
  <c r="M160" i="15"/>
  <c r="M159" i="15"/>
  <c r="M158" i="15"/>
  <c r="M157" i="15"/>
  <c r="M156" i="15"/>
  <c r="M155" i="15"/>
  <c r="M154" i="15"/>
  <c r="M153" i="15"/>
  <c r="M152" i="15"/>
  <c r="M151" i="15"/>
  <c r="M150" i="15"/>
  <c r="M149" i="15"/>
  <c r="M148" i="15"/>
  <c r="M147" i="15"/>
  <c r="M146" i="15"/>
  <c r="M145" i="15"/>
  <c r="M144" i="15"/>
  <c r="M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M94" i="15"/>
  <c r="M93" i="15"/>
  <c r="M92" i="15"/>
  <c r="M91" i="15"/>
  <c r="M90" i="15"/>
  <c r="M89" i="15"/>
  <c r="M88" i="15"/>
  <c r="M87" i="15"/>
  <c r="M86" i="15"/>
  <c r="M85" i="15"/>
  <c r="M84" i="15"/>
  <c r="M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M66" i="15"/>
  <c r="M65" i="15"/>
  <c r="M64" i="15"/>
  <c r="M63" i="15"/>
  <c r="M62" i="15"/>
  <c r="M61" i="15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M2" i="15"/>
  <c r="L3091" i="15"/>
  <c r="L3090" i="15"/>
  <c r="L3089" i="15"/>
  <c r="L3088" i="15"/>
  <c r="L3087" i="15"/>
  <c r="L3086" i="15"/>
  <c r="L3085" i="15"/>
  <c r="L3084" i="15"/>
  <c r="L3083" i="15"/>
  <c r="L3082" i="15"/>
  <c r="L3081" i="15"/>
  <c r="L3080" i="15"/>
  <c r="L3079" i="15"/>
  <c r="L3078" i="15"/>
  <c r="L3077" i="15"/>
  <c r="L3076" i="15"/>
  <c r="L3075" i="15"/>
  <c r="L3074" i="15"/>
  <c r="L3073" i="15"/>
  <c r="L3072" i="15"/>
  <c r="L3071" i="15"/>
  <c r="L3070" i="15"/>
  <c r="L3069" i="15"/>
  <c r="L3068" i="15"/>
  <c r="L3067" i="15"/>
  <c r="L3066" i="15"/>
  <c r="L3065" i="15"/>
  <c r="L3064" i="15"/>
  <c r="L3063" i="15"/>
  <c r="L3062" i="15"/>
  <c r="L3061" i="15"/>
  <c r="L3060" i="15"/>
  <c r="L3059" i="15"/>
  <c r="L3058" i="15"/>
  <c r="L3057" i="15"/>
  <c r="L3056" i="15"/>
  <c r="L3055" i="15"/>
  <c r="L3054" i="15"/>
  <c r="L3053" i="15"/>
  <c r="L3052" i="15"/>
  <c r="L3051" i="15"/>
  <c r="L3050" i="15"/>
  <c r="L3049" i="15"/>
  <c r="L3048" i="15"/>
  <c r="L3047" i="15"/>
  <c r="L3046" i="15"/>
  <c r="L3045" i="15"/>
  <c r="L3044" i="15"/>
  <c r="L3043" i="15"/>
  <c r="L3042" i="15"/>
  <c r="L3041" i="15"/>
  <c r="L3040" i="15"/>
  <c r="L3039" i="15"/>
  <c r="L3038" i="15"/>
  <c r="L3037" i="15"/>
  <c r="L3036" i="15"/>
  <c r="L3035" i="15"/>
  <c r="L3034" i="15"/>
  <c r="L3033" i="15"/>
  <c r="L3032" i="15"/>
  <c r="L3031" i="15"/>
  <c r="L3030" i="15"/>
  <c r="L3029" i="15"/>
  <c r="L3028" i="15"/>
  <c r="L3027" i="15"/>
  <c r="L3026" i="15"/>
  <c r="L3025" i="15"/>
  <c r="L3024" i="15"/>
  <c r="L3023" i="15"/>
  <c r="L3022" i="15"/>
  <c r="L3021" i="15"/>
  <c r="L3020" i="15"/>
  <c r="L3019" i="15"/>
  <c r="L3018" i="15"/>
  <c r="L3017" i="15"/>
  <c r="L3016" i="15"/>
  <c r="L3015" i="15"/>
  <c r="L3014" i="15"/>
  <c r="L3013" i="15"/>
  <c r="L3012" i="15"/>
  <c r="L3011" i="15"/>
  <c r="L3010" i="15"/>
  <c r="L3009" i="15"/>
  <c r="L3008" i="15"/>
  <c r="L3007" i="15"/>
  <c r="L3006" i="15"/>
  <c r="L3005" i="15"/>
  <c r="L3004" i="15"/>
  <c r="L3003" i="15"/>
  <c r="L3002" i="15"/>
  <c r="L3001" i="15"/>
  <c r="L3000" i="15"/>
  <c r="L2999" i="15"/>
  <c r="L2998" i="15"/>
  <c r="L2997" i="15"/>
  <c r="L2996" i="15"/>
  <c r="L2995" i="15"/>
  <c r="L2994" i="15"/>
  <c r="L2993" i="15"/>
  <c r="L2992" i="15"/>
  <c r="L2991" i="15"/>
  <c r="L2990" i="15"/>
  <c r="L2989" i="15"/>
  <c r="L2988" i="15"/>
  <c r="L2987" i="15"/>
  <c r="L2986" i="15"/>
  <c r="L2985" i="15"/>
  <c r="L2984" i="15"/>
  <c r="L2983" i="15"/>
  <c r="L2982" i="15"/>
  <c r="L2981" i="15"/>
  <c r="L2980" i="15"/>
  <c r="L2979" i="15"/>
  <c r="L2978" i="15"/>
  <c r="L2977" i="15"/>
  <c r="L2976" i="15"/>
  <c r="L2975" i="15"/>
  <c r="L2974" i="15"/>
  <c r="L2973" i="15"/>
  <c r="L2972" i="15"/>
  <c r="L2971" i="15"/>
  <c r="L2970" i="15"/>
  <c r="L2969" i="15"/>
  <c r="L2968" i="15"/>
  <c r="L2967" i="15"/>
  <c r="L2966" i="15"/>
  <c r="L2965" i="15"/>
  <c r="L2964" i="15"/>
  <c r="L2963" i="15"/>
  <c r="L2962" i="15"/>
  <c r="L2961" i="15"/>
  <c r="L2960" i="15"/>
  <c r="L2959" i="15"/>
  <c r="L2958" i="15"/>
  <c r="L2957" i="15"/>
  <c r="L2956" i="15"/>
  <c r="L2955" i="15"/>
  <c r="L2954" i="15"/>
  <c r="L2953" i="15"/>
  <c r="L2952" i="15"/>
  <c r="L2951" i="15"/>
  <c r="L2950" i="15"/>
  <c r="L2949" i="15"/>
  <c r="L2948" i="15"/>
  <c r="L2947" i="15"/>
  <c r="L2946" i="15"/>
  <c r="L2945" i="15"/>
  <c r="L2944" i="15"/>
  <c r="L2943" i="15"/>
  <c r="L2942" i="15"/>
  <c r="L2941" i="15"/>
  <c r="L2940" i="15"/>
  <c r="L2939" i="15"/>
  <c r="L2938" i="15"/>
  <c r="L2937" i="15"/>
  <c r="L2936" i="15"/>
  <c r="L2935" i="15"/>
  <c r="L2934" i="15"/>
  <c r="L2933" i="15"/>
  <c r="L2932" i="15"/>
  <c r="L2931" i="15"/>
  <c r="L2930" i="15"/>
  <c r="L2929" i="15"/>
  <c r="L2928" i="15"/>
  <c r="L2927" i="15"/>
  <c r="L2926" i="15"/>
  <c r="L2925" i="15"/>
  <c r="L2924" i="15"/>
  <c r="L2923" i="15"/>
  <c r="L2922" i="15"/>
  <c r="L2921" i="15"/>
  <c r="L2920" i="15"/>
  <c r="L2919" i="15"/>
  <c r="L2918" i="15"/>
  <c r="L2917" i="15"/>
  <c r="L2916" i="15"/>
  <c r="L2915" i="15"/>
  <c r="L2914" i="15"/>
  <c r="L2913" i="15"/>
  <c r="L2912" i="15"/>
  <c r="L2911" i="15"/>
  <c r="L2910" i="15"/>
  <c r="L2909" i="15"/>
  <c r="L2908" i="15"/>
  <c r="L2907" i="15"/>
  <c r="L2906" i="15"/>
  <c r="L2905" i="15"/>
  <c r="L2904" i="15"/>
  <c r="L2903" i="15"/>
  <c r="L2902" i="15"/>
  <c r="L2901" i="15"/>
  <c r="L2900" i="15"/>
  <c r="L2899" i="15"/>
  <c r="L2898" i="15"/>
  <c r="L2897" i="15"/>
  <c r="L2896" i="15"/>
  <c r="L2895" i="15"/>
  <c r="L2894" i="15"/>
  <c r="L2893" i="15"/>
  <c r="L2892" i="15"/>
  <c r="L2891" i="15"/>
  <c r="L2890" i="15"/>
  <c r="L2889" i="15"/>
  <c r="L2888" i="15"/>
  <c r="L2887" i="15"/>
  <c r="L2886" i="15"/>
  <c r="L2885" i="15"/>
  <c r="L2884" i="15"/>
  <c r="L2883" i="15"/>
  <c r="L2882" i="15"/>
  <c r="L2881" i="15"/>
  <c r="L2880" i="15"/>
  <c r="L2879" i="15"/>
  <c r="L2878" i="15"/>
  <c r="L2877" i="15"/>
  <c r="L2876" i="15"/>
  <c r="L2875" i="15"/>
  <c r="L2874" i="15"/>
  <c r="L2873" i="15"/>
  <c r="L2872" i="15"/>
  <c r="L2871" i="15"/>
  <c r="L2870" i="15"/>
  <c r="L2869" i="15"/>
  <c r="L2868" i="15"/>
  <c r="L2867" i="15"/>
  <c r="L2866" i="15"/>
  <c r="L2865" i="15"/>
  <c r="L2864" i="15"/>
  <c r="L2863" i="15"/>
  <c r="L2862" i="15"/>
  <c r="L2861" i="15"/>
  <c r="L2860" i="15"/>
  <c r="L2859" i="15"/>
  <c r="L2858" i="15"/>
  <c r="L2857" i="15"/>
  <c r="L2856" i="15"/>
  <c r="L2855" i="15"/>
  <c r="L2854" i="15"/>
  <c r="L2853" i="15"/>
  <c r="L2852" i="15"/>
  <c r="L2851" i="15"/>
  <c r="L2850" i="15"/>
  <c r="L2849" i="15"/>
  <c r="L2848" i="15"/>
  <c r="L2847" i="15"/>
  <c r="L2846" i="15"/>
  <c r="L2845" i="15"/>
  <c r="L2844" i="15"/>
  <c r="L2843" i="15"/>
  <c r="L2842" i="15"/>
  <c r="L2841" i="15"/>
  <c r="L2840" i="15"/>
  <c r="L2839" i="15"/>
  <c r="L2838" i="15"/>
  <c r="L2837" i="15"/>
  <c r="L2836" i="15"/>
  <c r="L2835" i="15"/>
  <c r="L2834" i="15"/>
  <c r="L2833" i="15"/>
  <c r="L2832" i="15"/>
  <c r="L2831" i="15"/>
  <c r="L2830" i="15"/>
  <c r="L2829" i="15"/>
  <c r="L2828" i="15"/>
  <c r="L2827" i="15"/>
  <c r="L2826" i="15"/>
  <c r="L2825" i="15"/>
  <c r="L2824" i="15"/>
  <c r="L2823" i="15"/>
  <c r="L2822" i="15"/>
  <c r="L2821" i="15"/>
  <c r="L2820" i="15"/>
  <c r="L2819" i="15"/>
  <c r="L2818" i="15"/>
  <c r="L2817" i="15"/>
  <c r="L2816" i="15"/>
  <c r="L2815" i="15"/>
  <c r="L2814" i="15"/>
  <c r="L2813" i="15"/>
  <c r="L2812" i="15"/>
  <c r="L2811" i="15"/>
  <c r="L2810" i="15"/>
  <c r="L2809" i="15"/>
  <c r="L2808" i="15"/>
  <c r="L2807" i="15"/>
  <c r="L2806" i="15"/>
  <c r="L2805" i="15"/>
  <c r="L2804" i="15"/>
  <c r="L2803" i="15"/>
  <c r="L2802" i="15"/>
  <c r="L2801" i="15"/>
  <c r="L2800" i="15"/>
  <c r="L2799" i="15"/>
  <c r="L2798" i="15"/>
  <c r="L2797" i="15"/>
  <c r="L2796" i="15"/>
  <c r="L2795" i="15"/>
  <c r="L2794" i="15"/>
  <c r="L2793" i="15"/>
  <c r="L2792" i="15"/>
  <c r="L2791" i="15"/>
  <c r="L2790" i="15"/>
  <c r="L2789" i="15"/>
  <c r="L2788" i="15"/>
  <c r="L2787" i="15"/>
  <c r="L2786" i="15"/>
  <c r="L2785" i="15"/>
  <c r="L2784" i="15"/>
  <c r="L2783" i="15"/>
  <c r="L2782" i="15"/>
  <c r="L2781" i="15"/>
  <c r="L2780" i="15"/>
  <c r="L2779" i="15"/>
  <c r="L2778" i="15"/>
  <c r="L2777" i="15"/>
  <c r="L2776" i="15"/>
  <c r="L2775" i="15"/>
  <c r="L2774" i="15"/>
  <c r="L2773" i="15"/>
  <c r="L2772" i="15"/>
  <c r="L2771" i="15"/>
  <c r="L2770" i="15"/>
  <c r="L2769" i="15"/>
  <c r="L2768" i="15"/>
  <c r="L2767" i="15"/>
  <c r="L2766" i="15"/>
  <c r="L2765" i="15"/>
  <c r="L2764" i="15"/>
  <c r="L2763" i="15"/>
  <c r="L2762" i="15"/>
  <c r="L2761" i="15"/>
  <c r="L2760" i="15"/>
  <c r="L2759" i="15"/>
  <c r="L2758" i="15"/>
  <c r="L2757" i="15"/>
  <c r="L2756" i="15"/>
  <c r="L2755" i="15"/>
  <c r="L2754" i="15"/>
  <c r="L2753" i="15"/>
  <c r="L2752" i="15"/>
  <c r="L2751" i="15"/>
  <c r="L2750" i="15"/>
  <c r="L2749" i="15"/>
  <c r="L2748" i="15"/>
  <c r="L2747" i="15"/>
  <c r="L2746" i="15"/>
  <c r="L2745" i="15"/>
  <c r="L2744" i="15"/>
  <c r="L2743" i="15"/>
  <c r="L2742" i="15"/>
  <c r="L2741" i="15"/>
  <c r="L2740" i="15"/>
  <c r="L2739" i="15"/>
  <c r="L2738" i="15"/>
  <c r="L2737" i="15"/>
  <c r="L2736" i="15"/>
  <c r="L2735" i="15"/>
  <c r="L2734" i="15"/>
  <c r="L2733" i="15"/>
  <c r="L2732" i="15"/>
  <c r="L2731" i="15"/>
  <c r="L2730" i="15"/>
  <c r="L2729" i="15"/>
  <c r="L2728" i="15"/>
  <c r="L2727" i="15"/>
  <c r="L2726" i="15"/>
  <c r="L2725" i="15"/>
  <c r="L2724" i="15"/>
  <c r="L2723" i="15"/>
  <c r="L2722" i="15"/>
  <c r="L2721" i="15"/>
  <c r="L2720" i="15"/>
  <c r="L2719" i="15"/>
  <c r="L2718" i="15"/>
  <c r="L2717" i="15"/>
  <c r="L2716" i="15"/>
  <c r="L2715" i="15"/>
  <c r="L2714" i="15"/>
  <c r="L2713" i="15"/>
  <c r="L2712" i="15"/>
  <c r="L2711" i="15"/>
  <c r="L2710" i="15"/>
  <c r="L2709" i="15"/>
  <c r="L2708" i="15"/>
  <c r="L2707" i="15"/>
  <c r="L2706" i="15"/>
  <c r="L2705" i="15"/>
  <c r="L2704" i="15"/>
  <c r="L2703" i="15"/>
  <c r="L2702" i="15"/>
  <c r="L2701" i="15"/>
  <c r="L2700" i="15"/>
  <c r="L2699" i="15"/>
  <c r="L2698" i="15"/>
  <c r="L2697" i="15"/>
  <c r="L2696" i="15"/>
  <c r="L2695" i="15"/>
  <c r="L2694" i="15"/>
  <c r="L2693" i="15"/>
  <c r="L2692" i="15"/>
  <c r="L2691" i="15"/>
  <c r="L2690" i="15"/>
  <c r="L2689" i="15"/>
  <c r="L2688" i="15"/>
  <c r="L2687" i="15"/>
  <c r="L2686" i="15"/>
  <c r="L2685" i="15"/>
  <c r="L2684" i="15"/>
  <c r="L2683" i="15"/>
  <c r="L2682" i="15"/>
  <c r="L2681" i="15"/>
  <c r="L2680" i="15"/>
  <c r="L2679" i="15"/>
  <c r="L2678" i="15"/>
  <c r="L2677" i="15"/>
  <c r="L2676" i="15"/>
  <c r="L2675" i="15"/>
  <c r="L2674" i="15"/>
  <c r="L2673" i="15"/>
  <c r="L2672" i="15"/>
  <c r="L2671" i="15"/>
  <c r="L2670" i="15"/>
  <c r="L2669" i="15"/>
  <c r="L2668" i="15"/>
  <c r="L2667" i="15"/>
  <c r="L2666" i="15"/>
  <c r="L2665" i="15"/>
  <c r="L2664" i="15"/>
  <c r="L2663" i="15"/>
  <c r="L2662" i="15"/>
  <c r="L2661" i="15"/>
  <c r="L2660" i="15"/>
  <c r="L2659" i="15"/>
  <c r="L2658" i="15"/>
  <c r="L2657" i="15"/>
  <c r="L2656" i="15"/>
  <c r="L2655" i="15"/>
  <c r="L2654" i="15"/>
  <c r="L2653" i="15"/>
  <c r="L2652" i="15"/>
  <c r="L2651" i="15"/>
  <c r="L2650" i="15"/>
  <c r="L2649" i="15"/>
  <c r="L2648" i="15"/>
  <c r="L2647" i="15"/>
  <c r="L2646" i="15"/>
  <c r="L2645" i="15"/>
  <c r="L2644" i="15"/>
  <c r="L2643" i="15"/>
  <c r="L2642" i="15"/>
  <c r="L2641" i="15"/>
  <c r="L2640" i="15"/>
  <c r="L2639" i="15"/>
  <c r="L2638" i="15"/>
  <c r="L2637" i="15"/>
  <c r="L2636" i="15"/>
  <c r="L2635" i="15"/>
  <c r="L2634" i="15"/>
  <c r="L2633" i="15"/>
  <c r="L2632" i="15"/>
  <c r="L2631" i="15"/>
  <c r="L2630" i="15"/>
  <c r="L2629" i="15"/>
  <c r="L2628" i="15"/>
  <c r="L2627" i="15"/>
  <c r="L2626" i="15"/>
  <c r="L2625" i="15"/>
  <c r="L2624" i="15"/>
  <c r="L2623" i="15"/>
  <c r="L2622" i="15"/>
  <c r="L2621" i="15"/>
  <c r="L2620" i="15"/>
  <c r="L2619" i="15"/>
  <c r="L2618" i="15"/>
  <c r="L2617" i="15"/>
  <c r="L2616" i="15"/>
  <c r="L2615" i="15"/>
  <c r="L2614" i="15"/>
  <c r="L2613" i="15"/>
  <c r="L2612" i="15"/>
  <c r="L2611" i="15"/>
  <c r="L2610" i="15"/>
  <c r="L2609" i="15"/>
  <c r="L2608" i="15"/>
  <c r="L2607" i="15"/>
  <c r="L2606" i="15"/>
  <c r="L2605" i="15"/>
  <c r="L2604" i="15"/>
  <c r="L2603" i="15"/>
  <c r="L2602" i="15"/>
  <c r="L2601" i="15"/>
  <c r="L2600" i="15"/>
  <c r="L2599" i="15"/>
  <c r="L2598" i="15"/>
  <c r="L2597" i="15"/>
  <c r="L2596" i="15"/>
  <c r="L2595" i="15"/>
  <c r="L2594" i="15"/>
  <c r="L2593" i="15"/>
  <c r="L2592" i="15"/>
  <c r="L2591" i="15"/>
  <c r="L2590" i="15"/>
  <c r="L2589" i="15"/>
  <c r="L2588" i="15"/>
  <c r="L2587" i="15"/>
  <c r="L2586" i="15"/>
  <c r="L2585" i="15"/>
  <c r="L2584" i="15"/>
  <c r="L2583" i="15"/>
  <c r="L2582" i="15"/>
  <c r="L2581" i="15"/>
  <c r="L2580" i="15"/>
  <c r="L2579" i="15"/>
  <c r="L2578" i="15"/>
  <c r="L2577" i="15"/>
  <c r="L2576" i="15"/>
  <c r="L2575" i="15"/>
  <c r="L2574" i="15"/>
  <c r="L2573" i="15"/>
  <c r="L2572" i="15"/>
  <c r="L2571" i="15"/>
  <c r="L2570" i="15"/>
  <c r="L2569" i="15"/>
  <c r="L2568" i="15"/>
  <c r="L2567" i="15"/>
  <c r="L2566" i="15"/>
  <c r="L2565" i="15"/>
  <c r="L2564" i="15"/>
  <c r="L2563" i="15"/>
  <c r="L2562" i="15"/>
  <c r="L2561" i="15"/>
  <c r="L2560" i="15"/>
  <c r="L2559" i="15"/>
  <c r="L2558" i="15"/>
  <c r="L2557" i="15"/>
  <c r="L2556" i="15"/>
  <c r="L2555" i="15"/>
  <c r="L2554" i="15"/>
  <c r="L2553" i="15"/>
  <c r="L2552" i="15"/>
  <c r="L2551" i="15"/>
  <c r="L2550" i="15"/>
  <c r="L2549" i="15"/>
  <c r="L2548" i="15"/>
  <c r="L2547" i="15"/>
  <c r="L2546" i="15"/>
  <c r="L2545" i="15"/>
  <c r="L2544" i="15"/>
  <c r="L2543" i="15"/>
  <c r="L2542" i="15"/>
  <c r="L2541" i="15"/>
  <c r="L2540" i="15"/>
  <c r="L2539" i="15"/>
  <c r="L2538" i="15"/>
  <c r="L2537" i="15"/>
  <c r="L2536" i="15"/>
  <c r="L2535" i="15"/>
  <c r="L2534" i="15"/>
  <c r="L2533" i="15"/>
  <c r="L2532" i="15"/>
  <c r="L2531" i="15"/>
  <c r="L2530" i="15"/>
  <c r="L2529" i="15"/>
  <c r="L2528" i="15"/>
  <c r="L2527" i="15"/>
  <c r="L2526" i="15"/>
  <c r="L2525" i="15"/>
  <c r="L2524" i="15"/>
  <c r="L2523" i="15"/>
  <c r="L2522" i="15"/>
  <c r="L2521" i="15"/>
  <c r="L2520" i="15"/>
  <c r="L2519" i="15"/>
  <c r="L2518" i="15"/>
  <c r="L2517" i="15"/>
  <c r="L2516" i="15"/>
  <c r="L2515" i="15"/>
  <c r="L2514" i="15"/>
  <c r="L2513" i="15"/>
  <c r="L2512" i="15"/>
  <c r="L2511" i="15"/>
  <c r="L2510" i="15"/>
  <c r="L2509" i="15"/>
  <c r="L2508" i="15"/>
  <c r="L2507" i="15"/>
  <c r="L2506" i="15"/>
  <c r="L2505" i="15"/>
  <c r="L2504" i="15"/>
  <c r="L2503" i="15"/>
  <c r="L2502" i="15"/>
  <c r="L2501" i="15"/>
  <c r="L2500" i="15"/>
  <c r="L2499" i="15"/>
  <c r="L2498" i="15"/>
  <c r="L2497" i="15"/>
  <c r="L2496" i="15"/>
  <c r="L2495" i="15"/>
  <c r="L2494" i="15"/>
  <c r="L2493" i="15"/>
  <c r="L2492" i="15"/>
  <c r="L2491" i="15"/>
  <c r="L2490" i="15"/>
  <c r="L2489" i="15"/>
  <c r="L2488" i="15"/>
  <c r="L2487" i="15"/>
  <c r="L2486" i="15"/>
  <c r="L2485" i="15"/>
  <c r="L2484" i="15"/>
  <c r="L2483" i="15"/>
  <c r="L2482" i="15"/>
  <c r="L2481" i="15"/>
  <c r="L2480" i="15"/>
  <c r="L2479" i="15"/>
  <c r="L2478" i="15"/>
  <c r="L2477" i="15"/>
  <c r="L2476" i="15"/>
  <c r="L2475" i="15"/>
  <c r="L2474" i="15"/>
  <c r="L2473" i="15"/>
  <c r="L2472" i="15"/>
  <c r="L2471" i="15"/>
  <c r="L2470" i="15"/>
  <c r="L2469" i="15"/>
  <c r="L2468" i="15"/>
  <c r="L2467" i="15"/>
  <c r="L2466" i="15"/>
  <c r="L2465" i="15"/>
  <c r="L2464" i="15"/>
  <c r="L2463" i="15"/>
  <c r="L2462" i="15"/>
  <c r="L2461" i="15"/>
  <c r="L2460" i="15"/>
  <c r="L2459" i="15"/>
  <c r="L2458" i="15"/>
  <c r="L2457" i="15"/>
  <c r="L2456" i="15"/>
  <c r="L2455" i="15"/>
  <c r="L2454" i="15"/>
  <c r="L2453" i="15"/>
  <c r="L2452" i="15"/>
  <c r="L2451" i="15"/>
  <c r="L2450" i="15"/>
  <c r="L2449" i="15"/>
  <c r="L2448" i="15"/>
  <c r="L2447" i="15"/>
  <c r="L2446" i="15"/>
  <c r="L2445" i="15"/>
  <c r="L2444" i="15"/>
  <c r="L2443" i="15"/>
  <c r="L2442" i="15"/>
  <c r="L2441" i="15"/>
  <c r="L2440" i="15"/>
  <c r="L2439" i="15"/>
  <c r="L2438" i="15"/>
  <c r="L2437" i="15"/>
  <c r="L2436" i="15"/>
  <c r="L2435" i="15"/>
  <c r="L2434" i="15"/>
  <c r="L2433" i="15"/>
  <c r="L2432" i="15"/>
  <c r="L2431" i="15"/>
  <c r="L2430" i="15"/>
  <c r="L2429" i="15"/>
  <c r="L2428" i="15"/>
  <c r="L2427" i="15"/>
  <c r="L2426" i="15"/>
  <c r="L2425" i="15"/>
  <c r="L2424" i="15"/>
  <c r="L2423" i="15"/>
  <c r="L2422" i="15"/>
  <c r="L2421" i="15"/>
  <c r="L2420" i="15"/>
  <c r="L2419" i="15"/>
  <c r="L2418" i="15"/>
  <c r="L2417" i="15"/>
  <c r="L2416" i="15"/>
  <c r="L2415" i="15"/>
  <c r="L2414" i="15"/>
  <c r="L2413" i="15"/>
  <c r="L2412" i="15"/>
  <c r="L2411" i="15"/>
  <c r="L2410" i="15"/>
  <c r="L2409" i="15"/>
  <c r="L2408" i="15"/>
  <c r="L2407" i="15"/>
  <c r="L2406" i="15"/>
  <c r="L2405" i="15"/>
  <c r="L2404" i="15"/>
  <c r="L2403" i="15"/>
  <c r="L2402" i="15"/>
  <c r="L2401" i="15"/>
  <c r="L2400" i="15"/>
  <c r="L2399" i="15"/>
  <c r="L2398" i="15"/>
  <c r="L2397" i="15"/>
  <c r="L2396" i="15"/>
  <c r="L2395" i="15"/>
  <c r="L2394" i="15"/>
  <c r="L2393" i="15"/>
  <c r="L2392" i="15"/>
  <c r="L2391" i="15"/>
  <c r="L2390" i="15"/>
  <c r="L2389" i="15"/>
  <c r="L2388" i="15"/>
  <c r="L2387" i="15"/>
  <c r="L2386" i="15"/>
  <c r="L2385" i="15"/>
  <c r="L2384" i="15"/>
  <c r="L2383" i="15"/>
  <c r="L2382" i="15"/>
  <c r="L2381" i="15"/>
  <c r="L2380" i="15"/>
  <c r="L2379" i="15"/>
  <c r="L2378" i="15"/>
  <c r="L2377" i="15"/>
  <c r="L2376" i="15"/>
  <c r="L2375" i="15"/>
  <c r="L2374" i="15"/>
  <c r="L2373" i="15"/>
  <c r="L2372" i="15"/>
  <c r="L2371" i="15"/>
  <c r="L2370" i="15"/>
  <c r="L2369" i="15"/>
  <c r="L2368" i="15"/>
  <c r="L2367" i="15"/>
  <c r="L2366" i="15"/>
  <c r="L2365" i="15"/>
  <c r="L2364" i="15"/>
  <c r="L2363" i="15"/>
  <c r="L2362" i="15"/>
  <c r="L2361" i="15"/>
  <c r="L2360" i="15"/>
  <c r="L2359" i="15"/>
  <c r="L2358" i="15"/>
  <c r="L2357" i="15"/>
  <c r="L2356" i="15"/>
  <c r="L2355" i="15"/>
  <c r="L2354" i="15"/>
  <c r="L2353" i="15"/>
  <c r="L2352" i="15"/>
  <c r="L2351" i="15"/>
  <c r="L2350" i="15"/>
  <c r="L2349" i="15"/>
  <c r="L2348" i="15"/>
  <c r="L2347" i="15"/>
  <c r="L2346" i="15"/>
  <c r="L2345" i="15"/>
  <c r="L2344" i="15"/>
  <c r="L2343" i="15"/>
  <c r="L2342" i="15"/>
  <c r="L2341" i="15"/>
  <c r="L2340" i="15"/>
  <c r="L2339" i="15"/>
  <c r="L2338" i="15"/>
  <c r="L2337" i="15"/>
  <c r="L2336" i="15"/>
  <c r="L2335" i="15"/>
  <c r="L2334" i="15"/>
  <c r="L2333" i="15"/>
  <c r="L2332" i="15"/>
  <c r="L2331" i="15"/>
  <c r="L2330" i="15"/>
  <c r="L2329" i="15"/>
  <c r="L2328" i="15"/>
  <c r="L2327" i="15"/>
  <c r="L2326" i="15"/>
  <c r="L2325" i="15"/>
  <c r="L2324" i="15"/>
  <c r="L2323" i="15"/>
  <c r="L2322" i="15"/>
  <c r="L2321" i="15"/>
  <c r="L2320" i="15"/>
  <c r="L2319" i="15"/>
  <c r="L2318" i="15"/>
  <c r="L2317" i="15"/>
  <c r="L2316" i="15"/>
  <c r="L2315" i="15"/>
  <c r="L2314" i="15"/>
  <c r="L2313" i="15"/>
  <c r="L2312" i="15"/>
  <c r="L2311" i="15"/>
  <c r="L2310" i="15"/>
  <c r="L2309" i="15"/>
  <c r="L2308" i="15"/>
  <c r="L2307" i="15"/>
  <c r="L2306" i="15"/>
  <c r="L2305" i="15"/>
  <c r="L2304" i="15"/>
  <c r="L2303" i="15"/>
  <c r="L2302" i="15"/>
  <c r="L2301" i="15"/>
  <c r="L2300" i="15"/>
  <c r="L2299" i="15"/>
  <c r="L2298" i="15"/>
  <c r="L2297" i="15"/>
  <c r="L2296" i="15"/>
  <c r="L2295" i="15"/>
  <c r="L2294" i="15"/>
  <c r="L2293" i="15"/>
  <c r="L2292" i="15"/>
  <c r="L2291" i="15"/>
  <c r="L2290" i="15"/>
  <c r="L2289" i="15"/>
  <c r="L2288" i="15"/>
  <c r="L2287" i="15"/>
  <c r="L2286" i="15"/>
  <c r="L2285" i="15"/>
  <c r="L2284" i="15"/>
  <c r="L2283" i="15"/>
  <c r="L2282" i="15"/>
  <c r="L2281" i="15"/>
  <c r="L2280" i="15"/>
  <c r="L2279" i="15"/>
  <c r="L2278" i="15"/>
  <c r="L2277" i="15"/>
  <c r="L2276" i="15"/>
  <c r="L2275" i="15"/>
  <c r="L2274" i="15"/>
  <c r="L2273" i="15"/>
  <c r="L2272" i="15"/>
  <c r="L2271" i="15"/>
  <c r="L2270" i="15"/>
  <c r="L2269" i="15"/>
  <c r="L2268" i="15"/>
  <c r="L2267" i="15"/>
  <c r="L2266" i="15"/>
  <c r="L2265" i="15"/>
  <c r="L2264" i="15"/>
  <c r="L2263" i="15"/>
  <c r="L2262" i="15"/>
  <c r="L2261" i="15"/>
  <c r="L2260" i="15"/>
  <c r="L2259" i="15"/>
  <c r="L2258" i="15"/>
  <c r="L2257" i="15"/>
  <c r="L2256" i="15"/>
  <c r="L2255" i="15"/>
  <c r="L2254" i="15"/>
  <c r="L2253" i="15"/>
  <c r="L2252" i="15"/>
  <c r="L2251" i="15"/>
  <c r="L2250" i="15"/>
  <c r="L2249" i="15"/>
  <c r="L2248" i="15"/>
  <c r="L2247" i="15"/>
  <c r="L2246" i="15"/>
  <c r="L2245" i="15"/>
  <c r="L2244" i="15"/>
  <c r="L2243" i="15"/>
  <c r="L2242" i="15"/>
  <c r="L2241" i="15"/>
  <c r="L2240" i="15"/>
  <c r="L2239" i="15"/>
  <c r="L2238" i="15"/>
  <c r="L2237" i="15"/>
  <c r="L2236" i="15"/>
  <c r="L2235" i="15"/>
  <c r="L2234" i="15"/>
  <c r="L2233" i="15"/>
  <c r="L2232" i="15"/>
  <c r="L2231" i="15"/>
  <c r="L2230" i="15"/>
  <c r="L2229" i="15"/>
  <c r="L2228" i="15"/>
  <c r="L2227" i="15"/>
  <c r="L2226" i="15"/>
  <c r="L2225" i="15"/>
  <c r="L2224" i="15"/>
  <c r="L2223" i="15"/>
  <c r="L2222" i="15"/>
  <c r="L2221" i="15"/>
  <c r="L2220" i="15"/>
  <c r="L2219" i="15"/>
  <c r="L2218" i="15"/>
  <c r="L2217" i="15"/>
  <c r="L2216" i="15"/>
  <c r="L2215" i="15"/>
  <c r="L2214" i="15"/>
  <c r="L2213" i="15"/>
  <c r="L2212" i="15"/>
  <c r="L2211" i="15"/>
  <c r="L2210" i="15"/>
  <c r="L2209" i="15"/>
  <c r="L2208" i="15"/>
  <c r="L2207" i="15"/>
  <c r="L2206" i="15"/>
  <c r="L2205" i="15"/>
  <c r="L2204" i="15"/>
  <c r="L2203" i="15"/>
  <c r="L2202" i="15"/>
  <c r="L2201" i="15"/>
  <c r="L2200" i="15"/>
  <c r="L2199" i="15"/>
  <c r="L2198" i="15"/>
  <c r="L2197" i="15"/>
  <c r="L2196" i="15"/>
  <c r="L2195" i="15"/>
  <c r="L2194" i="15"/>
  <c r="L2193" i="15"/>
  <c r="L2192" i="15"/>
  <c r="L2191" i="15"/>
  <c r="L2190" i="15"/>
  <c r="L2189" i="15"/>
  <c r="L2188" i="15"/>
  <c r="L2187" i="15"/>
  <c r="L2186" i="15"/>
  <c r="L2185" i="15"/>
  <c r="L2184" i="15"/>
  <c r="L2183" i="15"/>
  <c r="L2182" i="15"/>
  <c r="L2181" i="15"/>
  <c r="L2180" i="15"/>
  <c r="L2179" i="15"/>
  <c r="L2178" i="15"/>
  <c r="L2177" i="15"/>
  <c r="L2176" i="15"/>
  <c r="L2175" i="15"/>
  <c r="L2174" i="15"/>
  <c r="L2173" i="15"/>
  <c r="L2172" i="15"/>
  <c r="L2171" i="15"/>
  <c r="L2170" i="15"/>
  <c r="L2169" i="15"/>
  <c r="L2168" i="15"/>
  <c r="L2167" i="15"/>
  <c r="L2166" i="15"/>
  <c r="L2165" i="15"/>
  <c r="L2164" i="15"/>
  <c r="L2163" i="15"/>
  <c r="L2162" i="15"/>
  <c r="L2161" i="15"/>
  <c r="L2160" i="15"/>
  <c r="L2159" i="15"/>
  <c r="L2158" i="15"/>
  <c r="L2157" i="15"/>
  <c r="L2156" i="15"/>
  <c r="L2155" i="15"/>
  <c r="L2154" i="15"/>
  <c r="L2153" i="15"/>
  <c r="L2152" i="15"/>
  <c r="L2151" i="15"/>
  <c r="L2150" i="15"/>
  <c r="L2149" i="15"/>
  <c r="L2148" i="15"/>
  <c r="L2147" i="15"/>
  <c r="L2146" i="15"/>
  <c r="L2145" i="15"/>
  <c r="L2144" i="15"/>
  <c r="L2143" i="15"/>
  <c r="L2142" i="15"/>
  <c r="L2141" i="15"/>
  <c r="L2140" i="15"/>
  <c r="L2139" i="15"/>
  <c r="L2138" i="15"/>
  <c r="L2137" i="15"/>
  <c r="L2136" i="15"/>
  <c r="L2135" i="15"/>
  <c r="L2134" i="15"/>
  <c r="L2133" i="15"/>
  <c r="L2132" i="15"/>
  <c r="L2131" i="15"/>
  <c r="L2130" i="15"/>
  <c r="L2129" i="15"/>
  <c r="L2128" i="15"/>
  <c r="L2127" i="15"/>
  <c r="L2126" i="15"/>
  <c r="L2125" i="15"/>
  <c r="L2124" i="15"/>
  <c r="L2123" i="15"/>
  <c r="L2122" i="15"/>
  <c r="L2121" i="15"/>
  <c r="L2120" i="15"/>
  <c r="L2119" i="15"/>
  <c r="L2118" i="15"/>
  <c r="L2117" i="15"/>
  <c r="L2116" i="15"/>
  <c r="L2115" i="15"/>
  <c r="L2114" i="15"/>
  <c r="L2113" i="15"/>
  <c r="L2112" i="15"/>
  <c r="L2111" i="15"/>
  <c r="L2110" i="15"/>
  <c r="L2109" i="15"/>
  <c r="L2108" i="15"/>
  <c r="L2107" i="15"/>
  <c r="L2106" i="15"/>
  <c r="L2105" i="15"/>
  <c r="L2104" i="15"/>
  <c r="L2103" i="15"/>
  <c r="L2102" i="15"/>
  <c r="L2101" i="15"/>
  <c r="L2100" i="15"/>
  <c r="L2099" i="15"/>
  <c r="L2098" i="15"/>
  <c r="L2097" i="15"/>
  <c r="L2096" i="15"/>
  <c r="L2095" i="15"/>
  <c r="L2094" i="15"/>
  <c r="L2093" i="15"/>
  <c r="L2092" i="15"/>
  <c r="L2091" i="15"/>
  <c r="L2090" i="15"/>
  <c r="L2089" i="15"/>
  <c r="L2088" i="15"/>
  <c r="L2087" i="15"/>
  <c r="L2086" i="15"/>
  <c r="L2085" i="15"/>
  <c r="L2084" i="15"/>
  <c r="L2083" i="15"/>
  <c r="L2082" i="15"/>
  <c r="L2081" i="15"/>
  <c r="L2080" i="15"/>
  <c r="L2079" i="15"/>
  <c r="L2078" i="15"/>
  <c r="L2077" i="15"/>
  <c r="L2076" i="15"/>
  <c r="L2075" i="15"/>
  <c r="L2074" i="15"/>
  <c r="L2073" i="15"/>
  <c r="L2072" i="15"/>
  <c r="L2071" i="15"/>
  <c r="L2070" i="15"/>
  <c r="L2069" i="15"/>
  <c r="L2068" i="15"/>
  <c r="L2067" i="15"/>
  <c r="L2066" i="15"/>
  <c r="L2065" i="15"/>
  <c r="L2064" i="15"/>
  <c r="L2063" i="15"/>
  <c r="L2062" i="15"/>
  <c r="L2061" i="15"/>
  <c r="L2060" i="15"/>
  <c r="L2059" i="15"/>
  <c r="L2058" i="15"/>
  <c r="L2057" i="15"/>
  <c r="L2056" i="15"/>
  <c r="L2055" i="15"/>
  <c r="L2054" i="15"/>
  <c r="L2053" i="15"/>
  <c r="L2052" i="15"/>
  <c r="L2051" i="15"/>
  <c r="L2050" i="15"/>
  <c r="L2049" i="15"/>
  <c r="L2048" i="15"/>
  <c r="L2047" i="15"/>
  <c r="L2046" i="15"/>
  <c r="L2045" i="15"/>
  <c r="L2044" i="15"/>
  <c r="L2043" i="15"/>
  <c r="L2042" i="15"/>
  <c r="L2041" i="15"/>
  <c r="L2040" i="15"/>
  <c r="L2039" i="15"/>
  <c r="L2038" i="15"/>
  <c r="L2037" i="15"/>
  <c r="L2036" i="15"/>
  <c r="L2035" i="15"/>
  <c r="L2034" i="15"/>
  <c r="L2033" i="15"/>
  <c r="L2032" i="15"/>
  <c r="L2031" i="15"/>
  <c r="L2030" i="15"/>
  <c r="L2029" i="15"/>
  <c r="L2028" i="15"/>
  <c r="L2027" i="15"/>
  <c r="L2026" i="15"/>
  <c r="L2025" i="15"/>
  <c r="L2024" i="15"/>
  <c r="L2023" i="15"/>
  <c r="L2022" i="15"/>
  <c r="L2021" i="15"/>
  <c r="L2020" i="15"/>
  <c r="L2019" i="15"/>
  <c r="L2018" i="15"/>
  <c r="L2017" i="15"/>
  <c r="L2016" i="15"/>
  <c r="L2015" i="15"/>
  <c r="L2014" i="15"/>
  <c r="L2013" i="15"/>
  <c r="L2012" i="15"/>
  <c r="L2011" i="15"/>
  <c r="L2010" i="15"/>
  <c r="L2009" i="15"/>
  <c r="L2008" i="15"/>
  <c r="L2007" i="15"/>
  <c r="L2006" i="15"/>
  <c r="L2005" i="15"/>
  <c r="L2004" i="15"/>
  <c r="L2003" i="15"/>
  <c r="L2002" i="15"/>
  <c r="L2001" i="15"/>
  <c r="L2000" i="15"/>
  <c r="L1999" i="15"/>
  <c r="L1998" i="15"/>
  <c r="L1997" i="15"/>
  <c r="L1996" i="15"/>
  <c r="L1995" i="15"/>
  <c r="L1994" i="15"/>
  <c r="L1993" i="15"/>
  <c r="L1992" i="15"/>
  <c r="L1991" i="15"/>
  <c r="L1990" i="15"/>
  <c r="L1989" i="15"/>
  <c r="L1988" i="15"/>
  <c r="L1987" i="15"/>
  <c r="L1986" i="15"/>
  <c r="L1985" i="15"/>
  <c r="L1984" i="15"/>
  <c r="L1983" i="15"/>
  <c r="L1982" i="15"/>
  <c r="L1981" i="15"/>
  <c r="L1980" i="15"/>
  <c r="L1979" i="15"/>
  <c r="L1978" i="15"/>
  <c r="L1977" i="15"/>
  <c r="L1976" i="15"/>
  <c r="L1975" i="15"/>
  <c r="L1974" i="15"/>
  <c r="L1973" i="15"/>
  <c r="L1972" i="15"/>
  <c r="L1971" i="15"/>
  <c r="L1970" i="15"/>
  <c r="L1969" i="15"/>
  <c r="L1968" i="15"/>
  <c r="L1967" i="15"/>
  <c r="L1966" i="15"/>
  <c r="L1965" i="15"/>
  <c r="L1964" i="15"/>
  <c r="L1963" i="15"/>
  <c r="L1962" i="15"/>
  <c r="L1961" i="15"/>
  <c r="L1960" i="15"/>
  <c r="L1959" i="15"/>
  <c r="L1958" i="15"/>
  <c r="L1957" i="15"/>
  <c r="L1956" i="15"/>
  <c r="L1955" i="15"/>
  <c r="L1954" i="15"/>
  <c r="L1953" i="15"/>
  <c r="L1952" i="15"/>
  <c r="L1951" i="15"/>
  <c r="L1950" i="15"/>
  <c r="L1949" i="15"/>
  <c r="L1948" i="15"/>
  <c r="L1947" i="15"/>
  <c r="L1946" i="15"/>
  <c r="L1945" i="15"/>
  <c r="L1944" i="15"/>
  <c r="L1943" i="15"/>
  <c r="L1942" i="15"/>
  <c r="L1941" i="15"/>
  <c r="L1940" i="15"/>
  <c r="L1939" i="15"/>
  <c r="L1938" i="15"/>
  <c r="L1937" i="15"/>
  <c r="L1936" i="15"/>
  <c r="L1935" i="15"/>
  <c r="L1934" i="15"/>
  <c r="L1933" i="15"/>
  <c r="L1932" i="15"/>
  <c r="L1931" i="15"/>
  <c r="L1930" i="15"/>
  <c r="L1929" i="15"/>
  <c r="L1928" i="15"/>
  <c r="L1927" i="15"/>
  <c r="L1926" i="15"/>
  <c r="L1925" i="15"/>
  <c r="L1924" i="15"/>
  <c r="L1923" i="15"/>
  <c r="L1922" i="15"/>
  <c r="L1921" i="15"/>
  <c r="L1920" i="15"/>
  <c r="L1919" i="15"/>
  <c r="L1918" i="15"/>
  <c r="L1917" i="15"/>
  <c r="L1916" i="15"/>
  <c r="L1915" i="15"/>
  <c r="L1914" i="15"/>
  <c r="L1913" i="15"/>
  <c r="L1912" i="15"/>
  <c r="L1911" i="15"/>
  <c r="L1910" i="15"/>
  <c r="L1909" i="15"/>
  <c r="L1908" i="15"/>
  <c r="L1907" i="15"/>
  <c r="L1906" i="15"/>
  <c r="L1905" i="15"/>
  <c r="L1904" i="15"/>
  <c r="L1903" i="15"/>
  <c r="L1902" i="15"/>
  <c r="L1901" i="15"/>
  <c r="L1900" i="15"/>
  <c r="L1899" i="15"/>
  <c r="L1898" i="15"/>
  <c r="L1897" i="15"/>
  <c r="L1896" i="15"/>
  <c r="L1895" i="15"/>
  <c r="L1894" i="15"/>
  <c r="L1893" i="15"/>
  <c r="L1892" i="15"/>
  <c r="L1891" i="15"/>
  <c r="L1890" i="15"/>
  <c r="L1889" i="15"/>
  <c r="L1888" i="15"/>
  <c r="L1887" i="15"/>
  <c r="L1886" i="15"/>
  <c r="L1885" i="15"/>
  <c r="L1884" i="15"/>
  <c r="L1883" i="15"/>
  <c r="L1882" i="15"/>
  <c r="L1881" i="15"/>
  <c r="L1880" i="15"/>
  <c r="L1879" i="15"/>
  <c r="L1878" i="15"/>
  <c r="L1877" i="15"/>
  <c r="L1876" i="15"/>
  <c r="L1875" i="15"/>
  <c r="L1874" i="15"/>
  <c r="L1873" i="15"/>
  <c r="L1872" i="15"/>
  <c r="L1871" i="15"/>
  <c r="L1870" i="15"/>
  <c r="L1869" i="15"/>
  <c r="L1868" i="15"/>
  <c r="L1867" i="15"/>
  <c r="L1866" i="15"/>
  <c r="L1865" i="15"/>
  <c r="L1864" i="15"/>
  <c r="L1863" i="15"/>
  <c r="L1862" i="15"/>
  <c r="L1861" i="15"/>
  <c r="L1860" i="15"/>
  <c r="L1859" i="15"/>
  <c r="L1858" i="15"/>
  <c r="L1857" i="15"/>
  <c r="L1856" i="15"/>
  <c r="L1855" i="15"/>
  <c r="L1854" i="15"/>
  <c r="L1853" i="15"/>
  <c r="L1852" i="15"/>
  <c r="L1851" i="15"/>
  <c r="L1850" i="15"/>
  <c r="L1849" i="15"/>
  <c r="L1848" i="15"/>
  <c r="L1847" i="15"/>
  <c r="L1846" i="15"/>
  <c r="L1845" i="15"/>
  <c r="L1844" i="15"/>
  <c r="L1843" i="15"/>
  <c r="L1842" i="15"/>
  <c r="L1841" i="15"/>
  <c r="L1840" i="15"/>
  <c r="L1839" i="15"/>
  <c r="L1838" i="15"/>
  <c r="L1837" i="15"/>
  <c r="L1836" i="15"/>
  <c r="L1835" i="15"/>
  <c r="L1834" i="15"/>
  <c r="L1833" i="15"/>
  <c r="L1832" i="15"/>
  <c r="L1831" i="15"/>
  <c r="L1830" i="15"/>
  <c r="L1829" i="15"/>
  <c r="L1828" i="15"/>
  <c r="L1827" i="15"/>
  <c r="L1826" i="15"/>
  <c r="L1825" i="15"/>
  <c r="L1824" i="15"/>
  <c r="L1823" i="15"/>
  <c r="L1822" i="15"/>
  <c r="L1821" i="15"/>
  <c r="L1820" i="15"/>
  <c r="L1819" i="15"/>
  <c r="L1818" i="15"/>
  <c r="L1817" i="15"/>
  <c r="L1816" i="15"/>
  <c r="L1815" i="15"/>
  <c r="L1814" i="15"/>
  <c r="L1813" i="15"/>
  <c r="L1812" i="15"/>
  <c r="L1811" i="15"/>
  <c r="L1810" i="15"/>
  <c r="L1809" i="15"/>
  <c r="L1808" i="15"/>
  <c r="L1807" i="15"/>
  <c r="L1806" i="15"/>
  <c r="L1805" i="15"/>
  <c r="L1804" i="15"/>
  <c r="L1803" i="15"/>
  <c r="L1802" i="15"/>
  <c r="L1801" i="15"/>
  <c r="L1800" i="15"/>
  <c r="L1799" i="15"/>
  <c r="L1798" i="15"/>
  <c r="L1797" i="15"/>
  <c r="L1796" i="15"/>
  <c r="L1795" i="15"/>
  <c r="L1794" i="15"/>
  <c r="L1793" i="15"/>
  <c r="L1792" i="15"/>
  <c r="L1791" i="15"/>
  <c r="L1790" i="15"/>
  <c r="L1789" i="15"/>
  <c r="L1788" i="15"/>
  <c r="L1787" i="15"/>
  <c r="L1786" i="15"/>
  <c r="L1785" i="15"/>
  <c r="L1784" i="15"/>
  <c r="L1783" i="15"/>
  <c r="L1782" i="15"/>
  <c r="L1781" i="15"/>
  <c r="L1780" i="15"/>
  <c r="L1779" i="15"/>
  <c r="L1778" i="15"/>
  <c r="L1777" i="15"/>
  <c r="L1776" i="15"/>
  <c r="L1775" i="15"/>
  <c r="L1774" i="15"/>
  <c r="L1773" i="15"/>
  <c r="L1772" i="15"/>
  <c r="L1771" i="15"/>
  <c r="L1770" i="15"/>
  <c r="L1769" i="15"/>
  <c r="L1768" i="15"/>
  <c r="L1767" i="15"/>
  <c r="L1766" i="15"/>
  <c r="L1765" i="15"/>
  <c r="L1764" i="15"/>
  <c r="L1763" i="15"/>
  <c r="L1762" i="15"/>
  <c r="L1761" i="15"/>
  <c r="L1760" i="15"/>
  <c r="L1759" i="15"/>
  <c r="L1758" i="15"/>
  <c r="L1757" i="15"/>
  <c r="L1756" i="15"/>
  <c r="L1755" i="15"/>
  <c r="L1754" i="15"/>
  <c r="L1753" i="15"/>
  <c r="L1752" i="15"/>
  <c r="L1751" i="15"/>
  <c r="L1750" i="15"/>
  <c r="L1749" i="15"/>
  <c r="L1748" i="15"/>
  <c r="L1747" i="15"/>
  <c r="L1746" i="15"/>
  <c r="L1745" i="15"/>
  <c r="L1744" i="15"/>
  <c r="L1743" i="15"/>
  <c r="L1742" i="15"/>
  <c r="L1741" i="15"/>
  <c r="L1740" i="15"/>
  <c r="L1739" i="15"/>
  <c r="L1738" i="15"/>
  <c r="L1737" i="15"/>
  <c r="L1736" i="15"/>
  <c r="L1735" i="15"/>
  <c r="L1734" i="15"/>
  <c r="L1733" i="15"/>
  <c r="L1732" i="15"/>
  <c r="L1731" i="15"/>
  <c r="L1730" i="15"/>
  <c r="L1729" i="15"/>
  <c r="L1728" i="15"/>
  <c r="L1727" i="15"/>
  <c r="L1726" i="15"/>
  <c r="L1725" i="15"/>
  <c r="L1724" i="15"/>
  <c r="L1723" i="15"/>
  <c r="L1722" i="15"/>
  <c r="L1721" i="15"/>
  <c r="L1720" i="15"/>
  <c r="L1719" i="15"/>
  <c r="L1718" i="15"/>
  <c r="L1717" i="15"/>
  <c r="L1716" i="15"/>
  <c r="L1715" i="15"/>
  <c r="L1714" i="15"/>
  <c r="L1713" i="15"/>
  <c r="L1712" i="15"/>
  <c r="L1711" i="15"/>
  <c r="L1710" i="15"/>
  <c r="L1709" i="15"/>
  <c r="L1708" i="15"/>
  <c r="L1707" i="15"/>
  <c r="L1706" i="15"/>
  <c r="L1705" i="15"/>
  <c r="L1704" i="15"/>
  <c r="L1703" i="15"/>
  <c r="L1702" i="15"/>
  <c r="L1701" i="15"/>
  <c r="L1700" i="15"/>
  <c r="L1699" i="15"/>
  <c r="L1698" i="15"/>
  <c r="L1697" i="15"/>
  <c r="L1696" i="15"/>
  <c r="L1695" i="15"/>
  <c r="L1694" i="15"/>
  <c r="L1693" i="15"/>
  <c r="L1692" i="15"/>
  <c r="L1691" i="15"/>
  <c r="L1690" i="15"/>
  <c r="L1689" i="15"/>
  <c r="L1688" i="15"/>
  <c r="L1687" i="15"/>
  <c r="L1686" i="15"/>
  <c r="L1685" i="15"/>
  <c r="L1684" i="15"/>
  <c r="L1683" i="15"/>
  <c r="L1682" i="15"/>
  <c r="L1681" i="15"/>
  <c r="L1680" i="15"/>
  <c r="L1679" i="15"/>
  <c r="L1678" i="15"/>
  <c r="L1677" i="15"/>
  <c r="L1676" i="15"/>
  <c r="L1675" i="15"/>
  <c r="L1674" i="15"/>
  <c r="L1673" i="15"/>
  <c r="L1672" i="15"/>
  <c r="L1671" i="15"/>
  <c r="L1670" i="15"/>
  <c r="L1669" i="15"/>
  <c r="L1668" i="15"/>
  <c r="L1667" i="15"/>
  <c r="L1666" i="15"/>
  <c r="L1665" i="15"/>
  <c r="L1664" i="15"/>
  <c r="L1663" i="15"/>
  <c r="L1662" i="15"/>
  <c r="L1661" i="15"/>
  <c r="L1660" i="15"/>
  <c r="L1659" i="15"/>
  <c r="L1658" i="15"/>
  <c r="L1657" i="15"/>
  <c r="L1656" i="15"/>
  <c r="L1655" i="15"/>
  <c r="L1654" i="15"/>
  <c r="L1653" i="15"/>
  <c r="L1652" i="15"/>
  <c r="L1651" i="15"/>
  <c r="L1650" i="15"/>
  <c r="L1649" i="15"/>
  <c r="L1648" i="15"/>
  <c r="L1647" i="15"/>
  <c r="L1646" i="15"/>
  <c r="L1645" i="15"/>
  <c r="L1644" i="15"/>
  <c r="L1643" i="15"/>
  <c r="L1642" i="15"/>
  <c r="L1641" i="15"/>
  <c r="L1640" i="15"/>
  <c r="L1639" i="15"/>
  <c r="L1638" i="15"/>
  <c r="L1637" i="15"/>
  <c r="L1636" i="15"/>
  <c r="L1635" i="15"/>
  <c r="L1634" i="15"/>
  <c r="L1633" i="15"/>
  <c r="L1632" i="15"/>
  <c r="L1631" i="15"/>
  <c r="L1630" i="15"/>
  <c r="L1629" i="15"/>
  <c r="L1628" i="15"/>
  <c r="L1627" i="15"/>
  <c r="L1626" i="15"/>
  <c r="L1625" i="15"/>
  <c r="L1624" i="15"/>
  <c r="L1623" i="15"/>
  <c r="L1622" i="15"/>
  <c r="L1621" i="15"/>
  <c r="L1620" i="15"/>
  <c r="L1619" i="15"/>
  <c r="L1618" i="15"/>
  <c r="L1617" i="15"/>
  <c r="L1616" i="15"/>
  <c r="L1615" i="15"/>
  <c r="L1614" i="15"/>
  <c r="L1613" i="15"/>
  <c r="L1612" i="15"/>
  <c r="L1611" i="15"/>
  <c r="L1610" i="15"/>
  <c r="L1609" i="15"/>
  <c r="L1608" i="15"/>
  <c r="L1607" i="15"/>
  <c r="L1606" i="15"/>
  <c r="L1605" i="15"/>
  <c r="L1604" i="15"/>
  <c r="L1603" i="15"/>
  <c r="L1602" i="15"/>
  <c r="L1601" i="15"/>
  <c r="L1600" i="15"/>
  <c r="L1599" i="15"/>
  <c r="L1598" i="15"/>
  <c r="L1597" i="15"/>
  <c r="L1596" i="15"/>
  <c r="L1595" i="15"/>
  <c r="L1594" i="15"/>
  <c r="L1593" i="15"/>
  <c r="L1592" i="15"/>
  <c r="L1591" i="15"/>
  <c r="L1590" i="15"/>
  <c r="L1589" i="15"/>
  <c r="L1588" i="15"/>
  <c r="L1587" i="15"/>
  <c r="L1586" i="15"/>
  <c r="L1585" i="15"/>
  <c r="L1584" i="15"/>
  <c r="L1583" i="15"/>
  <c r="L1582" i="15"/>
  <c r="L1581" i="15"/>
  <c r="L1580" i="15"/>
  <c r="L1579" i="15"/>
  <c r="L1578" i="15"/>
  <c r="L1577" i="15"/>
  <c r="L1576" i="15"/>
  <c r="L1575" i="15"/>
  <c r="L1574" i="15"/>
  <c r="L1573" i="15"/>
  <c r="L1572" i="15"/>
  <c r="L1571" i="15"/>
  <c r="L1570" i="15"/>
  <c r="L1569" i="15"/>
  <c r="L1568" i="15"/>
  <c r="L1567" i="15"/>
  <c r="L1566" i="15"/>
  <c r="L1565" i="15"/>
  <c r="L1564" i="15"/>
  <c r="L1563" i="15"/>
  <c r="L1562" i="15"/>
  <c r="L1561" i="15"/>
  <c r="L1560" i="15"/>
  <c r="L1559" i="15"/>
  <c r="L1558" i="15"/>
  <c r="L1557" i="15"/>
  <c r="L1556" i="15"/>
  <c r="L1555" i="15"/>
  <c r="L1554" i="15"/>
  <c r="L1553" i="15"/>
  <c r="L1552" i="15"/>
  <c r="L1551" i="15"/>
  <c r="L1550" i="15"/>
  <c r="L1549" i="15"/>
  <c r="L1548" i="15"/>
  <c r="L1547" i="15"/>
  <c r="L1546" i="15"/>
  <c r="L1545" i="15"/>
  <c r="L1544" i="15"/>
  <c r="L1543" i="15"/>
  <c r="L1542" i="15"/>
  <c r="L1541" i="15"/>
  <c r="L1540" i="15"/>
  <c r="L1539" i="15"/>
  <c r="L1538" i="15"/>
  <c r="L1537" i="15"/>
  <c r="L1536" i="15"/>
  <c r="L1535" i="15"/>
  <c r="L1534" i="15"/>
  <c r="L1533" i="15"/>
  <c r="L1532" i="15"/>
  <c r="L1531" i="15"/>
  <c r="L1530" i="15"/>
  <c r="L1529" i="15"/>
  <c r="L1528" i="15"/>
  <c r="L1527" i="15"/>
  <c r="L1526" i="15"/>
  <c r="L1525" i="15"/>
  <c r="L1524" i="15"/>
  <c r="L1523" i="15"/>
  <c r="L1522" i="15"/>
  <c r="L1521" i="15"/>
  <c r="L1520" i="15"/>
  <c r="L1519" i="15"/>
  <c r="L1518" i="15"/>
  <c r="L1517" i="15"/>
  <c r="L1516" i="15"/>
  <c r="L1515" i="15"/>
  <c r="L1514" i="15"/>
  <c r="L1513" i="15"/>
  <c r="L1512" i="15"/>
  <c r="L1511" i="15"/>
  <c r="L1510" i="15"/>
  <c r="L1509" i="15"/>
  <c r="L1508" i="15"/>
  <c r="L1507" i="15"/>
  <c r="L1506" i="15"/>
  <c r="L1505" i="15"/>
  <c r="L1504" i="15"/>
  <c r="L1503" i="15"/>
  <c r="L1502" i="15"/>
  <c r="L1501" i="15"/>
  <c r="L1500" i="15"/>
  <c r="L1499" i="15"/>
  <c r="L1498" i="15"/>
  <c r="L1497" i="15"/>
  <c r="L1496" i="15"/>
  <c r="L1495" i="15"/>
  <c r="L1494" i="15"/>
  <c r="L1493" i="15"/>
  <c r="L1492" i="15"/>
  <c r="L1491" i="15"/>
  <c r="L1490" i="15"/>
  <c r="L1489" i="15"/>
  <c r="L1488" i="15"/>
  <c r="L1487" i="15"/>
  <c r="L1486" i="15"/>
  <c r="L1485" i="15"/>
  <c r="L1484" i="15"/>
  <c r="L1483" i="15"/>
  <c r="L1482" i="15"/>
  <c r="L1481" i="15"/>
  <c r="L1480" i="15"/>
  <c r="L1479" i="15"/>
  <c r="L1478" i="15"/>
  <c r="L1477" i="15"/>
  <c r="L1476" i="15"/>
  <c r="L1475" i="15"/>
  <c r="L1474" i="15"/>
  <c r="L1473" i="15"/>
  <c r="L1472" i="15"/>
  <c r="L1471" i="15"/>
  <c r="L1470" i="15"/>
  <c r="L1469" i="15"/>
  <c r="L1468" i="15"/>
  <c r="L1467" i="15"/>
  <c r="L1466" i="15"/>
  <c r="L1465" i="15"/>
  <c r="L1464" i="15"/>
  <c r="L1463" i="15"/>
  <c r="L1462" i="15"/>
  <c r="L1461" i="15"/>
  <c r="L1460" i="15"/>
  <c r="L1459" i="15"/>
  <c r="L1458" i="15"/>
  <c r="L1457" i="15"/>
  <c r="L1456" i="15"/>
  <c r="L1455" i="15"/>
  <c r="L1454" i="15"/>
  <c r="L1453" i="15"/>
  <c r="L1452" i="15"/>
  <c r="L1451" i="15"/>
  <c r="L1450" i="15"/>
  <c r="L1449" i="15"/>
  <c r="L1448" i="15"/>
  <c r="L1447" i="15"/>
  <c r="L1446" i="15"/>
  <c r="L1445" i="15"/>
  <c r="L1444" i="15"/>
  <c r="L1443" i="15"/>
  <c r="L1442" i="15"/>
  <c r="L1441" i="15"/>
  <c r="L1440" i="15"/>
  <c r="L1439" i="15"/>
  <c r="L1438" i="15"/>
  <c r="L1437" i="15"/>
  <c r="L1436" i="15"/>
  <c r="L1435" i="15"/>
  <c r="L1434" i="15"/>
  <c r="L1433" i="15"/>
  <c r="L1432" i="15"/>
  <c r="L1431" i="15"/>
  <c r="L1430" i="15"/>
  <c r="L1429" i="15"/>
  <c r="L1428" i="15"/>
  <c r="L1427" i="15"/>
  <c r="L1426" i="15"/>
  <c r="L1425" i="15"/>
  <c r="L1424" i="15"/>
  <c r="L1423" i="15"/>
  <c r="L1422" i="15"/>
  <c r="L1421" i="15"/>
  <c r="L1420" i="15"/>
  <c r="L1419" i="15"/>
  <c r="L1418" i="15"/>
  <c r="L1417" i="15"/>
  <c r="L1416" i="15"/>
  <c r="L1415" i="15"/>
  <c r="L1414" i="15"/>
  <c r="L1413" i="15"/>
  <c r="L1412" i="15"/>
  <c r="L1411" i="15"/>
  <c r="L1410" i="15"/>
  <c r="L1409" i="15"/>
  <c r="L1408" i="15"/>
  <c r="L1407" i="15"/>
  <c r="L1406" i="15"/>
  <c r="L1405" i="15"/>
  <c r="L1404" i="15"/>
  <c r="L1403" i="15"/>
  <c r="L1402" i="15"/>
  <c r="L1401" i="15"/>
  <c r="L1400" i="15"/>
  <c r="L1399" i="15"/>
  <c r="L1398" i="15"/>
  <c r="L1397" i="15"/>
  <c r="L1396" i="15"/>
  <c r="L1395" i="15"/>
  <c r="L1394" i="15"/>
  <c r="L1393" i="15"/>
  <c r="L1392" i="15"/>
  <c r="L1391" i="15"/>
  <c r="L1390" i="15"/>
  <c r="L1389" i="15"/>
  <c r="L1388" i="15"/>
  <c r="L1387" i="15"/>
  <c r="L1386" i="15"/>
  <c r="L1385" i="15"/>
  <c r="L1384" i="15"/>
  <c r="L1383" i="15"/>
  <c r="L1382" i="15"/>
  <c r="L1381" i="15"/>
  <c r="L1380" i="15"/>
  <c r="L1379" i="15"/>
  <c r="L1378" i="15"/>
  <c r="L1377" i="15"/>
  <c r="L1376" i="15"/>
  <c r="L1375" i="15"/>
  <c r="L1374" i="15"/>
  <c r="L1373" i="15"/>
  <c r="L1372" i="15"/>
  <c r="L1371" i="15"/>
  <c r="L1370" i="15"/>
  <c r="L1369" i="15"/>
  <c r="L1368" i="15"/>
  <c r="L1367" i="15"/>
  <c r="L1366" i="15"/>
  <c r="L1365" i="15"/>
  <c r="L1364" i="15"/>
  <c r="L1363" i="15"/>
  <c r="L1362" i="15"/>
  <c r="L1361" i="15"/>
  <c r="L1360" i="15"/>
  <c r="L1359" i="15"/>
  <c r="L1358" i="15"/>
  <c r="L1357" i="15"/>
  <c r="L1356" i="15"/>
  <c r="L1355" i="15"/>
  <c r="L1354" i="15"/>
  <c r="L1353" i="15"/>
  <c r="L1352" i="15"/>
  <c r="L1351" i="15"/>
  <c r="L1350" i="15"/>
  <c r="L1349" i="15"/>
  <c r="L1348" i="15"/>
  <c r="L1347" i="15"/>
  <c r="L1346" i="15"/>
  <c r="L1345" i="15"/>
  <c r="L1344" i="15"/>
  <c r="L1343" i="15"/>
  <c r="L1342" i="15"/>
  <c r="L1341" i="15"/>
  <c r="L1340" i="15"/>
  <c r="L1339" i="15"/>
  <c r="L1338" i="15"/>
  <c r="L1337" i="15"/>
  <c r="L1336" i="15"/>
  <c r="L1335" i="15"/>
  <c r="L1334" i="15"/>
  <c r="L1333" i="15"/>
  <c r="L1332" i="15"/>
  <c r="L1331" i="15"/>
  <c r="L1330" i="15"/>
  <c r="L1329" i="15"/>
  <c r="L1328" i="15"/>
  <c r="L1327" i="15"/>
  <c r="L1326" i="15"/>
  <c r="L1325" i="15"/>
  <c r="L1324" i="15"/>
  <c r="L1323" i="15"/>
  <c r="L1322" i="15"/>
  <c r="L1321" i="15"/>
  <c r="L1320" i="15"/>
  <c r="L1319" i="15"/>
  <c r="L1318" i="15"/>
  <c r="L1317" i="15"/>
  <c r="L1316" i="15"/>
  <c r="L1315" i="15"/>
  <c r="L1314" i="15"/>
  <c r="L1313" i="15"/>
  <c r="L1312" i="15"/>
  <c r="L1311" i="15"/>
  <c r="L1310" i="15"/>
  <c r="L1309" i="15"/>
  <c r="L1308" i="15"/>
  <c r="L1307" i="15"/>
  <c r="L1306" i="15"/>
  <c r="L1305" i="15"/>
  <c r="L1304" i="15"/>
  <c r="L1303" i="15"/>
  <c r="L1302" i="15"/>
  <c r="L1301" i="15"/>
  <c r="L1300" i="15"/>
  <c r="L1299" i="15"/>
  <c r="L1298" i="15"/>
  <c r="L1297" i="15"/>
  <c r="L1296" i="15"/>
  <c r="L1295" i="15"/>
  <c r="L1294" i="15"/>
  <c r="L1293" i="15"/>
  <c r="L1292" i="15"/>
  <c r="L1291" i="15"/>
  <c r="L1290" i="15"/>
  <c r="L1289" i="15"/>
  <c r="L1288" i="15"/>
  <c r="L1287" i="15"/>
  <c r="L1286" i="15"/>
  <c r="L1285" i="15"/>
  <c r="L1284" i="15"/>
  <c r="L1283" i="15"/>
  <c r="L1282" i="15"/>
  <c r="L1281" i="15"/>
  <c r="L1280" i="15"/>
  <c r="L1279" i="15"/>
  <c r="L1278" i="15"/>
  <c r="L1277" i="15"/>
  <c r="L1276" i="15"/>
  <c r="L1275" i="15"/>
  <c r="L1274" i="15"/>
  <c r="L1273" i="15"/>
  <c r="L1272" i="15"/>
  <c r="L1271" i="15"/>
  <c r="L1270" i="15"/>
  <c r="L1269" i="15"/>
  <c r="L1268" i="15"/>
  <c r="L1267" i="15"/>
  <c r="L1266" i="15"/>
  <c r="L1265" i="15"/>
  <c r="L1264" i="15"/>
  <c r="L1263" i="15"/>
  <c r="L1262" i="15"/>
  <c r="L1261" i="15"/>
  <c r="L1260" i="15"/>
  <c r="L1259" i="15"/>
  <c r="L1258" i="15"/>
  <c r="L1257" i="15"/>
  <c r="L1256" i="15"/>
  <c r="L1255" i="15"/>
  <c r="L1254" i="15"/>
  <c r="L1253" i="15"/>
  <c r="L1252" i="15"/>
  <c r="L1251" i="15"/>
  <c r="L1250" i="15"/>
  <c r="L1249" i="15"/>
  <c r="L1248" i="15"/>
  <c r="L1247" i="15"/>
  <c r="L1246" i="15"/>
  <c r="L1245" i="15"/>
  <c r="L1244" i="15"/>
  <c r="L1243" i="15"/>
  <c r="L1242" i="15"/>
  <c r="L1241" i="15"/>
  <c r="L1240" i="15"/>
  <c r="L1239" i="15"/>
  <c r="L1238" i="15"/>
  <c r="L1237" i="15"/>
  <c r="L1236" i="15"/>
  <c r="L1235" i="15"/>
  <c r="L1234" i="15"/>
  <c r="L1233" i="15"/>
  <c r="L1232" i="15"/>
  <c r="L1231" i="15"/>
  <c r="L1230" i="15"/>
  <c r="L1229" i="15"/>
  <c r="L1228" i="15"/>
  <c r="L1227" i="15"/>
  <c r="L1226" i="15"/>
  <c r="L1225" i="15"/>
  <c r="L1224" i="15"/>
  <c r="L1223" i="15"/>
  <c r="L1222" i="15"/>
  <c r="L1221" i="15"/>
  <c r="L1220" i="15"/>
  <c r="L1219" i="15"/>
  <c r="L1218" i="15"/>
  <c r="L1217" i="15"/>
  <c r="L1216" i="15"/>
  <c r="L1215" i="15"/>
  <c r="L1214" i="15"/>
  <c r="L1213" i="15"/>
  <c r="L1212" i="15"/>
  <c r="L1211" i="15"/>
  <c r="L1210" i="15"/>
  <c r="L1209" i="15"/>
  <c r="L1208" i="15"/>
  <c r="L1207" i="15"/>
  <c r="L1206" i="15"/>
  <c r="L1205" i="15"/>
  <c r="L1204" i="15"/>
  <c r="L1203" i="15"/>
  <c r="L1202" i="15"/>
  <c r="L1201" i="15"/>
  <c r="L1200" i="15"/>
  <c r="L1199" i="15"/>
  <c r="L1198" i="15"/>
  <c r="L1197" i="15"/>
  <c r="L1196" i="15"/>
  <c r="L1195" i="15"/>
  <c r="L1194" i="15"/>
  <c r="L1193" i="15"/>
  <c r="L1192" i="15"/>
  <c r="L1191" i="15"/>
  <c r="L1190" i="15"/>
  <c r="L1189" i="15"/>
  <c r="L1188" i="15"/>
  <c r="L1187" i="15"/>
  <c r="L1186" i="15"/>
  <c r="L1185" i="15"/>
  <c r="L1184" i="15"/>
  <c r="L1183" i="15"/>
  <c r="L1182" i="15"/>
  <c r="L1181" i="15"/>
  <c r="L1180" i="15"/>
  <c r="L1179" i="15"/>
  <c r="L1178" i="15"/>
  <c r="L1177" i="15"/>
  <c r="L1176" i="15"/>
  <c r="L1175" i="15"/>
  <c r="L1174" i="15"/>
  <c r="L1173" i="15"/>
  <c r="L1172" i="15"/>
  <c r="L1171" i="15"/>
  <c r="L1170" i="15"/>
  <c r="L1169" i="15"/>
  <c r="L1168" i="15"/>
  <c r="L1167" i="15"/>
  <c r="L1166" i="15"/>
  <c r="L1165" i="15"/>
  <c r="L1164" i="15"/>
  <c r="L1163" i="15"/>
  <c r="L1162" i="15"/>
  <c r="L1161" i="15"/>
  <c r="L1160" i="15"/>
  <c r="L1159" i="15"/>
  <c r="L1158" i="15"/>
  <c r="L1157" i="15"/>
  <c r="L1156" i="15"/>
  <c r="L1155" i="15"/>
  <c r="L1154" i="15"/>
  <c r="L1153" i="15"/>
  <c r="L1152" i="15"/>
  <c r="L1151" i="15"/>
  <c r="L1150" i="15"/>
  <c r="L1149" i="15"/>
  <c r="L1148" i="15"/>
  <c r="L1147" i="15"/>
  <c r="L1146" i="15"/>
  <c r="L1145" i="15"/>
  <c r="L1144" i="15"/>
  <c r="L1143" i="15"/>
  <c r="L1142" i="15"/>
  <c r="L1141" i="15"/>
  <c r="L1140" i="15"/>
  <c r="L1139" i="15"/>
  <c r="L1138" i="15"/>
  <c r="L1137" i="15"/>
  <c r="L1136" i="15"/>
  <c r="L1135" i="15"/>
  <c r="L1134" i="15"/>
  <c r="L1133" i="15"/>
  <c r="L1132" i="15"/>
  <c r="L1131" i="15"/>
  <c r="L1130" i="15"/>
  <c r="L1129" i="15"/>
  <c r="L1128" i="15"/>
  <c r="L1127" i="15"/>
  <c r="L1126" i="15"/>
  <c r="L1125" i="15"/>
  <c r="L1124" i="15"/>
  <c r="L1123" i="15"/>
  <c r="L1122" i="15"/>
  <c r="L1121" i="15"/>
  <c r="L1120" i="15"/>
  <c r="L1119" i="15"/>
  <c r="L1118" i="15"/>
  <c r="L1117" i="15"/>
  <c r="L1116" i="15"/>
  <c r="L1115" i="15"/>
  <c r="L1114" i="15"/>
  <c r="L1113" i="15"/>
  <c r="L1112" i="15"/>
  <c r="L1111" i="15"/>
  <c r="L1110" i="15"/>
  <c r="L1109" i="15"/>
  <c r="L1108" i="15"/>
  <c r="L1107" i="15"/>
  <c r="L1106" i="15"/>
  <c r="L1105" i="15"/>
  <c r="L1104" i="15"/>
  <c r="L1103" i="15"/>
  <c r="L1102" i="15"/>
  <c r="L1101" i="15"/>
  <c r="L1100" i="15"/>
  <c r="L1099" i="15"/>
  <c r="L1098" i="15"/>
  <c r="L1097" i="15"/>
  <c r="L1096" i="15"/>
  <c r="L1095" i="15"/>
  <c r="L1094" i="15"/>
  <c r="L1093" i="15"/>
  <c r="L1092" i="15"/>
  <c r="L1091" i="15"/>
  <c r="L1090" i="15"/>
  <c r="L1089" i="15"/>
  <c r="L1088" i="15"/>
  <c r="L1087" i="15"/>
  <c r="L1086" i="15"/>
  <c r="L1085" i="15"/>
  <c r="L1084" i="15"/>
  <c r="L1083" i="15"/>
  <c r="L1082" i="15"/>
  <c r="L1081" i="15"/>
  <c r="L1080" i="15"/>
  <c r="L1079" i="15"/>
  <c r="L1078" i="15"/>
  <c r="L1077" i="15"/>
  <c r="L1076" i="15"/>
  <c r="L1075" i="15"/>
  <c r="L1074" i="15"/>
  <c r="L1073" i="15"/>
  <c r="L1072" i="15"/>
  <c r="L1071" i="15"/>
  <c r="L1070" i="15"/>
  <c r="L1069" i="15"/>
  <c r="L1068" i="15"/>
  <c r="L1067" i="15"/>
  <c r="L1066" i="15"/>
  <c r="L1065" i="15"/>
  <c r="L1064" i="15"/>
  <c r="L1063" i="15"/>
  <c r="L1062" i="15"/>
  <c r="L1061" i="15"/>
  <c r="L1060" i="15"/>
  <c r="L1059" i="15"/>
  <c r="L1058" i="15"/>
  <c r="L1057" i="15"/>
  <c r="L1056" i="15"/>
  <c r="L1055" i="15"/>
  <c r="L1054" i="15"/>
  <c r="L1053" i="15"/>
  <c r="L1052" i="15"/>
  <c r="L1051" i="15"/>
  <c r="L1050" i="15"/>
  <c r="L1049" i="15"/>
  <c r="L1048" i="15"/>
  <c r="L1047" i="15"/>
  <c r="L1046" i="15"/>
  <c r="L1045" i="15"/>
  <c r="L1044" i="15"/>
  <c r="L1043" i="15"/>
  <c r="L1042" i="15"/>
  <c r="L1041" i="15"/>
  <c r="L1040" i="15"/>
  <c r="L1039" i="15"/>
  <c r="L1038" i="15"/>
  <c r="L1037" i="15"/>
  <c r="L1036" i="15"/>
  <c r="L1035" i="15"/>
  <c r="L1034" i="15"/>
  <c r="L1033" i="15"/>
  <c r="L1032" i="15"/>
  <c r="L1031" i="15"/>
  <c r="L1030" i="15"/>
  <c r="L1029" i="15"/>
  <c r="L1028" i="15"/>
  <c r="L1027" i="15"/>
  <c r="L1026" i="15"/>
  <c r="L1025" i="15"/>
  <c r="L1024" i="15"/>
  <c r="L1023" i="15"/>
  <c r="L1022" i="15"/>
  <c r="L1021" i="15"/>
  <c r="L1020" i="15"/>
  <c r="L1019" i="15"/>
  <c r="L1018" i="15"/>
  <c r="L1017" i="15"/>
  <c r="L1016" i="15"/>
  <c r="L1015" i="15"/>
  <c r="L1014" i="15"/>
  <c r="L1013" i="15"/>
  <c r="L1012" i="15"/>
  <c r="L1011" i="15"/>
  <c r="L1010" i="15"/>
  <c r="L1009" i="15"/>
  <c r="L1008" i="15"/>
  <c r="L1007" i="15"/>
  <c r="L1006" i="15"/>
  <c r="L1005" i="15"/>
  <c r="L1004" i="15"/>
  <c r="L1003" i="15"/>
  <c r="L1002" i="15"/>
  <c r="L1001" i="15"/>
  <c r="L889" i="15"/>
  <c r="L888" i="15"/>
  <c r="L887" i="15"/>
  <c r="L886" i="15"/>
  <c r="L885" i="15"/>
  <c r="L884" i="15"/>
  <c r="L883" i="15"/>
  <c r="L882" i="15"/>
  <c r="L881" i="15"/>
  <c r="L880" i="15"/>
  <c r="L879" i="15"/>
  <c r="L878" i="15"/>
  <c r="L877" i="15"/>
  <c r="L876" i="15"/>
  <c r="L875" i="15"/>
  <c r="L874" i="15"/>
  <c r="L873" i="15"/>
  <c r="L872" i="15"/>
  <c r="L871" i="15"/>
  <c r="L870" i="15"/>
  <c r="L869" i="15"/>
  <c r="L868" i="15"/>
  <c r="L867" i="15"/>
  <c r="L866" i="15"/>
  <c r="L865" i="15"/>
  <c r="L864" i="15"/>
  <c r="L863" i="15"/>
  <c r="L862" i="15"/>
  <c r="L861" i="15"/>
  <c r="L860" i="15"/>
  <c r="L859" i="15"/>
  <c r="L858" i="15"/>
  <c r="L857" i="15"/>
  <c r="L856" i="15"/>
  <c r="L855" i="15"/>
  <c r="L854" i="15"/>
  <c r="L853" i="15"/>
  <c r="L852" i="15"/>
  <c r="L851" i="15"/>
  <c r="L850" i="15"/>
  <c r="L849" i="15"/>
  <c r="L848" i="15"/>
  <c r="L847" i="15"/>
  <c r="L846" i="15"/>
  <c r="L845" i="15"/>
  <c r="L844" i="15"/>
  <c r="L843" i="15"/>
  <c r="L842" i="15"/>
  <c r="L841" i="15"/>
  <c r="L840" i="15"/>
  <c r="L839" i="15"/>
  <c r="L838" i="15"/>
  <c r="L837" i="15"/>
  <c r="L836" i="15"/>
  <c r="L835" i="15"/>
  <c r="L834" i="15"/>
  <c r="L833" i="15"/>
  <c r="L832" i="15"/>
  <c r="L831" i="15"/>
  <c r="L830" i="15"/>
  <c r="L829" i="15"/>
  <c r="L828" i="15"/>
  <c r="L827" i="15"/>
  <c r="L826" i="15"/>
  <c r="L825" i="15"/>
  <c r="L824" i="15"/>
  <c r="L823" i="15"/>
  <c r="L822" i="15"/>
  <c r="L821" i="15"/>
  <c r="L820" i="15"/>
  <c r="L819" i="15"/>
  <c r="L818" i="15"/>
  <c r="L817" i="15"/>
  <c r="L816" i="15"/>
  <c r="L815" i="15"/>
  <c r="L814" i="15"/>
  <c r="L813" i="15"/>
  <c r="L812" i="15"/>
  <c r="L811" i="15"/>
  <c r="L810" i="15"/>
  <c r="L809" i="15"/>
  <c r="L808" i="15"/>
  <c r="L807" i="15"/>
  <c r="L806" i="15"/>
  <c r="L805" i="15"/>
  <c r="L804" i="15"/>
  <c r="L803" i="15"/>
  <c r="L802" i="15"/>
  <c r="L801" i="15"/>
  <c r="L800" i="15"/>
  <c r="L799" i="15"/>
  <c r="L798" i="15"/>
  <c r="L797" i="15"/>
  <c r="L796" i="15"/>
  <c r="L795" i="15"/>
  <c r="L794" i="15"/>
  <c r="L793" i="15"/>
  <c r="L792" i="15"/>
  <c r="L791" i="15"/>
  <c r="L790" i="15"/>
  <c r="L789" i="15"/>
  <c r="L788" i="15"/>
  <c r="L787" i="15"/>
  <c r="L786" i="15"/>
  <c r="L785" i="15"/>
  <c r="L784" i="15"/>
  <c r="L783" i="15"/>
  <c r="L782" i="15"/>
  <c r="L781" i="15"/>
  <c r="L780" i="15"/>
  <c r="L779" i="15"/>
  <c r="L778" i="15"/>
  <c r="L777" i="15"/>
  <c r="L776" i="15"/>
  <c r="L775" i="15"/>
  <c r="L774" i="15"/>
  <c r="L773" i="15"/>
  <c r="L772" i="15"/>
  <c r="L771" i="15"/>
  <c r="L770" i="15"/>
  <c r="L769" i="15"/>
  <c r="L768" i="15"/>
  <c r="L767" i="15"/>
  <c r="L766" i="15"/>
  <c r="L765" i="15"/>
  <c r="L764" i="15"/>
  <c r="L763" i="15"/>
  <c r="L762" i="15"/>
  <c r="L761" i="15"/>
  <c r="L760" i="15"/>
  <c r="L759" i="15"/>
  <c r="L758" i="15"/>
  <c r="L757" i="15"/>
  <c r="L756" i="15"/>
  <c r="L755" i="15"/>
  <c r="L754" i="15"/>
  <c r="L753" i="15"/>
  <c r="L752" i="15"/>
  <c r="L751" i="15"/>
  <c r="L750" i="15"/>
  <c r="L749" i="15"/>
  <c r="L748" i="15"/>
  <c r="L747" i="15"/>
  <c r="L746" i="15"/>
  <c r="L745" i="15"/>
  <c r="L744" i="15"/>
  <c r="L743" i="15"/>
  <c r="L742" i="15"/>
  <c r="L741" i="15"/>
  <c r="L740" i="15"/>
  <c r="L739" i="15"/>
  <c r="L738" i="15"/>
  <c r="L737" i="15"/>
  <c r="L736" i="15"/>
  <c r="L735" i="15"/>
  <c r="L734" i="15"/>
  <c r="L733" i="15"/>
  <c r="L732" i="15"/>
  <c r="L731" i="15"/>
  <c r="L730" i="15"/>
  <c r="L729" i="15"/>
  <c r="L728" i="15"/>
  <c r="L727" i="15"/>
  <c r="L726" i="15"/>
  <c r="L725" i="15"/>
  <c r="L724" i="15"/>
  <c r="L723" i="15"/>
  <c r="L722" i="15"/>
  <c r="L721" i="15"/>
  <c r="L720" i="15"/>
  <c r="L719" i="15"/>
  <c r="L718" i="15"/>
  <c r="L717" i="15"/>
  <c r="L716" i="15"/>
  <c r="L715" i="15"/>
  <c r="L714" i="15"/>
  <c r="L713" i="15"/>
  <c r="L712" i="15"/>
  <c r="L711" i="15"/>
  <c r="L710" i="15"/>
  <c r="L709" i="15"/>
  <c r="L708" i="15"/>
  <c r="L707" i="15"/>
  <c r="L706" i="15"/>
  <c r="L705" i="15"/>
  <c r="L704" i="15"/>
  <c r="L703" i="15"/>
  <c r="L702" i="15"/>
  <c r="L701" i="15"/>
  <c r="L700" i="15"/>
  <c r="L699" i="15"/>
  <c r="L698" i="15"/>
  <c r="L697" i="15"/>
  <c r="L696" i="15"/>
  <c r="L695" i="15"/>
  <c r="L694" i="15"/>
  <c r="L693" i="15"/>
  <c r="L692" i="15"/>
  <c r="L691" i="15"/>
  <c r="L690" i="15"/>
  <c r="L689" i="15"/>
  <c r="L688" i="15"/>
  <c r="L687" i="15"/>
  <c r="L686" i="15"/>
  <c r="L685" i="15"/>
  <c r="L684" i="15"/>
  <c r="L683" i="15"/>
  <c r="L682" i="15"/>
  <c r="L681" i="15"/>
  <c r="L680" i="15"/>
  <c r="L679" i="15"/>
  <c r="L678" i="15"/>
  <c r="L677" i="15"/>
  <c r="L676" i="15"/>
  <c r="L675" i="15"/>
  <c r="L674" i="15"/>
  <c r="L673" i="15"/>
  <c r="L672" i="15"/>
  <c r="L671" i="15"/>
  <c r="L670" i="15"/>
  <c r="L669" i="15"/>
  <c r="L668" i="15"/>
  <c r="L667" i="15"/>
  <c r="L666" i="15"/>
  <c r="L665" i="15"/>
  <c r="L664" i="15"/>
  <c r="L663" i="15"/>
  <c r="L662" i="15"/>
  <c r="L661" i="15"/>
  <c r="L660" i="15"/>
  <c r="L659" i="15"/>
  <c r="L658" i="15"/>
  <c r="L657" i="15"/>
  <c r="L656" i="15"/>
  <c r="L655" i="15"/>
  <c r="L654" i="15"/>
  <c r="L653" i="15"/>
  <c r="L652" i="15"/>
  <c r="L651" i="15"/>
  <c r="L650" i="15"/>
  <c r="L649" i="15"/>
  <c r="L648" i="15"/>
  <c r="L647" i="15"/>
  <c r="L646" i="15"/>
  <c r="L645" i="15"/>
  <c r="L644" i="15"/>
  <c r="L643" i="15"/>
  <c r="L642" i="15"/>
  <c r="L641" i="15"/>
  <c r="L640" i="15"/>
  <c r="L639" i="15"/>
  <c r="L638" i="15"/>
  <c r="L637" i="15"/>
  <c r="L636" i="15"/>
  <c r="L635" i="15"/>
  <c r="L634" i="15"/>
  <c r="L633" i="15"/>
  <c r="L632" i="15"/>
  <c r="L631" i="15"/>
  <c r="L630" i="15"/>
  <c r="L629" i="15"/>
  <c r="L628" i="15"/>
  <c r="L627" i="15"/>
  <c r="L626" i="15"/>
  <c r="L625" i="15"/>
  <c r="L624" i="15"/>
  <c r="L623" i="15"/>
  <c r="L622" i="15"/>
  <c r="L621" i="15"/>
  <c r="L620" i="15"/>
  <c r="L619" i="15"/>
  <c r="L618" i="15"/>
  <c r="L617" i="15"/>
  <c r="L616" i="15"/>
  <c r="L615" i="15"/>
  <c r="L614" i="15"/>
  <c r="L613" i="15"/>
  <c r="L612" i="15"/>
  <c r="L611" i="15"/>
  <c r="L610" i="15"/>
  <c r="L609" i="15"/>
  <c r="L608" i="15"/>
  <c r="L607" i="15"/>
  <c r="L606" i="15"/>
  <c r="L605" i="15"/>
  <c r="L604" i="15"/>
  <c r="L603" i="15"/>
  <c r="L602" i="15"/>
  <c r="L601" i="15"/>
  <c r="L600" i="15"/>
  <c r="L599" i="15"/>
  <c r="L598" i="15"/>
  <c r="L597" i="15"/>
  <c r="L596" i="15"/>
  <c r="L595" i="15"/>
  <c r="L594" i="15"/>
  <c r="L593" i="15"/>
  <c r="L592" i="15"/>
  <c r="L591" i="15"/>
  <c r="L590" i="15"/>
  <c r="L589" i="15"/>
  <c r="L588" i="15"/>
  <c r="L587" i="15"/>
  <c r="L586" i="15"/>
  <c r="L585" i="15"/>
  <c r="L584" i="15"/>
  <c r="L583" i="15"/>
  <c r="L582" i="15"/>
  <c r="L581" i="15"/>
  <c r="L580" i="15"/>
  <c r="L579" i="15"/>
  <c r="L578" i="15"/>
  <c r="L577" i="15"/>
  <c r="L576" i="15"/>
  <c r="L575" i="15"/>
  <c r="L574" i="15"/>
  <c r="L573" i="15"/>
  <c r="L572" i="15"/>
  <c r="L571" i="15"/>
  <c r="L570" i="15"/>
  <c r="L569" i="15"/>
  <c r="L568" i="15"/>
  <c r="L567" i="15"/>
  <c r="L566" i="15"/>
  <c r="L565" i="15"/>
  <c r="L564" i="15"/>
  <c r="L563" i="15"/>
  <c r="L562" i="15"/>
  <c r="L561" i="15"/>
  <c r="L560" i="15"/>
  <c r="L559" i="15"/>
  <c r="L558" i="15"/>
  <c r="L557" i="15"/>
  <c r="L556" i="15"/>
  <c r="L555" i="15"/>
  <c r="L554" i="15"/>
  <c r="L553" i="15"/>
  <c r="L552" i="15"/>
  <c r="L551" i="15"/>
  <c r="L550" i="15"/>
  <c r="L549" i="15"/>
  <c r="L548" i="15"/>
  <c r="L547" i="15"/>
  <c r="L546" i="15"/>
  <c r="L545" i="15"/>
  <c r="L544" i="15"/>
  <c r="L543" i="15"/>
  <c r="L542" i="15"/>
  <c r="L541" i="15"/>
  <c r="L540" i="15"/>
  <c r="L539" i="15"/>
  <c r="L538" i="15"/>
  <c r="L537" i="15"/>
  <c r="L536" i="15"/>
  <c r="L535" i="15"/>
  <c r="L534" i="15"/>
  <c r="L533" i="15"/>
  <c r="L532" i="15"/>
  <c r="L531" i="15"/>
  <c r="L530" i="15"/>
  <c r="L529" i="15"/>
  <c r="L528" i="15"/>
  <c r="L527" i="15"/>
  <c r="L526" i="15"/>
  <c r="L525" i="15"/>
  <c r="L524" i="15"/>
  <c r="L523" i="15"/>
  <c r="L522" i="15"/>
  <c r="L521" i="15"/>
  <c r="L520" i="15"/>
  <c r="L519" i="15"/>
  <c r="L518" i="15"/>
  <c r="L517" i="15"/>
  <c r="L516" i="15"/>
  <c r="L515" i="15"/>
  <c r="L514" i="15"/>
  <c r="L513" i="15"/>
  <c r="L512" i="15"/>
  <c r="L511" i="15"/>
  <c r="L510" i="15"/>
  <c r="L509" i="15"/>
  <c r="L508" i="15"/>
  <c r="L507" i="15"/>
  <c r="L506" i="15"/>
  <c r="L505" i="15"/>
  <c r="L504" i="15"/>
  <c r="L503" i="15"/>
  <c r="L502" i="15"/>
  <c r="L501" i="15"/>
  <c r="L500" i="15"/>
  <c r="L499" i="15"/>
  <c r="L498" i="15"/>
  <c r="L497" i="15"/>
  <c r="L496" i="15"/>
  <c r="L495" i="15"/>
  <c r="L494" i="15"/>
  <c r="L493" i="15"/>
  <c r="L492" i="15"/>
  <c r="L491" i="15"/>
  <c r="L490" i="15"/>
  <c r="L489" i="15"/>
  <c r="L488" i="15"/>
  <c r="L487" i="15"/>
  <c r="L486" i="15"/>
  <c r="L485" i="15"/>
  <c r="L484" i="15"/>
  <c r="L483" i="15"/>
  <c r="L482" i="15"/>
  <c r="L481" i="15"/>
  <c r="L480" i="15"/>
  <c r="L479" i="15"/>
  <c r="L478" i="15"/>
  <c r="L477" i="15"/>
  <c r="L476" i="15"/>
  <c r="L475" i="15"/>
  <c r="L474" i="15"/>
  <c r="L473" i="15"/>
  <c r="L472" i="15"/>
  <c r="L471" i="15"/>
  <c r="L470" i="15"/>
  <c r="L469" i="15"/>
  <c r="L468" i="15"/>
  <c r="L467" i="15"/>
  <c r="L466" i="15"/>
  <c r="L465" i="15"/>
  <c r="L464" i="15"/>
  <c r="L463" i="15"/>
  <c r="L462" i="15"/>
  <c r="L461" i="15"/>
  <c r="L460" i="15"/>
  <c r="L459" i="15"/>
  <c r="L458" i="15"/>
  <c r="L457" i="15"/>
  <c r="L456" i="15"/>
  <c r="L455" i="15"/>
  <c r="L454" i="15"/>
  <c r="L453" i="15"/>
  <c r="L452" i="15"/>
  <c r="L451" i="15"/>
  <c r="L450" i="15"/>
  <c r="L449" i="15"/>
  <c r="L448" i="15"/>
  <c r="L447" i="15"/>
  <c r="L446" i="15"/>
  <c r="L445" i="15"/>
  <c r="L444" i="15"/>
  <c r="L443" i="15"/>
  <c r="L442" i="15"/>
  <c r="L441" i="15"/>
  <c r="L440" i="15"/>
  <c r="L439" i="15"/>
  <c r="L438" i="15"/>
  <c r="L437" i="15"/>
  <c r="L436" i="15"/>
  <c r="L435" i="15"/>
  <c r="L434" i="15"/>
  <c r="L433" i="15"/>
  <c r="L432" i="15"/>
  <c r="L431" i="15"/>
  <c r="L430" i="15"/>
  <c r="L429" i="15"/>
  <c r="L428" i="15"/>
  <c r="L427" i="15"/>
  <c r="L426" i="15"/>
  <c r="L425" i="15"/>
  <c r="L424" i="15"/>
  <c r="L423" i="15"/>
  <c r="L422" i="15"/>
  <c r="L421" i="15"/>
  <c r="L420" i="15"/>
  <c r="L419" i="15"/>
  <c r="L418" i="15"/>
  <c r="L417" i="15"/>
  <c r="L416" i="15"/>
  <c r="L415" i="15"/>
  <c r="L414" i="15"/>
  <c r="L413" i="15"/>
  <c r="L412" i="15"/>
  <c r="L411" i="15"/>
  <c r="L410" i="15"/>
  <c r="L409" i="15"/>
  <c r="L408" i="15"/>
  <c r="L407" i="15"/>
  <c r="L406" i="15"/>
  <c r="L405" i="15"/>
  <c r="L404" i="15"/>
  <c r="L403" i="15"/>
  <c r="L402" i="15"/>
  <c r="L401" i="15"/>
  <c r="L400" i="15"/>
  <c r="L399" i="15"/>
  <c r="L398" i="15"/>
  <c r="L397" i="15"/>
  <c r="L396" i="15"/>
  <c r="L395" i="15"/>
  <c r="L394" i="15"/>
  <c r="L393" i="15"/>
  <c r="L392" i="15"/>
  <c r="L391" i="15"/>
  <c r="L390" i="15"/>
  <c r="L389" i="15"/>
  <c r="L388" i="15"/>
  <c r="L387" i="15"/>
  <c r="L386" i="15"/>
  <c r="L385" i="15"/>
  <c r="L384" i="15"/>
  <c r="L383" i="15"/>
  <c r="L382" i="15"/>
  <c r="L381" i="15"/>
  <c r="L380" i="15"/>
  <c r="L379" i="15"/>
  <c r="L378" i="15"/>
  <c r="L377" i="15"/>
  <c r="L376" i="15"/>
  <c r="L375" i="15"/>
  <c r="L374" i="15"/>
  <c r="L373" i="15"/>
  <c r="L372" i="15"/>
  <c r="L371" i="15"/>
  <c r="L370" i="15"/>
  <c r="L369" i="15"/>
  <c r="L368" i="15"/>
  <c r="L367" i="15"/>
  <c r="L366" i="15"/>
  <c r="L365" i="15"/>
  <c r="L364" i="15"/>
  <c r="L363" i="15"/>
  <c r="L362" i="15"/>
  <c r="L361" i="15"/>
  <c r="L360" i="15"/>
  <c r="L359" i="15"/>
  <c r="L358" i="15"/>
  <c r="L357" i="15"/>
  <c r="L356" i="15"/>
  <c r="L355" i="15"/>
  <c r="L354" i="15"/>
  <c r="L353" i="15"/>
  <c r="L352" i="15"/>
  <c r="L351" i="15"/>
  <c r="L350" i="15"/>
  <c r="L349" i="15"/>
  <c r="L348" i="15"/>
  <c r="L347" i="15"/>
  <c r="L346" i="15"/>
  <c r="L345" i="15"/>
  <c r="L344" i="15"/>
  <c r="L343" i="15"/>
  <c r="L342" i="15"/>
  <c r="L341" i="15"/>
  <c r="L340" i="15"/>
  <c r="L339" i="15"/>
  <c r="L338" i="15"/>
  <c r="L337" i="15"/>
  <c r="L336" i="15"/>
  <c r="L335" i="15"/>
  <c r="L334" i="15"/>
  <c r="L333" i="15"/>
  <c r="L332" i="15"/>
  <c r="L331" i="15"/>
  <c r="L330" i="15"/>
  <c r="L329" i="15"/>
  <c r="L328" i="15"/>
  <c r="L327" i="15"/>
  <c r="L326" i="15"/>
  <c r="L325" i="15"/>
  <c r="L324" i="15"/>
  <c r="L323" i="15"/>
  <c r="L322" i="15"/>
  <c r="L321" i="15"/>
  <c r="L320" i="15"/>
  <c r="L319" i="15"/>
  <c r="L318" i="15"/>
  <c r="L317" i="15"/>
  <c r="L316" i="15"/>
  <c r="L315" i="15"/>
  <c r="L314" i="15"/>
  <c r="L313" i="15"/>
  <c r="L312" i="15"/>
  <c r="L311" i="15"/>
  <c r="L310" i="15"/>
  <c r="L309" i="15"/>
  <c r="L308" i="15"/>
  <c r="L307" i="15"/>
  <c r="L306" i="15"/>
  <c r="L305" i="15"/>
  <c r="L304" i="15"/>
  <c r="L303" i="15"/>
  <c r="L302" i="15"/>
  <c r="L301" i="15"/>
  <c r="L300" i="15"/>
  <c r="L299" i="15"/>
  <c r="L298" i="15"/>
  <c r="L297" i="15"/>
  <c r="L296" i="15"/>
  <c r="L295" i="15"/>
  <c r="L294" i="15"/>
  <c r="L293" i="15"/>
  <c r="L292" i="15"/>
  <c r="L291" i="15"/>
  <c r="L290" i="15"/>
  <c r="L289" i="15"/>
  <c r="L288" i="15"/>
  <c r="L287" i="15"/>
  <c r="L286" i="15"/>
  <c r="L285" i="15"/>
  <c r="L284" i="15"/>
  <c r="L283" i="15"/>
  <c r="L282" i="15"/>
  <c r="L281" i="15"/>
  <c r="L280" i="15"/>
  <c r="L279" i="15"/>
  <c r="L278" i="15"/>
  <c r="L277" i="15"/>
  <c r="L276" i="15"/>
  <c r="L275" i="15"/>
  <c r="L274" i="15"/>
  <c r="L273" i="15"/>
  <c r="L272" i="15"/>
  <c r="L271" i="15"/>
  <c r="L270" i="15"/>
  <c r="L269" i="15"/>
  <c r="L268" i="15"/>
  <c r="L267" i="15"/>
  <c r="L266" i="15"/>
  <c r="L265" i="15"/>
  <c r="L264" i="15"/>
  <c r="L263" i="15"/>
  <c r="L262" i="15"/>
  <c r="L261" i="15"/>
  <c r="L260" i="15"/>
  <c r="L259" i="15"/>
  <c r="L258" i="15"/>
  <c r="L257" i="15"/>
  <c r="L256" i="15"/>
  <c r="L255" i="15"/>
  <c r="L254" i="15"/>
  <c r="L253" i="15"/>
  <c r="L252" i="15"/>
  <c r="L251" i="15"/>
  <c r="L250" i="15"/>
  <c r="L249" i="15"/>
  <c r="L248" i="15"/>
  <c r="L247" i="15"/>
  <c r="L246" i="15"/>
  <c r="L245" i="15"/>
  <c r="L244" i="15"/>
  <c r="L243" i="15"/>
  <c r="L242" i="15"/>
  <c r="L241" i="15"/>
  <c r="L240" i="15"/>
  <c r="L239" i="15"/>
  <c r="L238" i="15"/>
  <c r="L237" i="15"/>
  <c r="L236" i="15"/>
  <c r="L235" i="15"/>
  <c r="L234" i="15"/>
  <c r="L233" i="15"/>
  <c r="L232" i="15"/>
  <c r="L231" i="15"/>
  <c r="L230" i="15"/>
  <c r="L229" i="15"/>
  <c r="L228" i="15"/>
  <c r="L227" i="15"/>
  <c r="L226" i="15"/>
  <c r="L225" i="15"/>
  <c r="L224" i="15"/>
  <c r="L223" i="15"/>
  <c r="L222" i="15"/>
  <c r="L221" i="15"/>
  <c r="L220" i="15"/>
  <c r="L219" i="15"/>
  <c r="L218" i="15"/>
  <c r="L217" i="15"/>
  <c r="L216" i="15"/>
  <c r="L215" i="15"/>
  <c r="L214" i="15"/>
  <c r="L213" i="15"/>
  <c r="L212" i="15"/>
  <c r="L211" i="15"/>
  <c r="L210" i="15"/>
  <c r="L209" i="15"/>
  <c r="L208" i="15"/>
  <c r="L207" i="15"/>
  <c r="L206" i="15"/>
  <c r="L205" i="15"/>
  <c r="L204" i="15"/>
  <c r="L203" i="15"/>
  <c r="L202" i="15"/>
  <c r="L201" i="15"/>
  <c r="L200" i="15"/>
  <c r="L199" i="15"/>
  <c r="L198" i="15"/>
  <c r="L197" i="15"/>
  <c r="L196" i="15"/>
  <c r="L195" i="15"/>
  <c r="L194" i="15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7" i="15"/>
  <c r="L126" i="15"/>
  <c r="L125" i="15"/>
  <c r="L124" i="15"/>
  <c r="L123" i="15"/>
  <c r="L122" i="15"/>
  <c r="L121" i="15"/>
  <c r="L120" i="15"/>
  <c r="L119" i="15"/>
  <c r="L118" i="15"/>
  <c r="L117" i="15"/>
  <c r="L116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9" i="15"/>
  <c r="L78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K889" i="15"/>
  <c r="K888" i="15"/>
  <c r="K887" i="15"/>
  <c r="K886" i="15"/>
  <c r="K885" i="15"/>
  <c r="K884" i="15"/>
  <c r="K883" i="15"/>
  <c r="K882" i="15"/>
  <c r="K881" i="15"/>
  <c r="K880" i="15"/>
  <c r="K879" i="15"/>
  <c r="K878" i="15"/>
  <c r="K877" i="15"/>
  <c r="K876" i="15"/>
  <c r="K875" i="15"/>
  <c r="K874" i="15"/>
  <c r="K873" i="15"/>
  <c r="K872" i="15"/>
  <c r="K871" i="15"/>
  <c r="K870" i="15"/>
  <c r="K869" i="15"/>
  <c r="K868" i="15"/>
  <c r="K867" i="15"/>
  <c r="K866" i="15"/>
  <c r="K865" i="15"/>
  <c r="K864" i="15"/>
  <c r="K863" i="15"/>
  <c r="K862" i="15"/>
  <c r="K861" i="15"/>
  <c r="K860" i="15"/>
  <c r="K859" i="15"/>
  <c r="K858" i="15"/>
  <c r="K857" i="15"/>
  <c r="K856" i="15"/>
  <c r="K855" i="15"/>
  <c r="K854" i="15"/>
  <c r="K853" i="15"/>
  <c r="K852" i="15"/>
  <c r="K851" i="15"/>
  <c r="K850" i="15"/>
  <c r="K849" i="15"/>
  <c r="K848" i="15"/>
  <c r="K847" i="15"/>
  <c r="K846" i="15"/>
  <c r="K845" i="15"/>
  <c r="K844" i="15"/>
  <c r="K843" i="15"/>
  <c r="K842" i="15"/>
  <c r="K841" i="15"/>
  <c r="K840" i="15"/>
  <c r="K839" i="15"/>
  <c r="K838" i="15"/>
  <c r="K837" i="15"/>
  <c r="K836" i="15"/>
  <c r="K835" i="15"/>
  <c r="K834" i="15"/>
  <c r="K833" i="15"/>
  <c r="K832" i="15"/>
  <c r="K831" i="15"/>
  <c r="K830" i="15"/>
  <c r="K829" i="15"/>
  <c r="K828" i="15"/>
  <c r="K827" i="15"/>
  <c r="K826" i="15"/>
  <c r="K825" i="15"/>
  <c r="K824" i="15"/>
  <c r="K823" i="15"/>
  <c r="K822" i="15"/>
  <c r="K821" i="15"/>
  <c r="K820" i="15"/>
  <c r="K819" i="15"/>
  <c r="K818" i="15"/>
  <c r="K817" i="15"/>
  <c r="K816" i="15"/>
  <c r="K815" i="15"/>
  <c r="K814" i="15"/>
  <c r="K813" i="15"/>
  <c r="K812" i="15"/>
  <c r="K811" i="15"/>
  <c r="K810" i="15"/>
  <c r="K809" i="15"/>
  <c r="K808" i="15"/>
  <c r="K807" i="15"/>
  <c r="K806" i="15"/>
  <c r="K805" i="15"/>
  <c r="K804" i="15"/>
  <c r="K803" i="15"/>
  <c r="K802" i="15"/>
  <c r="K801" i="15"/>
  <c r="K800" i="15"/>
  <c r="K799" i="15"/>
  <c r="K798" i="15"/>
  <c r="K797" i="15"/>
  <c r="K796" i="15"/>
  <c r="K795" i="15"/>
  <c r="K794" i="15"/>
  <c r="K793" i="15"/>
  <c r="K792" i="15"/>
  <c r="K791" i="15"/>
  <c r="K790" i="15"/>
  <c r="K789" i="15"/>
  <c r="K788" i="15"/>
  <c r="K787" i="15"/>
  <c r="K786" i="15"/>
  <c r="K785" i="15"/>
  <c r="K784" i="15"/>
  <c r="K783" i="15"/>
  <c r="K782" i="15"/>
  <c r="K781" i="15"/>
  <c r="K780" i="15"/>
  <c r="K779" i="15"/>
  <c r="K778" i="15"/>
  <c r="K777" i="15"/>
  <c r="K776" i="15"/>
  <c r="K775" i="15"/>
  <c r="K774" i="15"/>
  <c r="K773" i="15"/>
  <c r="K772" i="15"/>
  <c r="K771" i="15"/>
  <c r="K770" i="15"/>
  <c r="K769" i="15"/>
  <c r="K768" i="15"/>
  <c r="K767" i="15"/>
  <c r="K766" i="15"/>
  <c r="K765" i="15"/>
  <c r="K764" i="15"/>
  <c r="K763" i="15"/>
  <c r="K762" i="15"/>
  <c r="K761" i="15"/>
  <c r="K760" i="15"/>
  <c r="K759" i="15"/>
  <c r="K758" i="15"/>
  <c r="K757" i="15"/>
  <c r="K756" i="15"/>
  <c r="K755" i="15"/>
  <c r="K754" i="15"/>
  <c r="K753" i="15"/>
  <c r="K752" i="15"/>
  <c r="K751" i="15"/>
  <c r="K750" i="15"/>
  <c r="K749" i="15"/>
  <c r="K748" i="15"/>
  <c r="K747" i="15"/>
  <c r="K746" i="15"/>
  <c r="K745" i="15"/>
  <c r="K744" i="15"/>
  <c r="K743" i="15"/>
  <c r="K742" i="15"/>
  <c r="K741" i="15"/>
  <c r="K740" i="15"/>
  <c r="K739" i="15"/>
  <c r="K738" i="15"/>
  <c r="K737" i="15"/>
  <c r="K736" i="15"/>
  <c r="K735" i="15"/>
  <c r="K734" i="15"/>
  <c r="K733" i="15"/>
  <c r="K732" i="15"/>
  <c r="K731" i="15"/>
  <c r="K730" i="15"/>
  <c r="K729" i="15"/>
  <c r="K728" i="15"/>
  <c r="K727" i="15"/>
  <c r="K726" i="15"/>
  <c r="K725" i="15"/>
  <c r="K724" i="15"/>
  <c r="K723" i="15"/>
  <c r="K722" i="15"/>
  <c r="K721" i="15"/>
  <c r="K720" i="15"/>
  <c r="K719" i="15"/>
  <c r="K718" i="15"/>
  <c r="K717" i="15"/>
  <c r="K716" i="15"/>
  <c r="K715" i="15"/>
  <c r="K714" i="15"/>
  <c r="K713" i="15"/>
  <c r="K712" i="15"/>
  <c r="K711" i="15"/>
  <c r="K710" i="15"/>
  <c r="K709" i="15"/>
  <c r="K708" i="15"/>
  <c r="K707" i="15"/>
  <c r="K706" i="15"/>
  <c r="K705" i="15"/>
  <c r="K704" i="15"/>
  <c r="K703" i="15"/>
  <c r="K702" i="15"/>
  <c r="K701" i="15"/>
  <c r="K700" i="15"/>
  <c r="K699" i="15"/>
  <c r="K698" i="15"/>
  <c r="K697" i="15"/>
  <c r="K696" i="15"/>
  <c r="K695" i="15"/>
  <c r="K694" i="15"/>
  <c r="K693" i="15"/>
  <c r="K692" i="15"/>
  <c r="K691" i="15"/>
  <c r="K690" i="15"/>
  <c r="K689" i="15"/>
  <c r="K688" i="15"/>
  <c r="K687" i="15"/>
  <c r="K686" i="15"/>
  <c r="K685" i="15"/>
  <c r="K684" i="15"/>
  <c r="K683" i="15"/>
  <c r="K682" i="15"/>
  <c r="K681" i="15"/>
  <c r="K680" i="15"/>
  <c r="K679" i="15"/>
  <c r="K678" i="15"/>
  <c r="K677" i="15"/>
  <c r="K676" i="15"/>
  <c r="K675" i="15"/>
  <c r="K674" i="15"/>
  <c r="K673" i="15"/>
  <c r="K672" i="15"/>
  <c r="K671" i="15"/>
  <c r="K670" i="15"/>
  <c r="K669" i="15"/>
  <c r="K668" i="15"/>
  <c r="K667" i="15"/>
  <c r="K666" i="15"/>
  <c r="K665" i="15"/>
  <c r="K664" i="15"/>
  <c r="K663" i="15"/>
  <c r="K662" i="15"/>
  <c r="K661" i="15"/>
  <c r="K660" i="15"/>
  <c r="K659" i="15"/>
  <c r="K658" i="15"/>
  <c r="K657" i="15"/>
  <c r="K656" i="15"/>
  <c r="K655" i="15"/>
  <c r="K654" i="15"/>
  <c r="K653" i="15"/>
  <c r="K652" i="15"/>
  <c r="K651" i="15"/>
  <c r="K650" i="15"/>
  <c r="K649" i="15"/>
  <c r="K648" i="15"/>
  <c r="K647" i="15"/>
  <c r="K646" i="15"/>
  <c r="K645" i="15"/>
  <c r="K644" i="15"/>
  <c r="K643" i="15"/>
  <c r="K642" i="15"/>
  <c r="K641" i="15"/>
  <c r="K640" i="15"/>
  <c r="K639" i="15"/>
  <c r="K638" i="15"/>
  <c r="K637" i="15"/>
  <c r="K636" i="15"/>
  <c r="K635" i="15"/>
  <c r="K634" i="15"/>
  <c r="K633" i="15"/>
  <c r="K632" i="15"/>
  <c r="K631" i="15"/>
  <c r="K630" i="15"/>
  <c r="K629" i="15"/>
  <c r="K628" i="15"/>
  <c r="K627" i="15"/>
  <c r="K626" i="15"/>
  <c r="K625" i="15"/>
  <c r="K624" i="15"/>
  <c r="K623" i="15"/>
  <c r="K622" i="15"/>
  <c r="K621" i="15"/>
  <c r="K620" i="15"/>
  <c r="K619" i="15"/>
  <c r="K618" i="15"/>
  <c r="K617" i="15"/>
  <c r="K616" i="15"/>
  <c r="K615" i="15"/>
  <c r="K614" i="15"/>
  <c r="K613" i="15"/>
  <c r="K612" i="15"/>
  <c r="K611" i="15"/>
  <c r="K610" i="15"/>
  <c r="K609" i="15"/>
  <c r="K608" i="15"/>
  <c r="K607" i="15"/>
  <c r="K606" i="15"/>
  <c r="K605" i="15"/>
  <c r="K604" i="15"/>
  <c r="K603" i="15"/>
  <c r="K602" i="15"/>
  <c r="K601" i="15"/>
  <c r="K600" i="15"/>
  <c r="K599" i="15"/>
  <c r="K598" i="15"/>
  <c r="K597" i="15"/>
  <c r="K596" i="15"/>
  <c r="K595" i="15"/>
  <c r="K594" i="15"/>
  <c r="K593" i="15"/>
  <c r="K592" i="15"/>
  <c r="K591" i="15"/>
  <c r="K590" i="15"/>
  <c r="K589" i="15"/>
  <c r="K588" i="15"/>
  <c r="K587" i="15"/>
  <c r="K586" i="15"/>
  <c r="K585" i="15"/>
  <c r="K584" i="15"/>
  <c r="K583" i="15"/>
  <c r="K582" i="15"/>
  <c r="K581" i="15"/>
  <c r="K580" i="15"/>
  <c r="K579" i="15"/>
  <c r="K578" i="15"/>
  <c r="K577" i="15"/>
  <c r="K576" i="15"/>
  <c r="K575" i="15"/>
  <c r="K574" i="15"/>
  <c r="K573" i="15"/>
  <c r="K572" i="15"/>
  <c r="K571" i="15"/>
  <c r="K570" i="15"/>
  <c r="K569" i="15"/>
  <c r="K568" i="15"/>
  <c r="K567" i="15"/>
  <c r="K566" i="15"/>
  <c r="K565" i="15"/>
  <c r="K564" i="15"/>
  <c r="K563" i="15"/>
  <c r="K562" i="15"/>
  <c r="K561" i="15"/>
  <c r="K560" i="15"/>
  <c r="K559" i="15"/>
  <c r="K558" i="15"/>
  <c r="K557" i="15"/>
  <c r="K556" i="15"/>
  <c r="K555" i="15"/>
  <c r="K554" i="15"/>
  <c r="K553" i="15"/>
  <c r="K552" i="15"/>
  <c r="K551" i="15"/>
  <c r="K550" i="15"/>
  <c r="K549" i="15"/>
  <c r="K548" i="15"/>
  <c r="K547" i="15"/>
  <c r="K546" i="15"/>
  <c r="K545" i="15"/>
  <c r="K544" i="15"/>
  <c r="K543" i="15"/>
  <c r="K542" i="15"/>
  <c r="K541" i="15"/>
  <c r="K540" i="15"/>
  <c r="K539" i="15"/>
  <c r="K538" i="15"/>
  <c r="K537" i="15"/>
  <c r="K536" i="15"/>
  <c r="K535" i="15"/>
  <c r="K534" i="15"/>
  <c r="K533" i="15"/>
  <c r="K532" i="15"/>
  <c r="K531" i="15"/>
  <c r="K530" i="15"/>
  <c r="K529" i="15"/>
  <c r="K528" i="15"/>
  <c r="K527" i="15"/>
  <c r="K526" i="15"/>
  <c r="K525" i="15"/>
  <c r="K524" i="15"/>
  <c r="K523" i="15"/>
  <c r="K522" i="15"/>
  <c r="K521" i="15"/>
  <c r="K520" i="15"/>
  <c r="K519" i="15"/>
  <c r="K518" i="15"/>
  <c r="K517" i="15"/>
  <c r="K516" i="15"/>
  <c r="K515" i="15"/>
  <c r="K514" i="15"/>
  <c r="K513" i="15"/>
  <c r="K512" i="15"/>
  <c r="K511" i="15"/>
  <c r="K510" i="15"/>
  <c r="K509" i="15"/>
  <c r="K508" i="15"/>
  <c r="K507" i="15"/>
  <c r="K506" i="15"/>
  <c r="K505" i="15"/>
  <c r="K504" i="15"/>
  <c r="K503" i="15"/>
  <c r="K502" i="15"/>
  <c r="K501" i="15"/>
  <c r="K500" i="15"/>
  <c r="K499" i="15"/>
  <c r="K498" i="15"/>
  <c r="K497" i="15"/>
  <c r="K496" i="15"/>
  <c r="K495" i="15"/>
  <c r="K494" i="15"/>
  <c r="K493" i="15"/>
  <c r="K492" i="15"/>
  <c r="K491" i="15"/>
  <c r="K490" i="15"/>
  <c r="K489" i="15"/>
  <c r="K488" i="15"/>
  <c r="K487" i="15"/>
  <c r="K486" i="15"/>
  <c r="K485" i="15"/>
  <c r="K484" i="15"/>
  <c r="K483" i="15"/>
  <c r="K482" i="15"/>
  <c r="K481" i="15"/>
  <c r="K480" i="15"/>
  <c r="K479" i="15"/>
  <c r="K478" i="15"/>
  <c r="K477" i="15"/>
  <c r="K476" i="15"/>
  <c r="K475" i="15"/>
  <c r="K474" i="15"/>
  <c r="K473" i="15"/>
  <c r="K472" i="15"/>
  <c r="K471" i="15"/>
  <c r="K470" i="15"/>
  <c r="K469" i="15"/>
  <c r="K468" i="15"/>
  <c r="K467" i="15"/>
  <c r="K466" i="15"/>
  <c r="K465" i="15"/>
  <c r="K464" i="15"/>
  <c r="K463" i="15"/>
  <c r="K462" i="15"/>
  <c r="K461" i="15"/>
  <c r="K460" i="15"/>
  <c r="K459" i="15"/>
  <c r="K458" i="15"/>
  <c r="K457" i="15"/>
  <c r="K456" i="15"/>
  <c r="K455" i="15"/>
  <c r="K454" i="15"/>
  <c r="K453" i="15"/>
  <c r="K452" i="15"/>
  <c r="K451" i="15"/>
  <c r="K450" i="15"/>
  <c r="K449" i="15"/>
  <c r="K448" i="15"/>
  <c r="K447" i="15"/>
  <c r="K446" i="15"/>
  <c r="K445" i="15"/>
  <c r="K444" i="15"/>
  <c r="K443" i="15"/>
  <c r="K442" i="15"/>
  <c r="K441" i="15"/>
  <c r="K440" i="15"/>
  <c r="K439" i="15"/>
  <c r="K438" i="15"/>
  <c r="K437" i="15"/>
  <c r="K436" i="15"/>
  <c r="K435" i="15"/>
  <c r="K434" i="15"/>
  <c r="K433" i="15"/>
  <c r="K432" i="15"/>
  <c r="K431" i="15"/>
  <c r="K430" i="15"/>
  <c r="K429" i="15"/>
  <c r="K428" i="15"/>
  <c r="K427" i="15"/>
  <c r="K426" i="15"/>
  <c r="K425" i="15"/>
  <c r="K424" i="15"/>
  <c r="K423" i="15"/>
  <c r="K422" i="15"/>
  <c r="K421" i="15"/>
  <c r="K420" i="15"/>
  <c r="K419" i="15"/>
  <c r="K418" i="15"/>
  <c r="K417" i="15"/>
  <c r="K416" i="15"/>
  <c r="K415" i="15"/>
  <c r="K414" i="15"/>
  <c r="K413" i="15"/>
  <c r="K412" i="15"/>
  <c r="K411" i="15"/>
  <c r="K410" i="15"/>
  <c r="K409" i="15"/>
  <c r="K408" i="15"/>
  <c r="K407" i="15"/>
  <c r="K406" i="15"/>
  <c r="K405" i="15"/>
  <c r="K404" i="15"/>
  <c r="K403" i="15"/>
  <c r="K402" i="15"/>
  <c r="K401" i="15"/>
  <c r="K400" i="15"/>
  <c r="K399" i="15"/>
  <c r="K398" i="15"/>
  <c r="K397" i="15"/>
  <c r="K396" i="15"/>
  <c r="K395" i="15"/>
  <c r="K394" i="15"/>
  <c r="K393" i="15"/>
  <c r="K392" i="15"/>
  <c r="K391" i="15"/>
  <c r="K390" i="15"/>
  <c r="K389" i="15"/>
  <c r="K388" i="15"/>
  <c r="K387" i="15"/>
  <c r="K386" i="15"/>
  <c r="K385" i="15"/>
  <c r="K384" i="15"/>
  <c r="K383" i="15"/>
  <c r="K382" i="15"/>
  <c r="K381" i="15"/>
  <c r="K380" i="15"/>
  <c r="K379" i="15"/>
  <c r="K378" i="15"/>
  <c r="K377" i="15"/>
  <c r="K376" i="15"/>
  <c r="K375" i="15"/>
  <c r="K374" i="15"/>
  <c r="K373" i="15"/>
  <c r="K372" i="15"/>
  <c r="K371" i="15"/>
  <c r="K370" i="15"/>
  <c r="K369" i="15"/>
  <c r="K368" i="15"/>
  <c r="K367" i="15"/>
  <c r="K366" i="15"/>
  <c r="K365" i="15"/>
  <c r="K364" i="15"/>
  <c r="K363" i="15"/>
  <c r="K362" i="15"/>
  <c r="K361" i="15"/>
  <c r="K360" i="15"/>
  <c r="K359" i="15"/>
  <c r="K358" i="15"/>
  <c r="K357" i="15"/>
  <c r="K356" i="15"/>
  <c r="K355" i="15"/>
  <c r="K354" i="15"/>
  <c r="K353" i="15"/>
  <c r="K352" i="15"/>
  <c r="K351" i="15"/>
  <c r="K350" i="15"/>
  <c r="K349" i="15"/>
  <c r="K348" i="15"/>
  <c r="K347" i="15"/>
  <c r="K346" i="15"/>
  <c r="K345" i="15"/>
  <c r="K344" i="15"/>
  <c r="K343" i="15"/>
  <c r="K342" i="15"/>
  <c r="K341" i="15"/>
  <c r="K340" i="15"/>
  <c r="K339" i="15"/>
  <c r="K338" i="15"/>
  <c r="K337" i="15"/>
  <c r="K336" i="15"/>
  <c r="K335" i="15"/>
  <c r="K334" i="15"/>
  <c r="K333" i="15"/>
  <c r="K332" i="15"/>
  <c r="K331" i="15"/>
  <c r="K330" i="15"/>
  <c r="K329" i="15"/>
  <c r="K328" i="15"/>
  <c r="K327" i="15"/>
  <c r="K326" i="15"/>
  <c r="K325" i="15"/>
  <c r="K324" i="15"/>
  <c r="K323" i="15"/>
  <c r="K322" i="15"/>
  <c r="K321" i="15"/>
  <c r="K320" i="15"/>
  <c r="K319" i="15"/>
  <c r="K318" i="15"/>
  <c r="K317" i="15"/>
  <c r="K316" i="15"/>
  <c r="K315" i="15"/>
  <c r="K314" i="15"/>
  <c r="K313" i="15"/>
  <c r="K312" i="15"/>
  <c r="K311" i="15"/>
  <c r="K310" i="15"/>
  <c r="K309" i="15"/>
  <c r="K308" i="15"/>
  <c r="K307" i="15"/>
  <c r="K306" i="15"/>
  <c r="K305" i="15"/>
  <c r="K304" i="15"/>
  <c r="K303" i="15"/>
  <c r="K302" i="15"/>
  <c r="K301" i="15"/>
  <c r="K300" i="15"/>
  <c r="K299" i="15"/>
  <c r="K298" i="15"/>
  <c r="K297" i="15"/>
  <c r="K296" i="15"/>
  <c r="K295" i="15"/>
  <c r="K294" i="15"/>
  <c r="K293" i="15"/>
  <c r="K292" i="15"/>
  <c r="K291" i="15"/>
  <c r="K290" i="15"/>
  <c r="K289" i="15"/>
  <c r="K288" i="15"/>
  <c r="K287" i="15"/>
  <c r="K286" i="15"/>
  <c r="K285" i="15"/>
  <c r="K284" i="15"/>
  <c r="K283" i="15"/>
  <c r="K282" i="15"/>
  <c r="K281" i="15"/>
  <c r="K280" i="15"/>
  <c r="K279" i="15"/>
  <c r="K278" i="15"/>
  <c r="K277" i="15"/>
  <c r="K276" i="15"/>
  <c r="K275" i="15"/>
  <c r="K274" i="15"/>
  <c r="K273" i="15"/>
  <c r="K272" i="15"/>
  <c r="K271" i="15"/>
  <c r="K270" i="15"/>
  <c r="K269" i="15"/>
  <c r="K268" i="15"/>
  <c r="K267" i="15"/>
  <c r="K266" i="15"/>
  <c r="K265" i="15"/>
  <c r="K264" i="15"/>
  <c r="K263" i="15"/>
  <c r="K262" i="15"/>
  <c r="K261" i="15"/>
  <c r="K260" i="15"/>
  <c r="K259" i="15"/>
  <c r="K258" i="15"/>
  <c r="K257" i="15"/>
  <c r="K256" i="15"/>
  <c r="K255" i="15"/>
  <c r="K254" i="15"/>
  <c r="K253" i="15"/>
  <c r="K252" i="15"/>
  <c r="K251" i="15"/>
  <c r="K250" i="15"/>
  <c r="K249" i="15"/>
  <c r="K248" i="15"/>
  <c r="K247" i="15"/>
  <c r="K246" i="15"/>
  <c r="K245" i="15"/>
  <c r="K244" i="15"/>
  <c r="K243" i="15"/>
  <c r="K242" i="15"/>
  <c r="K241" i="15"/>
  <c r="K240" i="15"/>
  <c r="K239" i="15"/>
  <c r="K238" i="15"/>
  <c r="K237" i="15"/>
  <c r="K236" i="15"/>
  <c r="K235" i="15"/>
  <c r="K234" i="15"/>
  <c r="K233" i="15"/>
  <c r="K232" i="15"/>
  <c r="K231" i="15"/>
  <c r="K230" i="15"/>
  <c r="K229" i="15"/>
  <c r="K228" i="15"/>
  <c r="K227" i="15"/>
  <c r="K226" i="15"/>
  <c r="K225" i="15"/>
  <c r="K224" i="15"/>
  <c r="K223" i="15"/>
  <c r="K222" i="15"/>
  <c r="K221" i="15"/>
  <c r="K220" i="15"/>
  <c r="K219" i="15"/>
  <c r="K218" i="15"/>
  <c r="K217" i="15"/>
  <c r="K216" i="15"/>
  <c r="K215" i="15"/>
  <c r="K214" i="15"/>
  <c r="K213" i="15"/>
  <c r="K212" i="15"/>
  <c r="K211" i="15"/>
  <c r="K210" i="15"/>
  <c r="K209" i="15"/>
  <c r="K208" i="15"/>
  <c r="K207" i="15"/>
  <c r="K206" i="15"/>
  <c r="K205" i="15"/>
  <c r="K204" i="15"/>
  <c r="K203" i="15"/>
  <c r="K202" i="15"/>
  <c r="K201" i="15"/>
  <c r="K200" i="15"/>
  <c r="K199" i="15"/>
  <c r="K198" i="15"/>
  <c r="K197" i="15"/>
  <c r="K196" i="15"/>
  <c r="K195" i="15"/>
  <c r="K194" i="15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7" i="15"/>
  <c r="K126" i="15"/>
  <c r="K125" i="15"/>
  <c r="K124" i="15"/>
  <c r="K123" i="15"/>
  <c r="K122" i="15"/>
  <c r="K121" i="15"/>
  <c r="K120" i="15"/>
  <c r="K119" i="15"/>
  <c r="K118" i="15"/>
  <c r="K117" i="15"/>
  <c r="K116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9" i="15"/>
  <c r="K78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J889" i="15"/>
  <c r="J888" i="15"/>
  <c r="J887" i="15"/>
  <c r="J886" i="15"/>
  <c r="J885" i="15"/>
  <c r="J884" i="15"/>
  <c r="J883" i="15"/>
  <c r="J882" i="15"/>
  <c r="J881" i="15"/>
  <c r="J880" i="15"/>
  <c r="J879" i="15"/>
  <c r="J878" i="15"/>
  <c r="J877" i="15"/>
  <c r="J876" i="15"/>
  <c r="J875" i="15"/>
  <c r="J874" i="15"/>
  <c r="J873" i="15"/>
  <c r="J872" i="15"/>
  <c r="J871" i="15"/>
  <c r="J870" i="15"/>
  <c r="J869" i="15"/>
  <c r="J868" i="15"/>
  <c r="J867" i="15"/>
  <c r="J866" i="15"/>
  <c r="J865" i="15"/>
  <c r="J864" i="15"/>
  <c r="J863" i="15"/>
  <c r="J862" i="15"/>
  <c r="J861" i="15"/>
  <c r="J860" i="15"/>
  <c r="J859" i="15"/>
  <c r="J858" i="15"/>
  <c r="J857" i="15"/>
  <c r="J856" i="15"/>
  <c r="J855" i="15"/>
  <c r="J854" i="15"/>
  <c r="J853" i="15"/>
  <c r="J852" i="15"/>
  <c r="J851" i="15"/>
  <c r="J850" i="15"/>
  <c r="J849" i="15"/>
  <c r="J848" i="15"/>
  <c r="J847" i="15"/>
  <c r="J846" i="15"/>
  <c r="J845" i="15"/>
  <c r="J844" i="15"/>
  <c r="J843" i="15"/>
  <c r="J842" i="15"/>
  <c r="J841" i="15"/>
  <c r="J840" i="15"/>
  <c r="J839" i="15"/>
  <c r="J838" i="15"/>
  <c r="J837" i="15"/>
  <c r="J836" i="15"/>
  <c r="J835" i="15"/>
  <c r="J834" i="15"/>
  <c r="J833" i="15"/>
  <c r="J832" i="15"/>
  <c r="J831" i="15"/>
  <c r="J830" i="15"/>
  <c r="J829" i="15"/>
  <c r="J828" i="15"/>
  <c r="J827" i="15"/>
  <c r="J826" i="15"/>
  <c r="J825" i="15"/>
  <c r="J824" i="15"/>
  <c r="J823" i="15"/>
  <c r="J822" i="15"/>
  <c r="J821" i="15"/>
  <c r="J820" i="15"/>
  <c r="J819" i="15"/>
  <c r="J818" i="15"/>
  <c r="J817" i="15"/>
  <c r="J816" i="15"/>
  <c r="J815" i="15"/>
  <c r="J814" i="15"/>
  <c r="J813" i="15"/>
  <c r="J812" i="15"/>
  <c r="J811" i="15"/>
  <c r="J810" i="15"/>
  <c r="J809" i="15"/>
  <c r="J808" i="15"/>
  <c r="J807" i="15"/>
  <c r="J806" i="15"/>
  <c r="J805" i="15"/>
  <c r="J804" i="15"/>
  <c r="J803" i="15"/>
  <c r="J802" i="15"/>
  <c r="J801" i="15"/>
  <c r="J800" i="15"/>
  <c r="J799" i="15"/>
  <c r="J798" i="15"/>
  <c r="J797" i="15"/>
  <c r="J796" i="15"/>
  <c r="J795" i="15"/>
  <c r="J794" i="15"/>
  <c r="J793" i="15"/>
  <c r="J792" i="15"/>
  <c r="J791" i="15"/>
  <c r="J790" i="15"/>
  <c r="J789" i="15"/>
  <c r="J788" i="15"/>
  <c r="J787" i="15"/>
  <c r="J786" i="15"/>
  <c r="J785" i="15"/>
  <c r="J784" i="15"/>
  <c r="J783" i="15"/>
  <c r="J782" i="15"/>
  <c r="J781" i="15"/>
  <c r="J780" i="15"/>
  <c r="J779" i="15"/>
  <c r="J778" i="15"/>
  <c r="J777" i="15"/>
  <c r="J776" i="15"/>
  <c r="J775" i="15"/>
  <c r="J774" i="15"/>
  <c r="J773" i="15"/>
  <c r="J772" i="15"/>
  <c r="J771" i="15"/>
  <c r="J770" i="15"/>
  <c r="J769" i="15"/>
  <c r="J768" i="15"/>
  <c r="J767" i="15"/>
  <c r="J766" i="15"/>
  <c r="J765" i="15"/>
  <c r="J764" i="15"/>
  <c r="J763" i="15"/>
  <c r="J762" i="15"/>
  <c r="J761" i="15"/>
  <c r="J760" i="15"/>
  <c r="J759" i="15"/>
  <c r="J758" i="15"/>
  <c r="J757" i="15"/>
  <c r="J756" i="15"/>
  <c r="J755" i="15"/>
  <c r="J754" i="15"/>
  <c r="J753" i="15"/>
  <c r="J752" i="15"/>
  <c r="J751" i="15"/>
  <c r="J750" i="15"/>
  <c r="J749" i="15"/>
  <c r="J748" i="15"/>
  <c r="J747" i="15"/>
  <c r="J746" i="15"/>
  <c r="J745" i="15"/>
  <c r="J744" i="15"/>
  <c r="J743" i="15"/>
  <c r="J742" i="15"/>
  <c r="J741" i="15"/>
  <c r="J740" i="15"/>
  <c r="J739" i="15"/>
  <c r="J738" i="15"/>
  <c r="J737" i="15"/>
  <c r="J736" i="15"/>
  <c r="J735" i="15"/>
  <c r="J734" i="15"/>
  <c r="J733" i="15"/>
  <c r="J732" i="15"/>
  <c r="J731" i="15"/>
  <c r="J730" i="15"/>
  <c r="J729" i="15"/>
  <c r="J728" i="15"/>
  <c r="J727" i="15"/>
  <c r="J726" i="15"/>
  <c r="J725" i="15"/>
  <c r="J724" i="15"/>
  <c r="J723" i="15"/>
  <c r="J722" i="15"/>
  <c r="J721" i="15"/>
  <c r="J720" i="15"/>
  <c r="J719" i="15"/>
  <c r="J718" i="15"/>
  <c r="J717" i="15"/>
  <c r="J716" i="15"/>
  <c r="J715" i="15"/>
  <c r="J714" i="15"/>
  <c r="J713" i="15"/>
  <c r="J712" i="15"/>
  <c r="J711" i="15"/>
  <c r="J710" i="15"/>
  <c r="J709" i="15"/>
  <c r="J708" i="15"/>
  <c r="J707" i="15"/>
  <c r="J706" i="15"/>
  <c r="J705" i="15"/>
  <c r="J704" i="15"/>
  <c r="J703" i="15"/>
  <c r="J702" i="15"/>
  <c r="J701" i="15"/>
  <c r="J700" i="15"/>
  <c r="J699" i="15"/>
  <c r="J698" i="15"/>
  <c r="J697" i="15"/>
  <c r="J696" i="15"/>
  <c r="J695" i="15"/>
  <c r="J694" i="15"/>
  <c r="J693" i="15"/>
  <c r="J692" i="15"/>
  <c r="J691" i="15"/>
  <c r="J690" i="15"/>
  <c r="J689" i="15"/>
  <c r="J688" i="15"/>
  <c r="J687" i="15"/>
  <c r="J686" i="15"/>
  <c r="J685" i="15"/>
  <c r="J684" i="15"/>
  <c r="J683" i="15"/>
  <c r="J682" i="15"/>
  <c r="J681" i="15"/>
  <c r="J680" i="15"/>
  <c r="J679" i="15"/>
  <c r="J678" i="15"/>
  <c r="J677" i="15"/>
  <c r="J676" i="15"/>
  <c r="J675" i="15"/>
  <c r="J674" i="15"/>
  <c r="J673" i="15"/>
  <c r="J672" i="15"/>
  <c r="J671" i="15"/>
  <c r="J670" i="15"/>
  <c r="J669" i="15"/>
  <c r="J668" i="15"/>
  <c r="J667" i="15"/>
  <c r="J666" i="15"/>
  <c r="J665" i="15"/>
  <c r="J664" i="15"/>
  <c r="J663" i="15"/>
  <c r="J662" i="15"/>
  <c r="J661" i="15"/>
  <c r="J660" i="15"/>
  <c r="J659" i="15"/>
  <c r="J658" i="15"/>
  <c r="J657" i="15"/>
  <c r="J656" i="15"/>
  <c r="J655" i="15"/>
  <c r="J654" i="15"/>
  <c r="J653" i="15"/>
  <c r="J652" i="15"/>
  <c r="J651" i="15"/>
  <c r="J650" i="15"/>
  <c r="J649" i="15"/>
  <c r="J648" i="15"/>
  <c r="J647" i="15"/>
  <c r="J646" i="15"/>
  <c r="J645" i="15"/>
  <c r="J644" i="15"/>
  <c r="J643" i="15"/>
  <c r="J642" i="15"/>
  <c r="J641" i="15"/>
  <c r="J640" i="15"/>
  <c r="J639" i="15"/>
  <c r="J638" i="15"/>
  <c r="J637" i="15"/>
  <c r="J636" i="15"/>
  <c r="J635" i="15"/>
  <c r="J634" i="15"/>
  <c r="J633" i="15"/>
  <c r="J632" i="15"/>
  <c r="J631" i="15"/>
  <c r="J630" i="15"/>
  <c r="J629" i="15"/>
  <c r="J628" i="15"/>
  <c r="J627" i="15"/>
  <c r="J626" i="15"/>
  <c r="J625" i="15"/>
  <c r="J624" i="15"/>
  <c r="J623" i="15"/>
  <c r="J622" i="15"/>
  <c r="J621" i="15"/>
  <c r="J620" i="15"/>
  <c r="J619" i="15"/>
  <c r="J618" i="15"/>
  <c r="J617" i="15"/>
  <c r="J616" i="15"/>
  <c r="J615" i="15"/>
  <c r="J614" i="15"/>
  <c r="J613" i="15"/>
  <c r="J612" i="15"/>
  <c r="J611" i="15"/>
  <c r="J610" i="15"/>
  <c r="J609" i="15"/>
  <c r="J608" i="15"/>
  <c r="J607" i="15"/>
  <c r="J606" i="15"/>
  <c r="J605" i="15"/>
  <c r="J604" i="15"/>
  <c r="J603" i="15"/>
  <c r="J602" i="15"/>
  <c r="J601" i="15"/>
  <c r="J600" i="15"/>
  <c r="J599" i="15"/>
  <c r="J598" i="15"/>
  <c r="J597" i="15"/>
  <c r="J596" i="15"/>
  <c r="J595" i="15"/>
  <c r="J594" i="15"/>
  <c r="J593" i="15"/>
  <c r="J592" i="15"/>
  <c r="J591" i="15"/>
  <c r="J590" i="15"/>
  <c r="J589" i="15"/>
  <c r="J588" i="15"/>
  <c r="J587" i="15"/>
  <c r="J586" i="15"/>
  <c r="J585" i="15"/>
  <c r="J584" i="15"/>
  <c r="J583" i="15"/>
  <c r="J582" i="15"/>
  <c r="J581" i="15"/>
  <c r="J580" i="15"/>
  <c r="J579" i="15"/>
  <c r="J578" i="15"/>
  <c r="J577" i="15"/>
  <c r="J576" i="15"/>
  <c r="J575" i="15"/>
  <c r="J574" i="15"/>
  <c r="J573" i="15"/>
  <c r="J572" i="15"/>
  <c r="J571" i="15"/>
  <c r="J570" i="15"/>
  <c r="J569" i="15"/>
  <c r="J568" i="15"/>
  <c r="J567" i="15"/>
  <c r="J566" i="15"/>
  <c r="J565" i="15"/>
  <c r="J564" i="15"/>
  <c r="J563" i="15"/>
  <c r="J562" i="15"/>
  <c r="J561" i="15"/>
  <c r="J560" i="15"/>
  <c r="J559" i="15"/>
  <c r="J558" i="15"/>
  <c r="J557" i="15"/>
  <c r="J556" i="15"/>
  <c r="J555" i="15"/>
  <c r="J554" i="15"/>
  <c r="J553" i="15"/>
  <c r="J552" i="15"/>
  <c r="J551" i="15"/>
  <c r="J550" i="15"/>
  <c r="J549" i="15"/>
  <c r="J548" i="15"/>
  <c r="J547" i="15"/>
  <c r="J546" i="15"/>
  <c r="J545" i="15"/>
  <c r="J544" i="15"/>
  <c r="J543" i="15"/>
  <c r="J542" i="15"/>
  <c r="J541" i="15"/>
  <c r="J540" i="15"/>
  <c r="J539" i="15"/>
  <c r="J538" i="15"/>
  <c r="J537" i="15"/>
  <c r="J536" i="15"/>
  <c r="J535" i="15"/>
  <c r="J534" i="15"/>
  <c r="J533" i="15"/>
  <c r="J532" i="15"/>
  <c r="J531" i="15"/>
  <c r="J530" i="15"/>
  <c r="J529" i="15"/>
  <c r="J528" i="15"/>
  <c r="J527" i="15"/>
  <c r="J526" i="15"/>
  <c r="J525" i="15"/>
  <c r="J524" i="15"/>
  <c r="J523" i="15"/>
  <c r="J522" i="15"/>
  <c r="J521" i="15"/>
  <c r="J520" i="15"/>
  <c r="J519" i="15"/>
  <c r="J518" i="15"/>
  <c r="J517" i="15"/>
  <c r="J516" i="15"/>
  <c r="J515" i="15"/>
  <c r="J514" i="15"/>
  <c r="J513" i="15"/>
  <c r="J512" i="15"/>
  <c r="J511" i="15"/>
  <c r="J510" i="15"/>
  <c r="J509" i="15"/>
  <c r="J508" i="15"/>
  <c r="J507" i="15"/>
  <c r="J506" i="15"/>
  <c r="J505" i="15"/>
  <c r="J504" i="15"/>
  <c r="J503" i="15"/>
  <c r="J502" i="15"/>
  <c r="J501" i="15"/>
  <c r="J500" i="15"/>
  <c r="J499" i="15"/>
  <c r="J498" i="15"/>
  <c r="J497" i="15"/>
  <c r="J496" i="15"/>
  <c r="J495" i="15"/>
  <c r="J494" i="15"/>
  <c r="J493" i="15"/>
  <c r="J492" i="15"/>
  <c r="J491" i="15"/>
  <c r="J490" i="15"/>
  <c r="J489" i="15"/>
  <c r="J488" i="15"/>
  <c r="J487" i="15"/>
  <c r="J486" i="15"/>
  <c r="J485" i="15"/>
  <c r="J484" i="15"/>
  <c r="J483" i="15"/>
  <c r="J482" i="15"/>
  <c r="J481" i="15"/>
  <c r="J480" i="15"/>
  <c r="J479" i="15"/>
  <c r="J478" i="15"/>
  <c r="J477" i="15"/>
  <c r="J476" i="15"/>
  <c r="J475" i="15"/>
  <c r="J474" i="15"/>
  <c r="J473" i="15"/>
  <c r="J472" i="15"/>
  <c r="J471" i="15"/>
  <c r="J470" i="15"/>
  <c r="J469" i="15"/>
  <c r="J468" i="15"/>
  <c r="J467" i="15"/>
  <c r="J466" i="15"/>
  <c r="J465" i="15"/>
  <c r="J464" i="15"/>
  <c r="J463" i="15"/>
  <c r="J462" i="15"/>
  <c r="J461" i="15"/>
  <c r="J460" i="15"/>
  <c r="J459" i="15"/>
  <c r="J458" i="15"/>
  <c r="J457" i="15"/>
  <c r="J456" i="15"/>
  <c r="J455" i="15"/>
  <c r="J454" i="15"/>
  <c r="J453" i="15"/>
  <c r="J452" i="15"/>
  <c r="J451" i="15"/>
  <c r="J450" i="15"/>
  <c r="J449" i="15"/>
  <c r="J448" i="15"/>
  <c r="J447" i="15"/>
  <c r="J446" i="15"/>
  <c r="J445" i="15"/>
  <c r="J444" i="15"/>
  <c r="J443" i="15"/>
  <c r="J442" i="15"/>
  <c r="J441" i="15"/>
  <c r="J440" i="15"/>
  <c r="J439" i="15"/>
  <c r="J438" i="15"/>
  <c r="J437" i="15"/>
  <c r="J436" i="15"/>
  <c r="J435" i="15"/>
  <c r="J434" i="15"/>
  <c r="J433" i="15"/>
  <c r="J432" i="15"/>
  <c r="J431" i="15"/>
  <c r="J430" i="15"/>
  <c r="J429" i="15"/>
  <c r="J428" i="15"/>
  <c r="J427" i="15"/>
  <c r="J426" i="15"/>
  <c r="J425" i="15"/>
  <c r="J424" i="15"/>
  <c r="J423" i="15"/>
  <c r="J422" i="15"/>
  <c r="J421" i="15"/>
  <c r="J420" i="15"/>
  <c r="J419" i="15"/>
  <c r="J418" i="15"/>
  <c r="J417" i="15"/>
  <c r="J416" i="15"/>
  <c r="J415" i="15"/>
  <c r="J414" i="15"/>
  <c r="J413" i="15"/>
  <c r="J412" i="15"/>
  <c r="J411" i="15"/>
  <c r="J410" i="15"/>
  <c r="J409" i="15"/>
  <c r="J408" i="15"/>
  <c r="J407" i="15"/>
  <c r="J406" i="15"/>
  <c r="J405" i="15"/>
  <c r="J404" i="15"/>
  <c r="J403" i="15"/>
  <c r="J402" i="15"/>
  <c r="J401" i="15"/>
  <c r="J400" i="15"/>
  <c r="J399" i="15"/>
  <c r="J398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3" i="15"/>
  <c r="J362" i="15"/>
  <c r="J361" i="15"/>
  <c r="J360" i="15"/>
  <c r="J359" i="15"/>
  <c r="J358" i="15"/>
  <c r="J357" i="15"/>
  <c r="J356" i="15"/>
  <c r="J355" i="15"/>
  <c r="J354" i="15"/>
  <c r="J353" i="15"/>
  <c r="J352" i="15"/>
  <c r="J351" i="15"/>
  <c r="J350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J292" i="15"/>
  <c r="J291" i="15"/>
  <c r="J290" i="15"/>
  <c r="J289" i="15"/>
  <c r="J288" i="15"/>
  <c r="J287" i="15"/>
  <c r="J286" i="15"/>
  <c r="J285" i="15"/>
  <c r="J284" i="15"/>
  <c r="J283" i="15"/>
  <c r="J282" i="15"/>
  <c r="J281" i="15"/>
  <c r="J280" i="15"/>
  <c r="J279" i="15"/>
  <c r="J278" i="15"/>
  <c r="J277" i="15"/>
  <c r="J276" i="15"/>
  <c r="J275" i="15"/>
  <c r="J274" i="15"/>
  <c r="J273" i="15"/>
  <c r="J272" i="15"/>
  <c r="J271" i="15"/>
  <c r="J270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7" i="15"/>
  <c r="J216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3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J121" i="15"/>
  <c r="J120" i="15"/>
  <c r="J119" i="15"/>
  <c r="J118" i="15"/>
  <c r="J117" i="15"/>
  <c r="J116" i="15"/>
  <c r="J115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J76" i="15"/>
  <c r="J75" i="15"/>
  <c r="J74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J4" i="15"/>
  <c r="J3" i="15"/>
  <c r="J2" i="15"/>
  <c r="A889" i="15"/>
  <c r="A888" i="15"/>
  <c r="A887" i="15"/>
  <c r="A886" i="15"/>
  <c r="A885" i="15"/>
  <c r="A884" i="15"/>
  <c r="A883" i="15"/>
  <c r="A882" i="15"/>
  <c r="A881" i="15"/>
  <c r="A880" i="15"/>
  <c r="A879" i="15"/>
  <c r="A878" i="15"/>
  <c r="A877" i="15"/>
  <c r="A876" i="15"/>
  <c r="A875" i="15"/>
  <c r="A874" i="15"/>
  <c r="A873" i="15"/>
  <c r="A872" i="15"/>
  <c r="A871" i="15"/>
  <c r="A870" i="15"/>
  <c r="A869" i="15"/>
  <c r="A868" i="15"/>
  <c r="A867" i="15"/>
  <c r="A866" i="15"/>
  <c r="A865" i="15"/>
  <c r="A864" i="15"/>
  <c r="A863" i="15"/>
  <c r="A862" i="15"/>
  <c r="A861" i="15"/>
  <c r="A860" i="15"/>
  <c r="A859" i="15"/>
  <c r="A858" i="15"/>
  <c r="A857" i="15"/>
  <c r="A856" i="15"/>
  <c r="A855" i="15"/>
  <c r="A854" i="15"/>
  <c r="A853" i="15"/>
  <c r="A852" i="15"/>
  <c r="A851" i="15"/>
  <c r="A850" i="15"/>
  <c r="A849" i="15"/>
  <c r="A848" i="15"/>
  <c r="A847" i="15"/>
  <c r="A846" i="15"/>
  <c r="A845" i="15"/>
  <c r="A844" i="15"/>
  <c r="A843" i="15"/>
  <c r="A842" i="15"/>
  <c r="A841" i="15"/>
  <c r="A840" i="15"/>
  <c r="A839" i="15"/>
  <c r="A838" i="15"/>
  <c r="A837" i="15"/>
  <c r="A836" i="15"/>
  <c r="A835" i="15"/>
  <c r="A834" i="15"/>
  <c r="A833" i="15"/>
  <c r="A832" i="15"/>
  <c r="A831" i="15"/>
  <c r="A830" i="15"/>
  <c r="A829" i="15"/>
  <c r="A828" i="15"/>
  <c r="A827" i="15"/>
  <c r="A826" i="15"/>
  <c r="A825" i="15"/>
  <c r="A824" i="15"/>
  <c r="A823" i="15"/>
  <c r="A822" i="15"/>
  <c r="A821" i="15"/>
  <c r="A820" i="15"/>
  <c r="A819" i="15"/>
  <c r="A818" i="15"/>
  <c r="A817" i="15"/>
  <c r="A816" i="15"/>
  <c r="A815" i="15"/>
  <c r="A814" i="15"/>
  <c r="A813" i="15"/>
  <c r="A812" i="15"/>
  <c r="A811" i="15"/>
  <c r="A810" i="15"/>
  <c r="A809" i="15"/>
  <c r="A808" i="15"/>
  <c r="A807" i="15"/>
  <c r="A806" i="15"/>
  <c r="A805" i="15"/>
  <c r="A804" i="15"/>
  <c r="A803" i="15"/>
  <c r="A802" i="15"/>
  <c r="A801" i="15"/>
  <c r="A800" i="15"/>
  <c r="A799" i="15"/>
  <c r="A798" i="15"/>
  <c r="A797" i="15"/>
  <c r="A796" i="15"/>
  <c r="A795" i="15"/>
  <c r="A794" i="15"/>
  <c r="A793" i="15"/>
  <c r="A792" i="15"/>
  <c r="A791" i="15"/>
  <c r="A790" i="15"/>
  <c r="A789" i="15"/>
  <c r="A788" i="15"/>
  <c r="A787" i="15"/>
  <c r="A786" i="15"/>
  <c r="A785" i="15"/>
  <c r="A784" i="15"/>
  <c r="A783" i="15"/>
  <c r="A782" i="15"/>
  <c r="A781" i="15"/>
  <c r="A780" i="15"/>
  <c r="A779" i="15"/>
  <c r="A778" i="15"/>
  <c r="A777" i="15"/>
  <c r="A776" i="15"/>
  <c r="A775" i="15"/>
  <c r="A774" i="15"/>
  <c r="A773" i="15"/>
  <c r="A772" i="15"/>
  <c r="A771" i="15"/>
  <c r="A770" i="15"/>
  <c r="A769" i="15"/>
  <c r="A768" i="15"/>
  <c r="A767" i="15"/>
  <c r="A766" i="15"/>
  <c r="A765" i="15"/>
  <c r="A764" i="15"/>
  <c r="A763" i="15"/>
  <c r="A762" i="15"/>
  <c r="A761" i="15"/>
  <c r="A760" i="15"/>
  <c r="A759" i="15"/>
  <c r="A758" i="15"/>
  <c r="A757" i="15"/>
  <c r="A756" i="15"/>
  <c r="A755" i="15"/>
  <c r="A754" i="15"/>
  <c r="A753" i="15"/>
  <c r="A752" i="15"/>
  <c r="A751" i="15"/>
  <c r="A750" i="15"/>
  <c r="A749" i="15"/>
  <c r="A748" i="15"/>
  <c r="A747" i="15"/>
  <c r="A746" i="15"/>
  <c r="A745" i="15"/>
  <c r="A744" i="15"/>
  <c r="A743" i="15"/>
  <c r="A742" i="15"/>
  <c r="A741" i="15"/>
  <c r="A740" i="15"/>
  <c r="A739" i="15"/>
  <c r="A738" i="15"/>
  <c r="A737" i="15"/>
  <c r="A736" i="15"/>
  <c r="A735" i="15"/>
  <c r="A734" i="15"/>
  <c r="A733" i="15"/>
  <c r="A732" i="15"/>
  <c r="A731" i="15"/>
  <c r="A730" i="15"/>
  <c r="A729" i="15"/>
  <c r="A728" i="15"/>
  <c r="A727" i="15"/>
  <c r="A726" i="15"/>
  <c r="A725" i="15"/>
  <c r="A724" i="15"/>
  <c r="A723" i="15"/>
  <c r="A722" i="15"/>
  <c r="A721" i="15"/>
  <c r="A720" i="15"/>
  <c r="A719" i="15"/>
  <c r="A718" i="15"/>
  <c r="A717" i="15"/>
  <c r="A716" i="15"/>
  <c r="A715" i="15"/>
  <c r="A714" i="15"/>
  <c r="A713" i="15"/>
  <c r="A712" i="15"/>
  <c r="A711" i="15"/>
  <c r="A710" i="15"/>
  <c r="A709" i="15"/>
  <c r="A708" i="15"/>
  <c r="A707" i="15"/>
  <c r="A706" i="15"/>
  <c r="A705" i="15"/>
  <c r="A704" i="15"/>
  <c r="A703" i="15"/>
  <c r="A702" i="15"/>
  <c r="A701" i="15"/>
  <c r="A700" i="15"/>
  <c r="A699" i="15"/>
  <c r="A698" i="15"/>
  <c r="A697" i="15"/>
  <c r="A696" i="15"/>
  <c r="A695" i="15"/>
  <c r="A694" i="15"/>
  <c r="A693" i="15"/>
  <c r="A692" i="15"/>
  <c r="A691" i="15"/>
  <c r="A690" i="15"/>
  <c r="A689" i="15"/>
  <c r="A688" i="15"/>
  <c r="A687" i="15"/>
  <c r="A686" i="15"/>
  <c r="A685" i="15"/>
  <c r="A684" i="15"/>
  <c r="A683" i="15"/>
  <c r="A682" i="15"/>
  <c r="A681" i="15"/>
  <c r="A680" i="15"/>
  <c r="A679" i="15"/>
  <c r="A678" i="15"/>
  <c r="A677" i="15"/>
  <c r="A676" i="15"/>
  <c r="A675" i="15"/>
  <c r="A674" i="15"/>
  <c r="A673" i="15"/>
  <c r="A672" i="15"/>
  <c r="A671" i="15"/>
  <c r="A670" i="15"/>
  <c r="A669" i="15"/>
  <c r="A668" i="15"/>
  <c r="A667" i="15"/>
  <c r="A666" i="15"/>
  <c r="A665" i="15"/>
  <c r="A664" i="15"/>
  <c r="A663" i="15"/>
  <c r="A662" i="15"/>
  <c r="A661" i="15"/>
  <c r="A660" i="15"/>
  <c r="A659" i="15"/>
  <c r="A658" i="15"/>
  <c r="A657" i="15"/>
  <c r="A656" i="15"/>
  <c r="A655" i="15"/>
  <c r="A654" i="15"/>
  <c r="A653" i="15"/>
  <c r="A652" i="15"/>
  <c r="A651" i="15"/>
  <c r="A650" i="15"/>
  <c r="A649" i="15"/>
  <c r="A648" i="15"/>
  <c r="A647" i="15"/>
  <c r="A646" i="15"/>
  <c r="A645" i="15"/>
  <c r="A644" i="15"/>
  <c r="A643" i="15"/>
  <c r="A642" i="15"/>
  <c r="A641" i="15"/>
  <c r="A640" i="15"/>
  <c r="A639" i="15"/>
  <c r="A638" i="15"/>
  <c r="A637" i="15"/>
  <c r="A636" i="15"/>
  <c r="A635" i="15"/>
  <c r="A634" i="15"/>
  <c r="A633" i="15"/>
  <c r="A632" i="15"/>
  <c r="A631" i="15"/>
  <c r="A630" i="15"/>
  <c r="A629" i="15"/>
  <c r="A628" i="15"/>
  <c r="A627" i="15"/>
  <c r="A626" i="15"/>
  <c r="A625" i="15"/>
  <c r="A624" i="15"/>
  <c r="A623" i="15"/>
  <c r="A622" i="15"/>
  <c r="A621" i="15"/>
  <c r="A620" i="15"/>
  <c r="A619" i="15"/>
  <c r="A618" i="15"/>
  <c r="A617" i="15"/>
  <c r="A616" i="15"/>
  <c r="A615" i="15"/>
  <c r="A614" i="15"/>
  <c r="A613" i="15"/>
  <c r="A612" i="15"/>
  <c r="A611" i="15"/>
  <c r="A610" i="15"/>
  <c r="A609" i="15"/>
  <c r="A608" i="15"/>
  <c r="A607" i="15"/>
  <c r="A606" i="15"/>
  <c r="A605" i="15"/>
  <c r="A604" i="15"/>
  <c r="A603" i="15"/>
  <c r="A602" i="15"/>
  <c r="A601" i="15"/>
  <c r="A600" i="15"/>
  <c r="A599" i="15"/>
  <c r="A598" i="15"/>
  <c r="A597" i="15"/>
  <c r="A596" i="15"/>
  <c r="A595" i="15"/>
  <c r="A594" i="15"/>
  <c r="A593" i="15"/>
  <c r="A592" i="15"/>
  <c r="A591" i="15"/>
  <c r="A590" i="15"/>
  <c r="A589" i="15"/>
  <c r="A588" i="15"/>
  <c r="A587" i="15"/>
  <c r="A586" i="15"/>
  <c r="A585" i="15"/>
  <c r="A584" i="15"/>
  <c r="A583" i="15"/>
  <c r="A582" i="15"/>
  <c r="A581" i="15"/>
  <c r="A580" i="15"/>
  <c r="A579" i="15"/>
  <c r="A578" i="15"/>
  <c r="A577" i="15"/>
  <c r="A576" i="15"/>
  <c r="A575" i="15"/>
  <c r="A574" i="15"/>
  <c r="A573" i="15"/>
  <c r="A572" i="15"/>
  <c r="A571" i="15"/>
  <c r="A570" i="15"/>
  <c r="A569" i="15"/>
  <c r="A568" i="15"/>
  <c r="A567" i="15"/>
  <c r="A566" i="15"/>
  <c r="A565" i="15"/>
  <c r="A564" i="15"/>
  <c r="A563" i="15"/>
  <c r="A562" i="15"/>
  <c r="A561" i="15"/>
  <c r="A560" i="15"/>
  <c r="A559" i="15"/>
  <c r="A558" i="15"/>
  <c r="A557" i="15"/>
  <c r="A556" i="15"/>
  <c r="A555" i="15"/>
  <c r="A554" i="15"/>
  <c r="A553" i="15"/>
  <c r="A552" i="15"/>
  <c r="A551" i="15"/>
  <c r="A550" i="15"/>
  <c r="A549" i="15"/>
  <c r="A548" i="15"/>
  <c r="A547" i="15"/>
  <c r="A546" i="15"/>
  <c r="A545" i="15"/>
  <c r="A544" i="15"/>
  <c r="A543" i="15"/>
  <c r="A542" i="15"/>
  <c r="A541" i="15"/>
  <c r="A540" i="15"/>
  <c r="A539" i="15"/>
  <c r="A538" i="15"/>
  <c r="A537" i="15"/>
  <c r="A536" i="15"/>
  <c r="A535" i="15"/>
  <c r="A534" i="15"/>
  <c r="A533" i="15"/>
  <c r="A532" i="15"/>
  <c r="A531" i="15"/>
  <c r="A530" i="15"/>
  <c r="A529" i="15"/>
  <c r="A528" i="15"/>
  <c r="A527" i="15"/>
  <c r="A526" i="15"/>
  <c r="A525" i="15"/>
  <c r="A524" i="15"/>
  <c r="A523" i="15"/>
  <c r="A522" i="15"/>
  <c r="A521" i="15"/>
  <c r="A520" i="15"/>
  <c r="A519" i="15"/>
  <c r="A518" i="15"/>
  <c r="A517" i="15"/>
  <c r="A516" i="15"/>
  <c r="A515" i="15"/>
  <c r="A514" i="15"/>
  <c r="A513" i="15"/>
  <c r="A512" i="15"/>
  <c r="A511" i="15"/>
  <c r="A510" i="15"/>
  <c r="A509" i="15"/>
  <c r="A508" i="15"/>
  <c r="A507" i="15"/>
  <c r="A506" i="15"/>
  <c r="A505" i="15"/>
  <c r="A504" i="15"/>
  <c r="A503" i="15"/>
  <c r="A502" i="15"/>
  <c r="A501" i="15"/>
  <c r="A500" i="15"/>
  <c r="A499" i="15"/>
  <c r="A498" i="15"/>
  <c r="A497" i="15"/>
  <c r="A496" i="15"/>
  <c r="A495" i="15"/>
  <c r="A494" i="15"/>
  <c r="A493" i="15"/>
  <c r="A492" i="15"/>
  <c r="A491" i="15"/>
  <c r="A490" i="15"/>
  <c r="A489" i="15"/>
  <c r="A488" i="15"/>
  <c r="A487" i="15"/>
  <c r="A486" i="15"/>
  <c r="A485" i="15"/>
  <c r="A484" i="15"/>
  <c r="A483" i="15"/>
  <c r="A482" i="15"/>
  <c r="A481" i="15"/>
  <c r="A480" i="15"/>
  <c r="A479" i="15"/>
  <c r="A478" i="15"/>
  <c r="A477" i="15"/>
  <c r="A476" i="15"/>
  <c r="A475" i="15"/>
  <c r="A474" i="15"/>
  <c r="A473" i="15"/>
  <c r="A472" i="15"/>
  <c r="A471" i="15"/>
  <c r="A470" i="15"/>
  <c r="A469" i="15"/>
  <c r="A468" i="15"/>
  <c r="A467" i="15"/>
  <c r="A466" i="15"/>
  <c r="A465" i="15"/>
  <c r="A464" i="15"/>
  <c r="A463" i="15"/>
  <c r="A462" i="15"/>
  <c r="A461" i="15"/>
  <c r="A460" i="15"/>
  <c r="A459" i="15"/>
  <c r="A458" i="15"/>
  <c r="A457" i="15"/>
  <c r="A456" i="15"/>
  <c r="A455" i="15"/>
  <c r="A454" i="15"/>
  <c r="A453" i="15"/>
  <c r="A452" i="15"/>
  <c r="A451" i="15"/>
  <c r="A450" i="15"/>
  <c r="A449" i="15"/>
  <c r="A448" i="15"/>
  <c r="A447" i="15"/>
  <c r="A446" i="15"/>
  <c r="A445" i="15"/>
  <c r="A444" i="15"/>
  <c r="A443" i="15"/>
  <c r="A442" i="15"/>
  <c r="A441" i="15"/>
  <c r="A440" i="15"/>
  <c r="A439" i="15"/>
  <c r="A438" i="15"/>
  <c r="A437" i="15"/>
  <c r="A436" i="15"/>
  <c r="A435" i="15"/>
  <c r="A434" i="15"/>
  <c r="A433" i="15"/>
  <c r="A432" i="15"/>
  <c r="A431" i="15"/>
  <c r="A430" i="15"/>
  <c r="A429" i="15"/>
  <c r="A428" i="15"/>
  <c r="A427" i="15"/>
  <c r="A426" i="15"/>
  <c r="A425" i="15"/>
  <c r="A424" i="15"/>
  <c r="A423" i="15"/>
  <c r="A422" i="15"/>
  <c r="A421" i="15"/>
  <c r="A420" i="15"/>
  <c r="A419" i="15"/>
  <c r="A418" i="15"/>
  <c r="A417" i="15"/>
  <c r="A416" i="15"/>
  <c r="A415" i="15"/>
  <c r="A414" i="15"/>
  <c r="A413" i="15"/>
  <c r="A412" i="15"/>
  <c r="A411" i="15"/>
  <c r="A410" i="15"/>
  <c r="A409" i="15"/>
  <c r="A408" i="15"/>
  <c r="A407" i="15"/>
  <c r="A406" i="15"/>
  <c r="A405" i="15"/>
  <c r="A404" i="15"/>
  <c r="A403" i="15"/>
  <c r="A402" i="15"/>
  <c r="A401" i="15"/>
  <c r="A400" i="15"/>
  <c r="A399" i="15"/>
  <c r="A398" i="15"/>
  <c r="A397" i="15"/>
  <c r="A396" i="15"/>
  <c r="A395" i="15"/>
  <c r="A394" i="15"/>
  <c r="A393" i="15"/>
  <c r="A392" i="15"/>
  <c r="A391" i="15"/>
  <c r="A390" i="15"/>
  <c r="A389" i="15"/>
  <c r="A388" i="15"/>
  <c r="A387" i="15"/>
  <c r="A386" i="15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217" i="15"/>
  <c r="A216" i="15"/>
  <c r="A215" i="15"/>
  <c r="A214" i="15"/>
  <c r="A213" i="15"/>
  <c r="A212" i="15"/>
  <c r="A211" i="15"/>
  <c r="A210" i="15"/>
  <c r="A209" i="15"/>
  <c r="A208" i="15"/>
  <c r="A207" i="15"/>
  <c r="A206" i="15"/>
  <c r="A205" i="15"/>
  <c r="A204" i="15"/>
  <c r="A203" i="15"/>
  <c r="A202" i="15"/>
  <c r="A201" i="15"/>
  <c r="A200" i="15"/>
  <c r="A199" i="15"/>
  <c r="A198" i="15"/>
  <c r="A197" i="15"/>
  <c r="A196" i="15"/>
  <c r="A195" i="15"/>
  <c r="A194" i="15"/>
  <c r="A193" i="15"/>
  <c r="A192" i="15"/>
  <c r="A191" i="15"/>
  <c r="A190" i="15"/>
  <c r="A189" i="15"/>
  <c r="A188" i="15"/>
  <c r="A187" i="15"/>
  <c r="A186" i="15"/>
  <c r="A185" i="15"/>
  <c r="A184" i="15"/>
  <c r="A183" i="15"/>
  <c r="A182" i="15"/>
  <c r="A181" i="15"/>
  <c r="A180" i="15"/>
  <c r="A179" i="15"/>
  <c r="A178" i="15"/>
  <c r="A177" i="15"/>
  <c r="A176" i="15"/>
  <c r="A175" i="15"/>
  <c r="A174" i="15"/>
  <c r="A173" i="15"/>
  <c r="A172" i="15"/>
  <c r="A171" i="15"/>
  <c r="A170" i="15"/>
  <c r="A169" i="15"/>
  <c r="A168" i="15"/>
  <c r="A167" i="15"/>
  <c r="A166" i="15"/>
  <c r="A165" i="15"/>
  <c r="A164" i="15"/>
  <c r="A163" i="15"/>
  <c r="A162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J5" i="1"/>
  <c r="J4" i="1"/>
  <c r="J3" i="1"/>
  <c r="J2" i="1"/>
  <c r="I2" i="1"/>
  <c r="H2" i="1"/>
  <c r="G2" i="1"/>
  <c r="F2" i="1"/>
  <c r="I4" i="1"/>
  <c r="H4" i="1"/>
  <c r="G4" i="1"/>
  <c r="F4" i="1"/>
  <c r="B7" i="1"/>
  <c r="B3" i="1"/>
  <c r="B5" i="1"/>
  <c r="B2" i="17" l="1"/>
  <c r="M9" i="25"/>
  <c r="I9" i="25"/>
  <c r="E9" i="25"/>
  <c r="N8" i="25"/>
  <c r="J8" i="25"/>
  <c r="F8" i="25"/>
  <c r="B8" i="25"/>
  <c r="K7" i="25"/>
  <c r="G7" i="25"/>
  <c r="C7" i="25"/>
  <c r="L6" i="25"/>
  <c r="H6" i="25"/>
  <c r="D6" i="25"/>
  <c r="M5" i="25"/>
  <c r="I5" i="25"/>
  <c r="E5" i="25"/>
  <c r="N4" i="25"/>
  <c r="J4" i="25"/>
  <c r="F4" i="25"/>
  <c r="B4" i="25"/>
  <c r="K3" i="25"/>
  <c r="G3" i="25"/>
  <c r="C3" i="25"/>
  <c r="L2" i="25"/>
  <c r="H2" i="25"/>
  <c r="D2" i="25"/>
  <c r="M9" i="24"/>
  <c r="I9" i="24"/>
  <c r="E9" i="24"/>
  <c r="N8" i="24"/>
  <c r="J8" i="24"/>
  <c r="F8" i="24"/>
  <c r="B8" i="24"/>
  <c r="K7" i="24"/>
  <c r="G7" i="24"/>
  <c r="C7" i="24"/>
  <c r="L6" i="24"/>
  <c r="H6" i="24"/>
  <c r="D6" i="24"/>
  <c r="M5" i="24"/>
  <c r="I5" i="24"/>
  <c r="E5" i="24"/>
  <c r="N4" i="24"/>
  <c r="J4" i="24"/>
  <c r="F4" i="24"/>
  <c r="B4" i="24"/>
  <c r="K3" i="24"/>
  <c r="G3" i="24"/>
  <c r="C3" i="24"/>
  <c r="L2" i="24"/>
  <c r="L9" i="25"/>
  <c r="H9" i="25"/>
  <c r="D9" i="25"/>
  <c r="M8" i="25"/>
  <c r="I8" i="25"/>
  <c r="E8" i="25"/>
  <c r="N7" i="25"/>
  <c r="J7" i="25"/>
  <c r="F7" i="25"/>
  <c r="B7" i="25"/>
  <c r="K6" i="25"/>
  <c r="G6" i="25"/>
  <c r="C6" i="25"/>
  <c r="L5" i="25"/>
  <c r="H5" i="25"/>
  <c r="D5" i="25"/>
  <c r="M4" i="25"/>
  <c r="I4" i="25"/>
  <c r="E4" i="25"/>
  <c r="N3" i="25"/>
  <c r="J3" i="25"/>
  <c r="F3" i="25"/>
  <c r="B3" i="25"/>
  <c r="K2" i="25"/>
  <c r="G2" i="25"/>
  <c r="C2" i="25"/>
  <c r="L9" i="24"/>
  <c r="H9" i="24"/>
  <c r="D9" i="24"/>
  <c r="M8" i="24"/>
  <c r="I8" i="24"/>
  <c r="E8" i="24"/>
  <c r="N7" i="24"/>
  <c r="J7" i="24"/>
  <c r="F7" i="24"/>
  <c r="B7" i="24"/>
  <c r="K6" i="24"/>
  <c r="G6" i="24"/>
  <c r="C6" i="24"/>
  <c r="L5" i="24"/>
  <c r="H5" i="24"/>
  <c r="D5" i="24"/>
  <c r="M4" i="24"/>
  <c r="I4" i="24"/>
  <c r="E4" i="24"/>
  <c r="N3" i="24"/>
  <c r="J3" i="24"/>
  <c r="F3" i="24"/>
  <c r="B3" i="24"/>
  <c r="K2" i="24"/>
  <c r="G2" i="24"/>
  <c r="C2" i="24"/>
  <c r="K9" i="23"/>
  <c r="G9" i="23"/>
  <c r="C9" i="23"/>
  <c r="L8" i="23"/>
  <c r="H8" i="23"/>
  <c r="D8" i="23"/>
  <c r="M7" i="23"/>
  <c r="I7" i="23"/>
  <c r="E7" i="23"/>
  <c r="N6" i="23"/>
  <c r="J6" i="23"/>
  <c r="F6" i="23"/>
  <c r="B6" i="23"/>
  <c r="K5" i="23"/>
  <c r="G5" i="23"/>
  <c r="C5" i="23"/>
  <c r="L4" i="23"/>
  <c r="H4" i="23"/>
  <c r="D4" i="23"/>
  <c r="M3" i="23"/>
  <c r="I3" i="23"/>
  <c r="B2" i="18"/>
  <c r="K9" i="25"/>
  <c r="G9" i="25"/>
  <c r="C9" i="25"/>
  <c r="L8" i="25"/>
  <c r="H8" i="25"/>
  <c r="D8" i="25"/>
  <c r="M7" i="25"/>
  <c r="I7" i="25"/>
  <c r="E7" i="25"/>
  <c r="N6" i="25"/>
  <c r="J6" i="25"/>
  <c r="F6" i="25"/>
  <c r="B6" i="25"/>
  <c r="K5" i="25"/>
  <c r="G5" i="25"/>
  <c r="C5" i="25"/>
  <c r="L4" i="25"/>
  <c r="H4" i="25"/>
  <c r="D4" i="25"/>
  <c r="M3" i="25"/>
  <c r="I3" i="25"/>
  <c r="E3" i="25"/>
  <c r="N2" i="25"/>
  <c r="J2" i="25"/>
  <c r="F2" i="25"/>
  <c r="B2" i="25"/>
  <c r="K9" i="24"/>
  <c r="G9" i="24"/>
  <c r="C9" i="24"/>
  <c r="L8" i="24"/>
  <c r="H8" i="24"/>
  <c r="D8" i="24"/>
  <c r="M7" i="24"/>
  <c r="I7" i="24"/>
  <c r="E7" i="24"/>
  <c r="N6" i="24"/>
  <c r="J6" i="24"/>
  <c r="F6" i="24"/>
  <c r="B6" i="24"/>
  <c r="K5" i="24"/>
  <c r="G5" i="24"/>
  <c r="C5" i="24"/>
  <c r="L4" i="24"/>
  <c r="H4" i="24"/>
  <c r="D4" i="24"/>
  <c r="M3" i="24"/>
  <c r="I3" i="24"/>
  <c r="E3" i="24"/>
  <c r="N2" i="24"/>
  <c r="J2" i="24"/>
  <c r="F2" i="24"/>
  <c r="B2" i="24"/>
  <c r="N9" i="23"/>
  <c r="J9" i="23"/>
  <c r="F9" i="23"/>
  <c r="B9" i="23"/>
  <c r="K8" i="23"/>
  <c r="G8" i="23"/>
  <c r="C8" i="23"/>
  <c r="L7" i="23"/>
  <c r="H7" i="23"/>
  <c r="D7" i="23"/>
  <c r="M6" i="23"/>
  <c r="I6" i="23"/>
  <c r="E6" i="23"/>
  <c r="N5" i="23"/>
  <c r="J5" i="23"/>
  <c r="F5" i="23"/>
  <c r="B5" i="23"/>
  <c r="K4" i="23"/>
  <c r="J9" i="25"/>
  <c r="G8" i="25"/>
  <c r="D7" i="25"/>
  <c r="N5" i="25"/>
  <c r="K4" i="25"/>
  <c r="H3" i="25"/>
  <c r="E2" i="25"/>
  <c r="F9" i="24"/>
  <c r="C8" i="24"/>
  <c r="M6" i="24"/>
  <c r="J5" i="24"/>
  <c r="G4" i="24"/>
  <c r="D3" i="24"/>
  <c r="E2" i="24"/>
  <c r="I9" i="23"/>
  <c r="N8" i="23"/>
  <c r="F8" i="23"/>
  <c r="K7" i="23"/>
  <c r="C7" i="23"/>
  <c r="H6" i="23"/>
  <c r="M5" i="23"/>
  <c r="E5" i="23"/>
  <c r="J4" i="23"/>
  <c r="E4" i="23"/>
  <c r="L3" i="23"/>
  <c r="G3" i="23"/>
  <c r="C3" i="23"/>
  <c r="L2" i="23"/>
  <c r="H2" i="23"/>
  <c r="D2" i="23"/>
  <c r="N9" i="22"/>
  <c r="J9" i="22"/>
  <c r="F9" i="22"/>
  <c r="B9" i="22"/>
  <c r="K8" i="22"/>
  <c r="G8" i="22"/>
  <c r="C8" i="22"/>
  <c r="L7" i="22"/>
  <c r="H7" i="22"/>
  <c r="D7" i="22"/>
  <c r="M6" i="22"/>
  <c r="I6" i="22"/>
  <c r="E6" i="22"/>
  <c r="N5" i="22"/>
  <c r="J5" i="22"/>
  <c r="F5" i="22"/>
  <c r="B5" i="22"/>
  <c r="K4" i="22"/>
  <c r="G4" i="22"/>
  <c r="C4" i="22"/>
  <c r="L3" i="22"/>
  <c r="H3" i="22"/>
  <c r="D3" i="22"/>
  <c r="M2" i="22"/>
  <c r="I2" i="22"/>
  <c r="E2" i="22"/>
  <c r="N9" i="21"/>
  <c r="J9" i="21"/>
  <c r="F9" i="21"/>
  <c r="B9" i="21"/>
  <c r="K8" i="21"/>
  <c r="G8" i="21"/>
  <c r="C8" i="21"/>
  <c r="L7" i="21"/>
  <c r="H7" i="21"/>
  <c r="D7" i="21"/>
  <c r="M6" i="21"/>
  <c r="I6" i="21"/>
  <c r="E6" i="21"/>
  <c r="N5" i="21"/>
  <c r="J5" i="21"/>
  <c r="F5" i="21"/>
  <c r="B5" i="21"/>
  <c r="K4" i="21"/>
  <c r="G4" i="21"/>
  <c r="C4" i="21"/>
  <c r="L3" i="21"/>
  <c r="H3" i="21"/>
  <c r="F9" i="25"/>
  <c r="C8" i="25"/>
  <c r="M6" i="25"/>
  <c r="J5" i="25"/>
  <c r="G4" i="25"/>
  <c r="D3" i="25"/>
  <c r="B9" i="24"/>
  <c r="L7" i="24"/>
  <c r="I6" i="24"/>
  <c r="F5" i="24"/>
  <c r="C4" i="24"/>
  <c r="M2" i="24"/>
  <c r="M11" i="24" s="1"/>
  <c r="D2" i="24"/>
  <c r="H9" i="23"/>
  <c r="M8" i="23"/>
  <c r="E8" i="23"/>
  <c r="J7" i="23"/>
  <c r="B7" i="23"/>
  <c r="G6" i="23"/>
  <c r="L5" i="23"/>
  <c r="D5" i="23"/>
  <c r="I4" i="23"/>
  <c r="C4" i="23"/>
  <c r="K3" i="23"/>
  <c r="F3" i="23"/>
  <c r="B3" i="23"/>
  <c r="K2" i="23"/>
  <c r="G2" i="23"/>
  <c r="C2" i="23"/>
  <c r="M9" i="22"/>
  <c r="I9" i="22"/>
  <c r="E9" i="22"/>
  <c r="N8" i="22"/>
  <c r="J8" i="22"/>
  <c r="F8" i="22"/>
  <c r="B8" i="22"/>
  <c r="K7" i="22"/>
  <c r="G7" i="22"/>
  <c r="C7" i="22"/>
  <c r="L6" i="22"/>
  <c r="H6" i="22"/>
  <c r="D6" i="22"/>
  <c r="M5" i="22"/>
  <c r="I5" i="22"/>
  <c r="E5" i="22"/>
  <c r="N4" i="22"/>
  <c r="B9" i="25"/>
  <c r="L7" i="25"/>
  <c r="I6" i="25"/>
  <c r="F5" i="25"/>
  <c r="C4" i="25"/>
  <c r="M2" i="25"/>
  <c r="N9" i="24"/>
  <c r="K8" i="24"/>
  <c r="H7" i="24"/>
  <c r="E6" i="24"/>
  <c r="B5" i="24"/>
  <c r="L3" i="24"/>
  <c r="I2" i="24"/>
  <c r="I11" i="24" s="1"/>
  <c r="M9" i="23"/>
  <c r="E9" i="23"/>
  <c r="J8" i="23"/>
  <c r="B8" i="23"/>
  <c r="G7" i="23"/>
  <c r="L6" i="23"/>
  <c r="D6" i="23"/>
  <c r="I5" i="23"/>
  <c r="N4" i="23"/>
  <c r="G4" i="23"/>
  <c r="B4" i="23"/>
  <c r="J3" i="23"/>
  <c r="E3" i="23"/>
  <c r="N2" i="23"/>
  <c r="J2" i="23"/>
  <c r="F2" i="23"/>
  <c r="B2" i="23"/>
  <c r="K8" i="25"/>
  <c r="L3" i="25"/>
  <c r="G8" i="24"/>
  <c r="H3" i="24"/>
  <c r="D9" i="23"/>
  <c r="K6" i="23"/>
  <c r="F4" i="23"/>
  <c r="M2" i="23"/>
  <c r="H9" i="22"/>
  <c r="M8" i="22"/>
  <c r="E8" i="22"/>
  <c r="J7" i="22"/>
  <c r="B7" i="22"/>
  <c r="G6" i="22"/>
  <c r="L5" i="22"/>
  <c r="D5" i="22"/>
  <c r="J4" i="22"/>
  <c r="E4" i="22"/>
  <c r="M3" i="22"/>
  <c r="G3" i="22"/>
  <c r="B3" i="22"/>
  <c r="J2" i="22"/>
  <c r="D2" i="22"/>
  <c r="I9" i="21"/>
  <c r="D9" i="21"/>
  <c r="L8" i="21"/>
  <c r="F8" i="21"/>
  <c r="N7" i="21"/>
  <c r="I7" i="21"/>
  <c r="C7" i="21"/>
  <c r="K6" i="21"/>
  <c r="F6" i="21"/>
  <c r="M5" i="21"/>
  <c r="H5" i="21"/>
  <c r="C5" i="21"/>
  <c r="J4" i="21"/>
  <c r="E4" i="21"/>
  <c r="M3" i="21"/>
  <c r="G3" i="21"/>
  <c r="C3" i="21"/>
  <c r="L2" i="21"/>
  <c r="H2" i="21"/>
  <c r="D2" i="21"/>
  <c r="L9" i="20"/>
  <c r="H9" i="20"/>
  <c r="D9" i="20"/>
  <c r="M8" i="20"/>
  <c r="I8" i="20"/>
  <c r="E8" i="20"/>
  <c r="N7" i="20"/>
  <c r="J7" i="20"/>
  <c r="F7" i="20"/>
  <c r="B7" i="20"/>
  <c r="K6" i="20"/>
  <c r="G6" i="20"/>
  <c r="C6" i="20"/>
  <c r="L5" i="20"/>
  <c r="H5" i="20"/>
  <c r="D5" i="20"/>
  <c r="M4" i="20"/>
  <c r="I4" i="20"/>
  <c r="E4" i="20"/>
  <c r="N3" i="20"/>
  <c r="J3" i="20"/>
  <c r="F3" i="20"/>
  <c r="B3" i="20"/>
  <c r="K2" i="20"/>
  <c r="G2" i="20"/>
  <c r="C2" i="20"/>
  <c r="M9" i="19"/>
  <c r="I9" i="19"/>
  <c r="E9" i="19"/>
  <c r="N8" i="19"/>
  <c r="J8" i="19"/>
  <c r="F8" i="19"/>
  <c r="B8" i="19"/>
  <c r="K7" i="19"/>
  <c r="G7" i="19"/>
  <c r="C7" i="19"/>
  <c r="L6" i="19"/>
  <c r="H6" i="19"/>
  <c r="D6" i="19"/>
  <c r="M5" i="19"/>
  <c r="I5" i="19"/>
  <c r="E5" i="19"/>
  <c r="N4" i="19"/>
  <c r="J4" i="19"/>
  <c r="F4" i="19"/>
  <c r="B4" i="19"/>
  <c r="K3" i="19"/>
  <c r="G3" i="19"/>
  <c r="C3" i="19"/>
  <c r="K2" i="19"/>
  <c r="G2" i="19"/>
  <c r="C2" i="19"/>
  <c r="K8" i="18"/>
  <c r="K3" i="18"/>
  <c r="H7" i="25"/>
  <c r="I2" i="25"/>
  <c r="I11" i="25" s="1"/>
  <c r="D7" i="24"/>
  <c r="H2" i="24"/>
  <c r="I8" i="23"/>
  <c r="C6" i="23"/>
  <c r="N3" i="23"/>
  <c r="I2" i="23"/>
  <c r="G9" i="22"/>
  <c r="L8" i="22"/>
  <c r="D8" i="22"/>
  <c r="I7" i="22"/>
  <c r="N6" i="22"/>
  <c r="F6" i="22"/>
  <c r="K5" i="22"/>
  <c r="C5" i="22"/>
  <c r="I4" i="22"/>
  <c r="D4" i="22"/>
  <c r="K3" i="22"/>
  <c r="F3" i="22"/>
  <c r="N2" i="22"/>
  <c r="H2" i="22"/>
  <c r="C2" i="22"/>
  <c r="M9" i="21"/>
  <c r="H9" i="21"/>
  <c r="C9" i="21"/>
  <c r="J8" i="21"/>
  <c r="E8" i="21"/>
  <c r="M7" i="21"/>
  <c r="G7" i="21"/>
  <c r="B7" i="21"/>
  <c r="J6" i="21"/>
  <c r="D6" i="21"/>
  <c r="L5" i="21"/>
  <c r="G5" i="21"/>
  <c r="N4" i="21"/>
  <c r="I4" i="21"/>
  <c r="D4" i="21"/>
  <c r="K3" i="21"/>
  <c r="F3" i="21"/>
  <c r="B3" i="21"/>
  <c r="K2" i="21"/>
  <c r="G2" i="21"/>
  <c r="C2" i="21"/>
  <c r="K9" i="20"/>
  <c r="G9" i="20"/>
  <c r="C9" i="20"/>
  <c r="L8" i="20"/>
  <c r="H8" i="20"/>
  <c r="D8" i="20"/>
  <c r="M7" i="20"/>
  <c r="I7" i="20"/>
  <c r="E7" i="20"/>
  <c r="N6" i="20"/>
  <c r="J6" i="20"/>
  <c r="F6" i="20"/>
  <c r="B6" i="20"/>
  <c r="K5" i="20"/>
  <c r="G5" i="20"/>
  <c r="C5" i="20"/>
  <c r="L4" i="20"/>
  <c r="H4" i="20"/>
  <c r="D4" i="20"/>
  <c r="M3" i="20"/>
  <c r="I3" i="20"/>
  <c r="E3" i="20"/>
  <c r="N2" i="20"/>
  <c r="J2" i="20"/>
  <c r="F2" i="20"/>
  <c r="B2" i="20"/>
  <c r="L9" i="19"/>
  <c r="H9" i="19"/>
  <c r="D9" i="19"/>
  <c r="M8" i="19"/>
  <c r="I8" i="19"/>
  <c r="E8" i="19"/>
  <c r="N7" i="19"/>
  <c r="J7" i="19"/>
  <c r="F7" i="19"/>
  <c r="B7" i="19"/>
  <c r="K6" i="19"/>
  <c r="G6" i="19"/>
  <c r="C6" i="19"/>
  <c r="L5" i="19"/>
  <c r="H5" i="19"/>
  <c r="D5" i="19"/>
  <c r="M4" i="19"/>
  <c r="I4" i="19"/>
  <c r="E4" i="19"/>
  <c r="N3" i="19"/>
  <c r="J3" i="19"/>
  <c r="F3" i="19"/>
  <c r="N2" i="19"/>
  <c r="J2" i="19"/>
  <c r="F2" i="19"/>
  <c r="B3" i="19"/>
  <c r="K6" i="18"/>
  <c r="K2" i="18"/>
  <c r="E6" i="25"/>
  <c r="N5" i="24"/>
  <c r="N7" i="23"/>
  <c r="H5" i="23"/>
  <c r="H3" i="23"/>
  <c r="E2" i="23"/>
  <c r="L9" i="22"/>
  <c r="D9" i="22"/>
  <c r="I8" i="22"/>
  <c r="N7" i="22"/>
  <c r="F7" i="22"/>
  <c r="K6" i="22"/>
  <c r="C6" i="22"/>
  <c r="H5" i="22"/>
  <c r="M4" i="22"/>
  <c r="H4" i="22"/>
  <c r="B4" i="22"/>
  <c r="J3" i="22"/>
  <c r="E3" i="22"/>
  <c r="L2" i="22"/>
  <c r="G2" i="22"/>
  <c r="B2" i="22"/>
  <c r="L9" i="21"/>
  <c r="G9" i="21"/>
  <c r="N8" i="21"/>
  <c r="I8" i="21"/>
  <c r="D8" i="21"/>
  <c r="K7" i="21"/>
  <c r="F7" i="21"/>
  <c r="N6" i="21"/>
  <c r="H6" i="21"/>
  <c r="C6" i="21"/>
  <c r="K5" i="21"/>
  <c r="E5" i="21"/>
  <c r="M4" i="21"/>
  <c r="H4" i="21"/>
  <c r="B4" i="21"/>
  <c r="J3" i="21"/>
  <c r="E3" i="21"/>
  <c r="N2" i="21"/>
  <c r="J2" i="21"/>
  <c r="F2" i="21"/>
  <c r="B2" i="21"/>
  <c r="N9" i="20"/>
  <c r="J9" i="20"/>
  <c r="F9" i="20"/>
  <c r="B9" i="20"/>
  <c r="K8" i="20"/>
  <c r="G8" i="20"/>
  <c r="C8" i="20"/>
  <c r="L7" i="20"/>
  <c r="H7" i="20"/>
  <c r="D7" i="20"/>
  <c r="M6" i="20"/>
  <c r="I6" i="20"/>
  <c r="E6" i="20"/>
  <c r="N5" i="20"/>
  <c r="J5" i="20"/>
  <c r="F5" i="20"/>
  <c r="B5" i="20"/>
  <c r="K4" i="20"/>
  <c r="G4" i="20"/>
  <c r="C4" i="20"/>
  <c r="L3" i="20"/>
  <c r="H3" i="20"/>
  <c r="D3" i="20"/>
  <c r="M2" i="20"/>
  <c r="I2" i="20"/>
  <c r="E2" i="20"/>
  <c r="K9" i="19"/>
  <c r="G9" i="19"/>
  <c r="N9" i="25"/>
  <c r="B5" i="25"/>
  <c r="J9" i="24"/>
  <c r="K4" i="24"/>
  <c r="L9" i="23"/>
  <c r="F7" i="23"/>
  <c r="M4" i="23"/>
  <c r="D3" i="23"/>
  <c r="K9" i="22"/>
  <c r="C9" i="22"/>
  <c r="H8" i="22"/>
  <c r="M7" i="22"/>
  <c r="E7" i="22"/>
  <c r="J6" i="22"/>
  <c r="B6" i="22"/>
  <c r="G5" i="22"/>
  <c r="L4" i="22"/>
  <c r="F4" i="22"/>
  <c r="N3" i="22"/>
  <c r="I3" i="22"/>
  <c r="C3" i="22"/>
  <c r="K2" i="22"/>
  <c r="F2" i="22"/>
  <c r="K9" i="21"/>
  <c r="E9" i="21"/>
  <c r="M8" i="21"/>
  <c r="H8" i="21"/>
  <c r="B8" i="21"/>
  <c r="J7" i="21"/>
  <c r="E7" i="21"/>
  <c r="L6" i="21"/>
  <c r="G6" i="21"/>
  <c r="B6" i="21"/>
  <c r="I5" i="21"/>
  <c r="D5" i="21"/>
  <c r="L4" i="21"/>
  <c r="F4" i="21"/>
  <c r="N3" i="21"/>
  <c r="I3" i="21"/>
  <c r="D3" i="21"/>
  <c r="M2" i="21"/>
  <c r="I2" i="21"/>
  <c r="E2" i="21"/>
  <c r="D12" i="17"/>
  <c r="M9" i="20"/>
  <c r="I9" i="20"/>
  <c r="E9" i="20"/>
  <c r="N8" i="20"/>
  <c r="J8" i="20"/>
  <c r="K7" i="20"/>
  <c r="H6" i="20"/>
  <c r="E5" i="20"/>
  <c r="B4" i="20"/>
  <c r="L2" i="20"/>
  <c r="N9" i="19"/>
  <c r="B9" i="19"/>
  <c r="G8" i="19"/>
  <c r="L7" i="19"/>
  <c r="D7" i="19"/>
  <c r="I6" i="19"/>
  <c r="N5" i="19"/>
  <c r="F5" i="19"/>
  <c r="K4" i="19"/>
  <c r="C4" i="19"/>
  <c r="H3" i="19"/>
  <c r="L2" i="19"/>
  <c r="D2" i="19"/>
  <c r="K9" i="18"/>
  <c r="G7" i="20"/>
  <c r="D6" i="20"/>
  <c r="N4" i="20"/>
  <c r="K3" i="20"/>
  <c r="H2" i="20"/>
  <c r="J9" i="19"/>
  <c r="L8" i="19"/>
  <c r="D8" i="19"/>
  <c r="I7" i="19"/>
  <c r="N6" i="19"/>
  <c r="F6" i="19"/>
  <c r="K5" i="19"/>
  <c r="C5" i="19"/>
  <c r="H4" i="19"/>
  <c r="M3" i="19"/>
  <c r="E3" i="19"/>
  <c r="I2" i="19"/>
  <c r="B2" i="19"/>
  <c r="K5" i="18"/>
  <c r="F8" i="20"/>
  <c r="C7" i="20"/>
  <c r="M5" i="20"/>
  <c r="J4" i="20"/>
  <c r="G3" i="20"/>
  <c r="D2" i="20"/>
  <c r="F9" i="19"/>
  <c r="K8" i="19"/>
  <c r="C8" i="19"/>
  <c r="H7" i="19"/>
  <c r="M6" i="19"/>
  <c r="E6" i="19"/>
  <c r="J5" i="19"/>
  <c r="B5" i="19"/>
  <c r="G4" i="19"/>
  <c r="L3" i="19"/>
  <c r="D3" i="19"/>
  <c r="H2" i="19"/>
  <c r="K4" i="18"/>
  <c r="B8" i="20"/>
  <c r="L6" i="20"/>
  <c r="I5" i="20"/>
  <c r="F4" i="20"/>
  <c r="C3" i="20"/>
  <c r="C9" i="19"/>
  <c r="H8" i="19"/>
  <c r="M7" i="19"/>
  <c r="E7" i="19"/>
  <c r="J6" i="19"/>
  <c r="B6" i="19"/>
  <c r="G5" i="19"/>
  <c r="L4" i="19"/>
  <c r="D4" i="19"/>
  <c r="I3" i="19"/>
  <c r="M2" i="19"/>
  <c r="E2" i="19"/>
  <c r="K7" i="18"/>
  <c r="B17" i="26"/>
  <c r="B30" i="17" s="1"/>
  <c r="B13" i="26"/>
  <c r="B26" i="17" s="1"/>
  <c r="B8" i="26"/>
  <c r="B4" i="26"/>
  <c r="B16" i="26"/>
  <c r="B29" i="17" s="1"/>
  <c r="B12" i="26"/>
  <c r="B25" i="17" s="1"/>
  <c r="B7" i="26"/>
  <c r="B3" i="26"/>
  <c r="B2" i="26"/>
  <c r="B15" i="26"/>
  <c r="B28" i="17" s="1"/>
  <c r="B10" i="26"/>
  <c r="B6" i="26"/>
  <c r="B9" i="26"/>
  <c r="B5" i="26"/>
  <c r="B18" i="26"/>
  <c r="B31" i="17" s="1"/>
  <c r="B14" i="26"/>
  <c r="B27" i="17" s="1"/>
  <c r="C9" i="18"/>
  <c r="C5" i="18"/>
  <c r="C6" i="18"/>
  <c r="C8" i="18"/>
  <c r="C4" i="18"/>
  <c r="C7" i="18"/>
  <c r="C3" i="18"/>
  <c r="C2" i="18"/>
  <c r="N9" i="18"/>
  <c r="N8" i="18"/>
  <c r="N4" i="18"/>
  <c r="M8" i="18"/>
  <c r="M4" i="18"/>
  <c r="L8" i="18"/>
  <c r="L4" i="18"/>
  <c r="J8" i="18"/>
  <c r="J4" i="18"/>
  <c r="I8" i="18"/>
  <c r="I4" i="18"/>
  <c r="H9" i="18"/>
  <c r="H5" i="18"/>
  <c r="G9" i="18"/>
  <c r="G5" i="18"/>
  <c r="F9" i="18"/>
  <c r="F5" i="18"/>
  <c r="E9" i="18"/>
  <c r="E5" i="18"/>
  <c r="D9" i="18"/>
  <c r="D5" i="18"/>
  <c r="B6" i="18"/>
  <c r="M9" i="18"/>
  <c r="L5" i="18"/>
  <c r="J9" i="18"/>
  <c r="I5" i="18"/>
  <c r="H2" i="18"/>
  <c r="F6" i="18"/>
  <c r="E6" i="18"/>
  <c r="D2" i="18"/>
  <c r="B7" i="18"/>
  <c r="N7" i="18"/>
  <c r="N3" i="18"/>
  <c r="M7" i="18"/>
  <c r="M3" i="18"/>
  <c r="L7" i="18"/>
  <c r="L3" i="18"/>
  <c r="J7" i="18"/>
  <c r="J3" i="18"/>
  <c r="I7" i="18"/>
  <c r="I3" i="18"/>
  <c r="H8" i="18"/>
  <c r="H4" i="18"/>
  <c r="G8" i="18"/>
  <c r="G4" i="18"/>
  <c r="F8" i="18"/>
  <c r="F4" i="18"/>
  <c r="E8" i="18"/>
  <c r="E4" i="18"/>
  <c r="D8" i="18"/>
  <c r="D4" i="18"/>
  <c r="B9" i="18"/>
  <c r="B5" i="18"/>
  <c r="M5" i="18"/>
  <c r="J5" i="18"/>
  <c r="H6" i="18"/>
  <c r="G2" i="18"/>
  <c r="D6" i="18"/>
  <c r="N6" i="18"/>
  <c r="N2" i="18"/>
  <c r="M6" i="18"/>
  <c r="M2" i="18"/>
  <c r="L6" i="18"/>
  <c r="L2" i="18"/>
  <c r="J6" i="18"/>
  <c r="J2" i="18"/>
  <c r="I6" i="18"/>
  <c r="I2" i="18"/>
  <c r="H7" i="18"/>
  <c r="H3" i="18"/>
  <c r="G7" i="18"/>
  <c r="G3" i="18"/>
  <c r="F7" i="18"/>
  <c r="F3" i="18"/>
  <c r="E7" i="18"/>
  <c r="E3" i="18"/>
  <c r="D7" i="18"/>
  <c r="D3" i="18"/>
  <c r="B8" i="18"/>
  <c r="B4" i="18"/>
  <c r="C12" i="17"/>
  <c r="N5" i="18"/>
  <c r="L9" i="18"/>
  <c r="I9" i="18"/>
  <c r="G6" i="18"/>
  <c r="F2" i="18"/>
  <c r="E2" i="18"/>
  <c r="B3" i="18"/>
  <c r="B7" i="17"/>
  <c r="B6" i="17"/>
  <c r="B9" i="17"/>
  <c r="B8" i="17"/>
  <c r="B10" i="17"/>
  <c r="B5" i="17"/>
  <c r="B3" i="17"/>
  <c r="B4" i="17"/>
  <c r="G5" i="17" l="1"/>
  <c r="G7" i="17"/>
  <c r="G6" i="17"/>
  <c r="I11" i="22"/>
  <c r="G10" i="17"/>
  <c r="G4" i="17"/>
  <c r="G8" i="17"/>
  <c r="R4" i="18"/>
  <c r="G3" i="17"/>
  <c r="G9" i="17"/>
  <c r="G2" i="17"/>
  <c r="D11" i="20"/>
  <c r="H11" i="20"/>
  <c r="M11" i="21"/>
  <c r="L11" i="22"/>
  <c r="R8" i="23"/>
  <c r="F11" i="24"/>
  <c r="E11" i="19"/>
  <c r="D11" i="19"/>
  <c r="E11" i="21"/>
  <c r="F11" i="22"/>
  <c r="R5" i="18"/>
  <c r="C5" i="26"/>
  <c r="C18" i="17" s="1"/>
  <c r="B18" i="17"/>
  <c r="M11" i="19"/>
  <c r="B11" i="19"/>
  <c r="R2" i="19"/>
  <c r="O2" i="19"/>
  <c r="L11" i="19"/>
  <c r="L11" i="20"/>
  <c r="I11" i="21"/>
  <c r="R9" i="22"/>
  <c r="O5" i="25"/>
  <c r="R5" i="25"/>
  <c r="E11" i="20"/>
  <c r="J11" i="21"/>
  <c r="O4" i="21"/>
  <c r="R4" i="21"/>
  <c r="O4" i="22"/>
  <c r="F11" i="19"/>
  <c r="N11" i="20"/>
  <c r="G11" i="21"/>
  <c r="R7" i="21"/>
  <c r="O7" i="21"/>
  <c r="C11" i="22"/>
  <c r="K11" i="22"/>
  <c r="O8" i="22"/>
  <c r="R8" i="19"/>
  <c r="O8" i="19"/>
  <c r="G11" i="20"/>
  <c r="R3" i="21"/>
  <c r="G11" i="22"/>
  <c r="R2" i="23"/>
  <c r="O2" i="23"/>
  <c r="B11" i="23"/>
  <c r="E11" i="23"/>
  <c r="M11" i="25"/>
  <c r="R8" i="22"/>
  <c r="O9" i="22"/>
  <c r="D11" i="23"/>
  <c r="E11" i="24"/>
  <c r="R9" i="23"/>
  <c r="R2" i="24"/>
  <c r="B11" i="24"/>
  <c r="C8" i="17" s="1"/>
  <c r="O2" i="24"/>
  <c r="R3" i="24"/>
  <c r="H11" i="24"/>
  <c r="K11" i="24"/>
  <c r="R8" i="24"/>
  <c r="J11" i="25"/>
  <c r="R2" i="18"/>
  <c r="H11" i="23"/>
  <c r="K11" i="23"/>
  <c r="O8" i="23"/>
  <c r="C11" i="25"/>
  <c r="R7" i="25"/>
  <c r="O7" i="25"/>
  <c r="L11" i="25"/>
  <c r="R4" i="25"/>
  <c r="O4" i="25"/>
  <c r="R3" i="18"/>
  <c r="C9" i="26"/>
  <c r="C22" i="17" s="1"/>
  <c r="B22" i="17"/>
  <c r="B15" i="17"/>
  <c r="C2" i="26"/>
  <c r="B20" i="26"/>
  <c r="B33" i="17" s="1"/>
  <c r="R6" i="19"/>
  <c r="O6" i="19"/>
  <c r="H11" i="19"/>
  <c r="O5" i="19"/>
  <c r="R5" i="19"/>
  <c r="I11" i="19"/>
  <c r="R4" i="20"/>
  <c r="O4" i="20"/>
  <c r="R6" i="21"/>
  <c r="O6" i="21"/>
  <c r="R3" i="22"/>
  <c r="R7" i="22"/>
  <c r="I11" i="20"/>
  <c r="O5" i="20"/>
  <c r="R5" i="20"/>
  <c r="N11" i="21"/>
  <c r="H11" i="22"/>
  <c r="J11" i="19"/>
  <c r="R2" i="20"/>
  <c r="B11" i="20"/>
  <c r="K11" i="21"/>
  <c r="R4" i="22"/>
  <c r="C11" i="19"/>
  <c r="K11" i="20"/>
  <c r="D11" i="21"/>
  <c r="D11" i="22"/>
  <c r="M11" i="22"/>
  <c r="F11" i="23"/>
  <c r="O9" i="25"/>
  <c r="R9" i="25"/>
  <c r="R9" i="24"/>
  <c r="R5" i="21"/>
  <c r="O5" i="21"/>
  <c r="L11" i="24"/>
  <c r="O6" i="24"/>
  <c r="R6" i="24"/>
  <c r="R7" i="24"/>
  <c r="N11" i="25"/>
  <c r="I11" i="23"/>
  <c r="L11" i="23"/>
  <c r="R6" i="23"/>
  <c r="O6" i="23"/>
  <c r="R7" i="23"/>
  <c r="O3" i="24"/>
  <c r="G11" i="25"/>
  <c r="R8" i="25"/>
  <c r="O8" i="25"/>
  <c r="R9" i="18"/>
  <c r="R8" i="18"/>
  <c r="R7" i="18"/>
  <c r="C6" i="26"/>
  <c r="C19" i="17" s="1"/>
  <c r="B19" i="17"/>
  <c r="C3" i="26"/>
  <c r="C16" i="17" s="1"/>
  <c r="B16" i="17"/>
  <c r="C4" i="26"/>
  <c r="C17" i="17" s="1"/>
  <c r="B17" i="17"/>
  <c r="O9" i="19"/>
  <c r="R9" i="19"/>
  <c r="O8" i="21"/>
  <c r="R8" i="21"/>
  <c r="M11" i="20"/>
  <c r="O9" i="20"/>
  <c r="R9" i="20"/>
  <c r="R2" i="21"/>
  <c r="B11" i="21"/>
  <c r="O2" i="21"/>
  <c r="E11" i="22"/>
  <c r="N11" i="19"/>
  <c r="F11" i="20"/>
  <c r="R6" i="20"/>
  <c r="O6" i="20"/>
  <c r="O3" i="21"/>
  <c r="N11" i="22"/>
  <c r="G11" i="19"/>
  <c r="R3" i="20"/>
  <c r="O3" i="20"/>
  <c r="H11" i="21"/>
  <c r="J11" i="22"/>
  <c r="J11" i="23"/>
  <c r="R4" i="23"/>
  <c r="O3" i="23"/>
  <c r="R3" i="23"/>
  <c r="O7" i="23"/>
  <c r="O9" i="21"/>
  <c r="R9" i="21"/>
  <c r="J11" i="24"/>
  <c r="O5" i="24"/>
  <c r="O2" i="25"/>
  <c r="B11" i="25"/>
  <c r="R2" i="25"/>
  <c r="M11" i="23"/>
  <c r="R5" i="23"/>
  <c r="C11" i="24"/>
  <c r="O7" i="24"/>
  <c r="K11" i="25"/>
  <c r="R4" i="24"/>
  <c r="O4" i="24"/>
  <c r="D11" i="25"/>
  <c r="R6" i="18"/>
  <c r="C10" i="26"/>
  <c r="C23" i="17" s="1"/>
  <c r="B23" i="17"/>
  <c r="C7" i="26"/>
  <c r="C20" i="17" s="1"/>
  <c r="B20" i="17"/>
  <c r="C8" i="26"/>
  <c r="C21" i="17" s="1"/>
  <c r="B21" i="17"/>
  <c r="R8" i="20"/>
  <c r="O8" i="20"/>
  <c r="R6" i="22"/>
  <c r="O6" i="22"/>
  <c r="F11" i="21"/>
  <c r="R2" i="22"/>
  <c r="B11" i="22"/>
  <c r="O2" i="22"/>
  <c r="R3" i="19"/>
  <c r="O3" i="19"/>
  <c r="R7" i="19"/>
  <c r="O7" i="19"/>
  <c r="J11" i="20"/>
  <c r="C11" i="21"/>
  <c r="R5" i="22"/>
  <c r="K11" i="19"/>
  <c r="R4" i="19"/>
  <c r="O4" i="19"/>
  <c r="O2" i="20"/>
  <c r="C11" i="20"/>
  <c r="R7" i="20"/>
  <c r="O7" i="20"/>
  <c r="L11" i="21"/>
  <c r="O3" i="22"/>
  <c r="O7" i="22"/>
  <c r="N11" i="23"/>
  <c r="R5" i="24"/>
  <c r="C11" i="23"/>
  <c r="O5" i="22"/>
  <c r="E11" i="25"/>
  <c r="O5" i="23"/>
  <c r="N11" i="24"/>
  <c r="D11" i="24"/>
  <c r="G11" i="24"/>
  <c r="O9" i="24"/>
  <c r="F11" i="25"/>
  <c r="R6" i="25"/>
  <c r="O6" i="25"/>
  <c r="O4" i="23"/>
  <c r="G11" i="23"/>
  <c r="O9" i="23"/>
  <c r="R3" i="25"/>
  <c r="O3" i="25"/>
  <c r="O8" i="24"/>
  <c r="H11" i="25"/>
  <c r="O7" i="18"/>
  <c r="O8" i="18"/>
  <c r="O3" i="18"/>
  <c r="O4" i="18"/>
  <c r="O2" i="18"/>
  <c r="O5" i="18"/>
  <c r="O6" i="18"/>
  <c r="O9" i="18"/>
  <c r="E11" i="18"/>
  <c r="M11" i="18"/>
  <c r="F11" i="18"/>
  <c r="B12" i="17"/>
  <c r="J11" i="18"/>
  <c r="L11" i="18"/>
  <c r="N11" i="18"/>
  <c r="G11" i="18"/>
  <c r="H11" i="18"/>
  <c r="C11" i="18"/>
  <c r="D11" i="18"/>
  <c r="B11" i="18"/>
  <c r="C2" i="17" s="1"/>
  <c r="I11" i="18"/>
  <c r="K11" i="18"/>
  <c r="D5" i="17" l="1"/>
  <c r="R11" i="22"/>
  <c r="E6" i="17" s="1"/>
  <c r="D3" i="17"/>
  <c r="C15" i="17"/>
  <c r="C20" i="26"/>
  <c r="C33" i="17" s="1"/>
  <c r="E13" i="17" s="1"/>
  <c r="D6" i="17"/>
  <c r="R11" i="25"/>
  <c r="E9" i="17" s="1"/>
  <c r="R11" i="20"/>
  <c r="E4" i="17" s="1"/>
  <c r="R11" i="23"/>
  <c r="E7" i="17" s="1"/>
  <c r="D2" i="17"/>
  <c r="D7" i="17"/>
  <c r="D4" i="17"/>
  <c r="O11" i="24"/>
  <c r="D8" i="17"/>
  <c r="O11" i="25"/>
  <c r="C9" i="17"/>
  <c r="O11" i="21"/>
  <c r="C5" i="17"/>
  <c r="D9" i="17"/>
  <c r="R11" i="18"/>
  <c r="E2" i="17" s="1"/>
  <c r="R11" i="24"/>
  <c r="E8" i="17" s="1"/>
  <c r="O11" i="23"/>
  <c r="C7" i="17"/>
  <c r="R11" i="19"/>
  <c r="E3" i="17" s="1"/>
  <c r="O11" i="22"/>
  <c r="C6" i="17"/>
  <c r="C4" i="17"/>
  <c r="O11" i="20"/>
  <c r="R11" i="21"/>
  <c r="E5" i="17" s="1"/>
  <c r="O11" i="19"/>
  <c r="C3" i="17"/>
  <c r="O11" i="18"/>
  <c r="E12" i="17" l="1"/>
  <c r="E14" i="17" s="1"/>
  <c r="E16" i="17" s="1"/>
  <c r="B8" i="1"/>
  <c r="B9" i="1" s="1"/>
  <c r="D9" i="1"/>
  <c r="C9" i="1"/>
  <c r="I8" i="1"/>
  <c r="I9" i="1" s="1"/>
  <c r="H8" i="1"/>
  <c r="G8" i="1"/>
  <c r="F8" i="1"/>
  <c r="E8" i="1"/>
  <c r="D8" i="1"/>
  <c r="C8" i="1"/>
  <c r="I7" i="1"/>
  <c r="H7" i="1"/>
  <c r="G7" i="1"/>
  <c r="F7" i="1"/>
  <c r="F9" i="1" s="1"/>
  <c r="E7" i="1"/>
  <c r="E9" i="1" s="1"/>
  <c r="D7" i="1"/>
  <c r="C7" i="1"/>
  <c r="B4" i="1"/>
  <c r="B2" i="1"/>
  <c r="G9" i="1" l="1"/>
  <c r="H9" i="1"/>
  <c r="J9" i="1" s="1"/>
  <c r="J7" i="1"/>
  <c r="J8" i="1"/>
  <c r="E4" i="1" l="1"/>
</calcChain>
</file>

<file path=xl/sharedStrings.xml><?xml version="1.0" encoding="utf-8"?>
<sst xmlns="http://schemas.openxmlformats.org/spreadsheetml/2006/main" count="22055" uniqueCount="8687">
  <si>
    <t>Page</t>
  </si>
  <si>
    <t>PU</t>
  </si>
  <si>
    <t>June</t>
  </si>
  <si>
    <t>July</t>
  </si>
  <si>
    <t>Aug</t>
  </si>
  <si>
    <t>Budget</t>
  </si>
  <si>
    <t>Page Budget</t>
  </si>
  <si>
    <t>PU Budget</t>
  </si>
  <si>
    <t>Oct</t>
  </si>
  <si>
    <t>Nov</t>
  </si>
  <si>
    <t>Dec</t>
  </si>
  <si>
    <t>Total</t>
  </si>
  <si>
    <t>Page Variance</t>
  </si>
  <si>
    <t>PU Variance</t>
  </si>
  <si>
    <t>Dues Type</t>
  </si>
  <si>
    <t>Received through May</t>
  </si>
  <si>
    <t>Aug (Calculated based on join dates)</t>
  </si>
  <si>
    <t>Sept (proj.)</t>
  </si>
  <si>
    <t>Oct (proj)</t>
  </si>
  <si>
    <t>Nov (proj)</t>
  </si>
  <si>
    <t>Dec (proj)</t>
  </si>
  <si>
    <t>ID</t>
  </si>
  <si>
    <t>Nickname</t>
  </si>
  <si>
    <t>First Name</t>
  </si>
  <si>
    <t>Middle Name</t>
  </si>
  <si>
    <t>Last Name</t>
  </si>
  <si>
    <t>Email Address</t>
  </si>
  <si>
    <t>Email Address #2</t>
  </si>
  <si>
    <t>Professional Title</t>
  </si>
  <si>
    <t>Primary Organization/Company Name</t>
  </si>
  <si>
    <t>Join Date</t>
  </si>
  <si>
    <t>Expiration Date</t>
  </si>
  <si>
    <t>Membership Status</t>
  </si>
  <si>
    <t>Membership Type</t>
  </si>
  <si>
    <t>Membership Category</t>
  </si>
  <si>
    <t>Membership Sub-category (Role)</t>
  </si>
  <si>
    <t>Membership Eligibility</t>
  </si>
  <si>
    <t>Preferred Address Type</t>
  </si>
  <si>
    <t>Preferred Address</t>
  </si>
  <si>
    <t>Preferred Address City</t>
  </si>
  <si>
    <t>Preferred Address Country Code</t>
  </si>
  <si>
    <t>Preferred Address Country Name</t>
  </si>
  <si>
    <t>Preferred Address Line 1</t>
  </si>
  <si>
    <t>Preferred Address Line 2</t>
  </si>
  <si>
    <t>Preferred Address Postal Code</t>
  </si>
  <si>
    <t>Preferred Address Region Name</t>
  </si>
  <si>
    <t>Preferred Address State Code</t>
  </si>
  <si>
    <t>Preferred Address State Name</t>
  </si>
  <si>
    <t>Preferred Phone Number</t>
  </si>
  <si>
    <t>Preferred Phone # Type</t>
  </si>
  <si>
    <t>Work Phone #</t>
  </si>
  <si>
    <t>Home Phone #</t>
  </si>
  <si>
    <t>Mobile Phone #</t>
  </si>
  <si>
    <t>Sponsor 1</t>
  </si>
  <si>
    <t>Sponsor 2</t>
  </si>
  <si>
    <t>Sponsor 3</t>
  </si>
  <si>
    <t>Sponsor 4</t>
  </si>
  <si>
    <t>Sponsor 5</t>
  </si>
  <si>
    <t>Position When Joined</t>
  </si>
  <si>
    <t>Elizabeth</t>
  </si>
  <si>
    <t>Heller</t>
  </si>
  <si>
    <t>Allen</t>
  </si>
  <si>
    <t>eallen@metrohealth.org</t>
  </si>
  <si>
    <t>ehellerallen@yahoo.com</t>
  </si>
  <si>
    <t>Senior Vice President of External Affairs at The MetroHealth System</t>
  </si>
  <si>
    <t>The Metrohealth System</t>
  </si>
  <si>
    <t>Active</t>
  </si>
  <si>
    <t>Page (Corporate)</t>
  </si>
  <si>
    <t>Corporate</t>
  </si>
  <si>
    <t>Corporate Non</t>
  </si>
  <si>
    <t>Grandfathered</t>
  </si>
  <si>
    <t>Work</t>
  </si>
  <si>
    <t>2500 Metrohealth Dr 
Cleveland, OH 44109-1900 US</t>
  </si>
  <si>
    <t>Cleveland</t>
  </si>
  <si>
    <t>US</t>
  </si>
  <si>
    <t>UNITED STATES</t>
  </si>
  <si>
    <t>2500 Metrohealth Dr</t>
  </si>
  <si>
    <t>44109-1900</t>
  </si>
  <si>
    <t>United States</t>
  </si>
  <si>
    <t>OH</t>
  </si>
  <si>
    <t>Ohio</t>
  </si>
  <si>
    <t>216-778-1614</t>
  </si>
  <si>
    <t>614-205-6391</t>
  </si>
  <si>
    <t>VP- Corporate Communications, Raytheon Corporation</t>
  </si>
  <si>
    <t>Paul</t>
  </si>
  <si>
    <t>A.</t>
  </si>
  <si>
    <t>Argenti</t>
  </si>
  <si>
    <t>paul.argenti@dartmouth.edu</t>
  </si>
  <si>
    <t>Professor of Corporate Communication</t>
  </si>
  <si>
    <t>Tuck School Of Business At Dartmouth</t>
  </si>
  <si>
    <t>Page (Educator)</t>
  </si>
  <si>
    <t>Educator</t>
  </si>
  <si>
    <t>100 Tuck Hall 
Hanover, NH 03755 US</t>
  </si>
  <si>
    <t>Hanover</t>
  </si>
  <si>
    <t>100 Tuck Hall</t>
  </si>
  <si>
    <t>03755</t>
  </si>
  <si>
    <t>NH</t>
  </si>
  <si>
    <t>New Hampshire</t>
  </si>
  <si>
    <t>(603) 646-3959</t>
  </si>
  <si>
    <t>(603) 496-8896</t>
  </si>
  <si>
    <t>Clinical Professor of Management Communications, Tuck School of Business at Dartmouth</t>
  </si>
  <si>
    <t>Nick</t>
  </si>
  <si>
    <t>Nicholas</t>
  </si>
  <si>
    <t>J.</t>
  </si>
  <si>
    <t>Ashooh</t>
  </si>
  <si>
    <t>nashooh@apcoworldwide.com</t>
  </si>
  <si>
    <t>nickashooh@att.net</t>
  </si>
  <si>
    <t>Senior Director of Corporate and Executive Communications</t>
  </si>
  <si>
    <t>APCO Worldwide</t>
  </si>
  <si>
    <t>Page (Honoree)</t>
  </si>
  <si>
    <t>Agency</t>
  </si>
  <si>
    <t>Agency Other</t>
  </si>
  <si>
    <t>360 Park Ave South 
11th Floor 
New York, NY 10010 US</t>
  </si>
  <si>
    <t>New York</t>
  </si>
  <si>
    <t>360 Park Ave South</t>
  </si>
  <si>
    <t>11th Floor</t>
  </si>
  <si>
    <t>10010</t>
  </si>
  <si>
    <t>NY</t>
  </si>
  <si>
    <t>(202) 778-1067</t>
  </si>
  <si>
    <t>(203) 354-4065</t>
  </si>
  <si>
    <t>(347) 556-3612</t>
  </si>
  <si>
    <t>VP- Public Affairs &amp; Corporate Communications Niagra Mohawk Power Corp.</t>
  </si>
  <si>
    <t>Ann</t>
  </si>
  <si>
    <t>H.</t>
  </si>
  <si>
    <t>Barkelew</t>
  </si>
  <si>
    <t>jim-ann@comcast.net</t>
  </si>
  <si>
    <t>barkelea@fleishman.com</t>
  </si>
  <si>
    <t>Retired</t>
  </si>
  <si>
    <t>35 Windy Hill Road 
Sunfish Lake, MN 55077 US</t>
  </si>
  <si>
    <t>Sunfish Lake</t>
  </si>
  <si>
    <t>35 Windy Hill Road</t>
  </si>
  <si>
    <t>55077</t>
  </si>
  <si>
    <t>MN</t>
  </si>
  <si>
    <t>Minnesota</t>
  </si>
  <si>
    <t>651-451-9142</t>
  </si>
  <si>
    <t>(651) 457-0466</t>
  </si>
  <si>
    <t>612-889-7967</t>
  </si>
  <si>
    <t>VP- Corporate Public Relations, Dayton Hudson Corporation</t>
  </si>
  <si>
    <t>Roger</t>
  </si>
  <si>
    <t>Bolton</t>
  </si>
  <si>
    <t>rbolton@awpagesociety.com</t>
  </si>
  <si>
    <t>boltonreds@aol.com</t>
  </si>
  <si>
    <t>President</t>
  </si>
  <si>
    <t>Other Business</t>
  </si>
  <si>
    <t>230 Park Ave. 
Suite 455 
New York, NY 10169 US</t>
  </si>
  <si>
    <t>230 Park Ave.</t>
  </si>
  <si>
    <t>Suite 455</t>
  </si>
  <si>
    <t>10169</t>
  </si>
  <si>
    <t>(203) 972-7790</t>
  </si>
  <si>
    <t>(203) 962-4014</t>
  </si>
  <si>
    <t>SVP- Corporate Communications Aetna</t>
  </si>
  <si>
    <t>Harold</t>
  </si>
  <si>
    <t>Burson</t>
  </si>
  <si>
    <t>harold.burson@bm.com</t>
  </si>
  <si>
    <t>Founder and Chairman</t>
  </si>
  <si>
    <t>Burson-Marsteller</t>
  </si>
  <si>
    <t>230 Park Avenue South 
New York, NY 10003-1528 US</t>
  </si>
  <si>
    <t>230 Park Avenue South</t>
  </si>
  <si>
    <t>10003-1528</t>
  </si>
  <si>
    <t>212-614-4444</t>
  </si>
  <si>
    <t>Founder and Chairman - Burson-Marsteller</t>
  </si>
  <si>
    <t>Barie</t>
  </si>
  <si>
    <t>S.</t>
  </si>
  <si>
    <t>Carmichael</t>
  </si>
  <si>
    <t>bcarmichael@apcoworldwide.com</t>
  </si>
  <si>
    <t>bcarmichael@va.metrocast.net</t>
  </si>
  <si>
    <t>Batten Fellow</t>
  </si>
  <si>
    <t>Page (Agency)</t>
  </si>
  <si>
    <t>PO Box 116 
Hardyville, VA 23070 US</t>
  </si>
  <si>
    <t>Hardyville</t>
  </si>
  <si>
    <t>PO Box 116</t>
  </si>
  <si>
    <t>23070</t>
  </si>
  <si>
    <t>VA</t>
  </si>
  <si>
    <t>Virginia</t>
  </si>
  <si>
    <t>(804) 690-9208</t>
  </si>
  <si>
    <t>(804) 776-0854</t>
  </si>
  <si>
    <t>Director- Corporate Relations, Dow Corning Corporation</t>
  </si>
  <si>
    <t>Clarke</t>
  </si>
  <si>
    <t>Lawrence</t>
  </si>
  <si>
    <t>Caywood</t>
  </si>
  <si>
    <t>ccaywood@gmail.com</t>
  </si>
  <si>
    <t>c-caywood@northwestern.edu</t>
  </si>
  <si>
    <t>Professor, Integrated Marketing Communications/Public Relations</t>
  </si>
  <si>
    <t>Northwestern University</t>
  </si>
  <si>
    <t>1870 S. Campus Drive 
McCormick Tribune Center 
Evanston, IL 60208 US</t>
  </si>
  <si>
    <t>Evanston</t>
  </si>
  <si>
    <t>1870 S. Campus Drive</t>
  </si>
  <si>
    <t>McCormick Tribune Center</t>
  </si>
  <si>
    <t>60208</t>
  </si>
  <si>
    <t>IL</t>
  </si>
  <si>
    <t>Illinois</t>
  </si>
  <si>
    <t>8473720462</t>
  </si>
  <si>
    <t>847.687.0383</t>
  </si>
  <si>
    <t>847.372.0462</t>
  </si>
  <si>
    <t>Professor - Northwestern University</t>
  </si>
  <si>
    <t>Marguerite</t>
  </si>
  <si>
    <t>F.</t>
  </si>
  <si>
    <t>Copel</t>
  </si>
  <si>
    <t>marguerite.f.copel@medtronic.com</t>
  </si>
  <si>
    <t>mfcopel@verizon.net</t>
  </si>
  <si>
    <t>VP, Communications MITG</t>
  </si>
  <si>
    <t>Medtronic</t>
  </si>
  <si>
    <t>Corporate Other</t>
  </si>
  <si>
    <t>60 Middletown Ave 
North Haven, CT 06473-3908 US</t>
  </si>
  <si>
    <t>North Haven</t>
  </si>
  <si>
    <t>60 Middletown Ave</t>
  </si>
  <si>
    <t>06473-3908</t>
  </si>
  <si>
    <t>CT</t>
  </si>
  <si>
    <t>Connecticut</t>
  </si>
  <si>
    <t>203 8214720</t>
  </si>
  <si>
    <t>817-442-8409</t>
  </si>
  <si>
    <t>203-214-8243</t>
  </si>
  <si>
    <t>Director - Corporate Communications and Public Affairs, Ocean Spray Cranberries, Inc.</t>
  </si>
  <si>
    <t>Ron</t>
  </si>
  <si>
    <t>E. Ronald</t>
  </si>
  <si>
    <t>Culp</t>
  </si>
  <si>
    <t>rculp2@depaul.edu</t>
  </si>
  <si>
    <t>ron@culpandco.com</t>
  </si>
  <si>
    <t>Director, PRAD Graduate Program and Public Relations Consultant</t>
  </si>
  <si>
    <t>DePaul University</t>
  </si>
  <si>
    <t>Other Adjunct</t>
  </si>
  <si>
    <t>1 E. Jackson Street 
#1838 
Chicago, IL 60604 US</t>
  </si>
  <si>
    <t>Chicago</t>
  </si>
  <si>
    <t>1 E. Jackson Street</t>
  </si>
  <si>
    <t>#1838</t>
  </si>
  <si>
    <t>60604</t>
  </si>
  <si>
    <t>(312) 402-7294</t>
  </si>
  <si>
    <t>VP- Public Affairs Sears, Roebuck and Company</t>
  </si>
  <si>
    <t>Dave</t>
  </si>
  <si>
    <t>David</t>
  </si>
  <si>
    <t>Demarest</t>
  </si>
  <si>
    <t>demarest@stanford.edu</t>
  </si>
  <si>
    <t>dfdemarest@comcast.net</t>
  </si>
  <si>
    <t>Vice President for Public Affairs</t>
  </si>
  <si>
    <t>Stanford University</t>
  </si>
  <si>
    <t>Page (Non-Profit)</t>
  </si>
  <si>
    <t>NGO</t>
  </si>
  <si>
    <t>Non-Profit CCO</t>
  </si>
  <si>
    <t>50 Marion Ave 
Sausalito, CA 94965-2522 US</t>
  </si>
  <si>
    <t>Sausalito</t>
  </si>
  <si>
    <t>50 Marion Ave</t>
  </si>
  <si>
    <t>94965-2522</t>
  </si>
  <si>
    <t>CA</t>
  </si>
  <si>
    <t>California</t>
  </si>
  <si>
    <t>650-724-8887</t>
  </si>
  <si>
    <t>EVP- Corporate Communications Bank of America</t>
  </si>
  <si>
    <t>Bill</t>
  </si>
  <si>
    <t>William</t>
  </si>
  <si>
    <t>Doescher</t>
  </si>
  <si>
    <t>doeschergroup@earthlink.net</t>
  </si>
  <si>
    <t>bill.doescher@gmail.com</t>
  </si>
  <si>
    <t>President and Chief Executive Officer</t>
  </si>
  <si>
    <t>The Doescher Group, Ltd.</t>
  </si>
  <si>
    <t>Agency Consultant</t>
  </si>
  <si>
    <t>7 Deerfoot Ln 
Yonkers, NY 10710-2325 US</t>
  </si>
  <si>
    <t>Yonkers</t>
  </si>
  <si>
    <t>7 Deerfoot Ln</t>
  </si>
  <si>
    <t>10710-2325</t>
  </si>
  <si>
    <t>(914) 722-4040</t>
  </si>
  <si>
    <t>(914) 472-5688</t>
  </si>
  <si>
    <t>SVP and CCO, The Dun &amp; Bradstreet Corporation</t>
  </si>
  <si>
    <t>R.</t>
  </si>
  <si>
    <t>Drobis</t>
  </si>
  <si>
    <t>drd514@gmail.com</t>
  </si>
  <si>
    <t>Chairman Emeritus</t>
  </si>
  <si>
    <t>Ketchum</t>
  </si>
  <si>
    <t>685 Jamestown Lane 
Naples, FL 34108 US</t>
  </si>
  <si>
    <t>Naples</t>
  </si>
  <si>
    <t>685 Jamestown Lane</t>
  </si>
  <si>
    <t>34108</t>
  </si>
  <si>
    <t>FL</t>
  </si>
  <si>
    <t>Florida</t>
  </si>
  <si>
    <t>239-594-0081</t>
  </si>
  <si>
    <t>239-594-7904</t>
  </si>
  <si>
    <t>917-514-9497</t>
  </si>
  <si>
    <t>Chairman and CEO, Ketchum Public Relations Worldwide</t>
  </si>
  <si>
    <t>Richard</t>
  </si>
  <si>
    <t>W.</t>
  </si>
  <si>
    <t>Edelman</t>
  </si>
  <si>
    <t>richard.edelman@edelman.com</t>
  </si>
  <si>
    <t>Agency CEO</t>
  </si>
  <si>
    <t>250 Hudson Street 
New York, NY 10013 US</t>
  </si>
  <si>
    <t>250 Hudson Street</t>
  </si>
  <si>
    <t>10013</t>
  </si>
  <si>
    <t>212-729-2459</t>
  </si>
  <si>
    <t>President and CEO Edelman PR Worldwide</t>
  </si>
  <si>
    <t>Kathy</t>
  </si>
  <si>
    <t>Kathleen</t>
  </si>
  <si>
    <t>M.</t>
  </si>
  <si>
    <t>Fitzgerald</t>
  </si>
  <si>
    <t>kathy@kfitzgerald.com</t>
  </si>
  <si>
    <t>Page (Retired)</t>
  </si>
  <si>
    <t>116 Metzger Dr 
West Orange, NJ 07052-6619 US</t>
  </si>
  <si>
    <t>West Orange</t>
  </si>
  <si>
    <t>116 Metzger Dr</t>
  </si>
  <si>
    <t>07052-6619</t>
  </si>
  <si>
    <t>NJ</t>
  </si>
  <si>
    <t>New Jersey</t>
  </si>
  <si>
    <t>(917) 607-6634</t>
  </si>
  <si>
    <t>(973) 564-7668</t>
  </si>
  <si>
    <t>SVP- Public Relations, Investor Relations and Advertising  Lucent Technologies</t>
  </si>
  <si>
    <t>Carl</t>
  </si>
  <si>
    <t>D.</t>
  </si>
  <si>
    <t>Folta</t>
  </si>
  <si>
    <t>cdf@abmac.com</t>
  </si>
  <si>
    <t>foltac@gmail.com</t>
  </si>
  <si>
    <t>Senior Counselor</t>
  </si>
  <si>
    <t>Abernathy MacGregor</t>
  </si>
  <si>
    <t>277 Park Avenue, 39th Floor 
New York, NY 10172 US</t>
  </si>
  <si>
    <t>277 Park Avenue, 39th Floor</t>
  </si>
  <si>
    <t>10172</t>
  </si>
  <si>
    <t>(212) 258-6352</t>
  </si>
  <si>
    <t>(917) 992-7690</t>
  </si>
  <si>
    <t>VP- Corporate Relations, VIACOM</t>
  </si>
  <si>
    <t>Jill</t>
  </si>
  <si>
    <t>Gabbe</t>
  </si>
  <si>
    <t>jill.gabbe@gabbe.com</t>
  </si>
  <si>
    <t>Senior Advisor</t>
  </si>
  <si>
    <t>Finn Partners</t>
  </si>
  <si>
    <t>301 E. 57th St. 
New York, NY 10022 US</t>
  </si>
  <si>
    <t>301 E. 57th St.</t>
  </si>
  <si>
    <t>10022</t>
  </si>
  <si>
    <t>212-715-1599</t>
  </si>
  <si>
    <t>917-608-6897</t>
  </si>
  <si>
    <t>917.608.6897</t>
  </si>
  <si>
    <t>Partner, gabbegroup</t>
  </si>
  <si>
    <t>Matt</t>
  </si>
  <si>
    <t>Matthew</t>
  </si>
  <si>
    <t>P.</t>
  </si>
  <si>
    <t>Gonring</t>
  </si>
  <si>
    <t>mattgonring@gmail.com</t>
  </si>
  <si>
    <t>mattgonring@aol.com</t>
  </si>
  <si>
    <t>Principal</t>
  </si>
  <si>
    <t>MP Gonring Associates</t>
  </si>
  <si>
    <t>607 Sedgwick Drive 
Libertyville, IL 60048 US</t>
  </si>
  <si>
    <t>Libertyville</t>
  </si>
  <si>
    <t>607 Sedgwick Drive</t>
  </si>
  <si>
    <t>60048</t>
  </si>
  <si>
    <t>312-480-7800</t>
  </si>
  <si>
    <t>VP- Corporate Communications, USG Corp.</t>
  </si>
  <si>
    <t>John</t>
  </si>
  <si>
    <t>Graham</t>
  </si>
  <si>
    <t>john.graham@fleishman.com</t>
  </si>
  <si>
    <t>Chairman</t>
  </si>
  <si>
    <t>Fleishmanhillard</t>
  </si>
  <si>
    <t>200 North Broadway 
Saint Louis, MO 63102 US</t>
  </si>
  <si>
    <t>Saint Louis</t>
  </si>
  <si>
    <t>200 North Broadway</t>
  </si>
  <si>
    <t>63102</t>
  </si>
  <si>
    <t>MO</t>
  </si>
  <si>
    <t>Missouri</t>
  </si>
  <si>
    <t>314-982-1755</t>
  </si>
  <si>
    <t>Chairman and CEO, Fleishman-Hillard</t>
  </si>
  <si>
    <t>Gary</t>
  </si>
  <si>
    <t>Grates</t>
  </si>
  <si>
    <t>ggrates@w2ogroup.com</t>
  </si>
  <si>
    <t>ggrates@wcgworld.com</t>
  </si>
  <si>
    <t>W2O Group</t>
  </si>
  <si>
    <t>60 Francisco 
Carmel 
San Francisco, CA 94133 US</t>
  </si>
  <si>
    <t>San Francisco</t>
  </si>
  <si>
    <t>60 Francisco</t>
  </si>
  <si>
    <t>Carmel</t>
  </si>
  <si>
    <t>94133</t>
  </si>
  <si>
    <t>415-946-1067</t>
  </si>
  <si>
    <t>845-225-2229</t>
  </si>
  <si>
    <t>845-270-0163</t>
  </si>
  <si>
    <t>President Boxenbaum Grates</t>
  </si>
  <si>
    <t>Stephen</t>
  </si>
  <si>
    <t>Greyser</t>
  </si>
  <si>
    <t>sgreyser@hbs.edu</t>
  </si>
  <si>
    <t>Richard P. Chapman Professor (Marketing/Communications) Emeritus</t>
  </si>
  <si>
    <t>Harvard University</t>
  </si>
  <si>
    <t>Cumnock 300 - Soldiers Field 
Boston, MA 02163 US</t>
  </si>
  <si>
    <t>Boston</t>
  </si>
  <si>
    <t>Cumnock 300 - Soldiers Field</t>
  </si>
  <si>
    <t>02163</t>
  </si>
  <si>
    <t>MA</t>
  </si>
  <si>
    <t>Massachusetts</t>
  </si>
  <si>
    <t>617-495-6329</t>
  </si>
  <si>
    <t>617-859-4901</t>
  </si>
  <si>
    <t>Richard P. Chapman Professor Marketing and Communications, Harvard University, Graduate School of Business Administration</t>
  </si>
  <si>
    <t>Jim</t>
  </si>
  <si>
    <t>James</t>
  </si>
  <si>
    <t>E.</t>
  </si>
  <si>
    <t>Grunig</t>
  </si>
  <si>
    <t>jgrunig@umd.edu</t>
  </si>
  <si>
    <t>Professor Emeritus</t>
  </si>
  <si>
    <t>University of Maryland</t>
  </si>
  <si>
    <t>41 Brinkwood Road 
Brookeville, MD 20833 US</t>
  </si>
  <si>
    <t>Brookeville</t>
  </si>
  <si>
    <t>41 Brinkwood Road</t>
  </si>
  <si>
    <t>20833</t>
  </si>
  <si>
    <t>MD</t>
  </si>
  <si>
    <t>Maryland</t>
  </si>
  <si>
    <t>(301) 405-6525</t>
  </si>
  <si>
    <t>(301) 570-8626</t>
  </si>
  <si>
    <t>Professor, University of Maryland</t>
  </si>
  <si>
    <t>Bruce</t>
  </si>
  <si>
    <t>Harrison</t>
  </si>
  <si>
    <t>bruceharrison@ceoexpress.com</t>
  </si>
  <si>
    <t>ebruceharrison@msn.com</t>
  </si>
  <si>
    <t>Faculty</t>
  </si>
  <si>
    <t>Georgetown University</t>
  </si>
  <si>
    <t>3201 N. Vermont St 
Arlington, VA 22207 US</t>
  </si>
  <si>
    <t>Arlington</t>
  </si>
  <si>
    <t>3201 N. Vermont St</t>
  </si>
  <si>
    <t>22207</t>
  </si>
  <si>
    <t>202-204-3077</t>
  </si>
  <si>
    <t>(703) 538-5335</t>
  </si>
  <si>
    <t>202-285-2639</t>
  </si>
  <si>
    <t>Chairman E. Bruce Harrison Company</t>
  </si>
  <si>
    <t>Nancy</t>
  </si>
  <si>
    <t>Hobor</t>
  </si>
  <si>
    <t>n-hobor@northwestern.edu</t>
  </si>
  <si>
    <t>nancyhobor@gmail.com</t>
  </si>
  <si>
    <t>Medill/IMC Faculty Member</t>
  </si>
  <si>
    <t>1870 Campus Drive; 3rd Floor 
Evanston, IL 60208 US</t>
  </si>
  <si>
    <t>1870 Campus Drive; 3rd Floor</t>
  </si>
  <si>
    <t>847-491-3311</t>
  </si>
  <si>
    <t>VP- Communications and Investor Relations, Morton International</t>
  </si>
  <si>
    <t>Grant</t>
  </si>
  <si>
    <t>N.</t>
  </si>
  <si>
    <t>Horne</t>
  </si>
  <si>
    <t>granthorne@comcast.net</t>
  </si>
  <si>
    <t>2960 Divisadero Street 
San Francisco, CA 94123 US</t>
  </si>
  <si>
    <t>2960 Divisadero Street</t>
  </si>
  <si>
    <t>94123</t>
  </si>
  <si>
    <t>415-921-8111</t>
  </si>
  <si>
    <t>011-52-777 3135031</t>
  </si>
  <si>
    <t>VP- Public Relations,  Pacific Gas &amp; Electric Company</t>
  </si>
  <si>
    <t>Marci</t>
  </si>
  <si>
    <t>Kaminsky</t>
  </si>
  <si>
    <t>marci.kaminsky@us.gt.com</t>
  </si>
  <si>
    <t>marciakaminsky@aol.com</t>
  </si>
  <si>
    <t>CCO</t>
  </si>
  <si>
    <t>Grant Thornton LLP</t>
  </si>
  <si>
    <t>Corporate CCO</t>
  </si>
  <si>
    <t>175 W. Jackson Boulevard, 20th Floor 
Chicago, IL 60604 US</t>
  </si>
  <si>
    <t>175 W. Jackson Boulevard, 20th Floor</t>
  </si>
  <si>
    <t>+1 312 602 9050</t>
  </si>
  <si>
    <t>+1 312 602 8099</t>
  </si>
  <si>
    <t>VP- Communications, USG Corporation</t>
  </si>
  <si>
    <t>Linda</t>
  </si>
  <si>
    <t>Kingman</t>
  </si>
  <si>
    <t>lkingman@golin.com</t>
  </si>
  <si>
    <t>Executive Director</t>
  </si>
  <si>
    <t>Golin</t>
  </si>
  <si>
    <t>233 Lawndale St. 
Wilmette, IL 60091 US</t>
  </si>
  <si>
    <t>Wilmette</t>
  </si>
  <si>
    <t>233 Lawndale St.</t>
  </si>
  <si>
    <t>60091</t>
  </si>
  <si>
    <t>(312) 286-1185</t>
  </si>
  <si>
    <t>VP- Corporate Communications, Kemper Insurance Companies</t>
  </si>
  <si>
    <t>Laura</t>
  </si>
  <si>
    <t>Leber</t>
  </si>
  <si>
    <t>lleber@genomichealth.com</t>
  </si>
  <si>
    <t>Chief Communications Officer</t>
  </si>
  <si>
    <t>Genomic Health, Inc.</t>
  </si>
  <si>
    <t>301 Penobscot Dr 
Redwood City, CA 94063-4700 US</t>
  </si>
  <si>
    <t>Redwood City</t>
  </si>
  <si>
    <t>301 Penobscot Dr</t>
  </si>
  <si>
    <t>94063-4700</t>
  </si>
  <si>
    <t>650-569-2813</t>
  </si>
  <si>
    <t>VP- Corporate Communications, Genentech, Inc.</t>
  </si>
  <si>
    <t>Maril</t>
  </si>
  <si>
    <t>Gagen</t>
  </si>
  <si>
    <t>MacDonald</t>
  </si>
  <si>
    <t>m.macdonald@gagenmac.com</t>
  </si>
  <si>
    <t>Chief Executive Officer</t>
  </si>
  <si>
    <t>Gagen MacDonald</t>
  </si>
  <si>
    <t>35 East Wacker Drive 
Suite 700 
Chicago, IL 60601 US</t>
  </si>
  <si>
    <t>35 East Wacker Drive</t>
  </si>
  <si>
    <t>Suite 700</t>
  </si>
  <si>
    <t>60601</t>
  </si>
  <si>
    <t>(312) 673-7320</t>
  </si>
  <si>
    <t>VP - Corporate Communications, Navistar International Transportation Corporation</t>
  </si>
  <si>
    <t>Ken</t>
  </si>
  <si>
    <t>Kenneth</t>
  </si>
  <si>
    <t>Makovsky</t>
  </si>
  <si>
    <t>kmakovsky@makovsky.com</t>
  </si>
  <si>
    <t>16 East 34th Street 
New York, NY 10016 US</t>
  </si>
  <si>
    <t>16 East 34th Street</t>
  </si>
  <si>
    <t>10016</t>
  </si>
  <si>
    <t>(212) 508-9601</t>
  </si>
  <si>
    <t>President- Makovsky &amp; Company, Inc.</t>
  </si>
  <si>
    <t>G.</t>
  </si>
  <si>
    <t>Margaritis</t>
  </si>
  <si>
    <t>billmargaritis4@gmail.com</t>
  </si>
  <si>
    <t>10091 Bushrod Cv 
Collierville, TN 38017-9188 US</t>
  </si>
  <si>
    <t>Collierville</t>
  </si>
  <si>
    <t>10091 Bushrod Cv</t>
  </si>
  <si>
    <t>38017-9188</t>
  </si>
  <si>
    <t>TN</t>
  </si>
  <si>
    <t>Tennessee</t>
  </si>
  <si>
    <t>(901) 854-0820</t>
  </si>
  <si>
    <t>Home</t>
  </si>
  <si>
    <t>(901) 438-9796</t>
  </si>
  <si>
    <t>Corporate VP, FedEx Corporation</t>
  </si>
  <si>
    <t>Tom</t>
  </si>
  <si>
    <t>Thomas</t>
  </si>
  <si>
    <t>Martin</t>
  </si>
  <si>
    <t>martintr@cofc.edu</t>
  </si>
  <si>
    <t>Executive-in-Residence</t>
  </si>
  <si>
    <t>The College of Charleston</t>
  </si>
  <si>
    <t>64 Sowell Street 
Mt. Pleasant, SC 29464 US</t>
  </si>
  <si>
    <t>Mt. Pleasant</t>
  </si>
  <si>
    <t>64 Sowell Street</t>
  </si>
  <si>
    <t>29464</t>
  </si>
  <si>
    <t>SC</t>
  </si>
  <si>
    <t>South Carolina</t>
  </si>
  <si>
    <t>(203) 615-2477</t>
  </si>
  <si>
    <t>(843) 971-3939</t>
  </si>
  <si>
    <t>VP- Corporate Communications, FedEx Corporation</t>
  </si>
  <si>
    <t>Dick</t>
  </si>
  <si>
    <t>Mau</t>
  </si>
  <si>
    <t>rmau1@aol.com</t>
  </si>
  <si>
    <t>1497 Caminito Batea 
La Jolla, CA 92037 US</t>
  </si>
  <si>
    <t>La Jolla</t>
  </si>
  <si>
    <t>1497 Caminito Batea</t>
  </si>
  <si>
    <t>92037</t>
  </si>
  <si>
    <t>858-459-3341 (disconnected)</t>
  </si>
  <si>
    <t>VP - Corporate Communications, Rockwell International Corporations</t>
  </si>
  <si>
    <t>Murphy</t>
  </si>
  <si>
    <t>jem@murphyandco.com</t>
  </si>
  <si>
    <t>Chairman and CEO</t>
  </si>
  <si>
    <t>Murphy &amp; Co.</t>
  </si>
  <si>
    <t>2 Vista Drive 
Greenwich, CT 06830 US</t>
  </si>
  <si>
    <t>Greenwich</t>
  </si>
  <si>
    <t>2 Vista Drive</t>
  </si>
  <si>
    <t>06830</t>
  </si>
  <si>
    <t>(203) 988-4738</t>
  </si>
  <si>
    <t>SVP- Communications and Public Affairs, Merrill Lynch &amp; Co.</t>
  </si>
  <si>
    <t>Rich</t>
  </si>
  <si>
    <t>L.</t>
  </si>
  <si>
    <t>Nelson</t>
  </si>
  <si>
    <t>rich.nelson@acco.com</t>
  </si>
  <si>
    <t>Vice President-Corporate Communications</t>
  </si>
  <si>
    <t>ACCO Brands</t>
  </si>
  <si>
    <t>4 Corporate Drive 
Lake Zurich, IL 60047 US</t>
  </si>
  <si>
    <t>Lake Zurich</t>
  </si>
  <si>
    <t>4 Corporate Drive</t>
  </si>
  <si>
    <t>60047</t>
  </si>
  <si>
    <t>847-796-4059</t>
  </si>
  <si>
    <t>847-727-7888</t>
  </si>
  <si>
    <t>VP- Public Relations, The NutraSweet Company</t>
  </si>
  <si>
    <t>Nielsen</t>
  </si>
  <si>
    <t>billnielsen1@yahoo.com</t>
  </si>
  <si>
    <t>bill@wdnielsen.com</t>
  </si>
  <si>
    <t>22101 Grafton Manour Lane 
Wittman, MD 21676 US</t>
  </si>
  <si>
    <t>Wittman</t>
  </si>
  <si>
    <t>22101 Grafton Manour Lane</t>
  </si>
  <si>
    <t>21676</t>
  </si>
  <si>
    <t>(410) 745-5825</t>
  </si>
  <si>
    <t>(410) 745-3914</t>
  </si>
  <si>
    <t>(908) 202-2419</t>
  </si>
  <si>
    <t>VP- Public Relations, Johnson &amp; Johnson</t>
  </si>
  <si>
    <t>Oliver</t>
  </si>
  <si>
    <t>bill@billoliverpa.com</t>
  </si>
  <si>
    <t>Bill Oliver Public Affairs</t>
  </si>
  <si>
    <t>200 Jockey Hollow Rd 
Bernardsville, NJ 07924 US</t>
  </si>
  <si>
    <t>Bernardsville</t>
  </si>
  <si>
    <t>200 Jockey Hollow Rd</t>
  </si>
  <si>
    <t>07924</t>
  </si>
  <si>
    <t>(908) 204-1372</t>
  </si>
  <si>
    <t>(908) 432-6957</t>
  </si>
  <si>
    <t>VP- Communications, Weyerhaeuser Company</t>
  </si>
  <si>
    <t>Mike</t>
  </si>
  <si>
    <t>Michael</t>
  </si>
  <si>
    <t>O'Neill</t>
  </si>
  <si>
    <t>mike.oneill@aexp.com</t>
  </si>
  <si>
    <t>EVP, Corporate Affairs and Communications</t>
  </si>
  <si>
    <t>American Express Company</t>
  </si>
  <si>
    <t>Eligible</t>
  </si>
  <si>
    <t>200 Vesey Street 
48th Floor 
New York, NY 10285 US</t>
  </si>
  <si>
    <t>200 Vesey Street</t>
  </si>
  <si>
    <t>48th Floor</t>
  </si>
  <si>
    <t>10285</t>
  </si>
  <si>
    <t>212.640.5951</t>
  </si>
  <si>
    <t>Jon C. Iwata</t>
  </si>
  <si>
    <t>Roger Bolton</t>
  </si>
  <si>
    <t>SVP, Corporate Affairs and Communications, American Express</t>
  </si>
  <si>
    <t>C.</t>
  </si>
  <si>
    <t>Onoda</t>
  </si>
  <si>
    <t>j.onoda@gagenmac.com</t>
  </si>
  <si>
    <t>john.onoda@fleishman.com</t>
  </si>
  <si>
    <t>Consultant</t>
  </si>
  <si>
    <t>(312) 952-3497</t>
  </si>
  <si>
    <t>(925) 376-2339</t>
  </si>
  <si>
    <t>VP - Corporate Communications Levi Strauss &amp; Company</t>
  </si>
  <si>
    <t>Scofield</t>
  </si>
  <si>
    <t>O'Rourke</t>
  </si>
  <si>
    <t>jorourke@nd.edu</t>
  </si>
  <si>
    <t>jsorourke@comcast.net</t>
  </si>
  <si>
    <t>Professor and Director - The Eugene D. Fanning Center</t>
  </si>
  <si>
    <t>University of Notre Dame</t>
  </si>
  <si>
    <t>234 Mendoza College Of Business 
Notre Dame, IN 46556 US</t>
  </si>
  <si>
    <t>Notre Dame</t>
  </si>
  <si>
    <t>234 Mendoza College Of Business</t>
  </si>
  <si>
    <t>46556</t>
  </si>
  <si>
    <t>IN</t>
  </si>
  <si>
    <t>Indiana</t>
  </si>
  <si>
    <t>(574) 631-4827</t>
  </si>
  <si>
    <t>(574) 631-8397</t>
  </si>
  <si>
    <t>Associate Professor of Business and Director of the Eugene D. Fanning Center for Business Communication, University of Notre Dame</t>
  </si>
  <si>
    <t>Charlotte</t>
  </si>
  <si>
    <t>Otto</t>
  </si>
  <si>
    <t>charrotto@gmail.com</t>
  </si>
  <si>
    <t>Weber Shandwick</t>
  </si>
  <si>
    <t>665 Crystal Cove Trl 
Salem, SC 29676 US</t>
  </si>
  <si>
    <t>Salem</t>
  </si>
  <si>
    <t>665 Crystal Cove Trl</t>
  </si>
  <si>
    <t>29676</t>
  </si>
  <si>
    <t>347-498-4986</t>
  </si>
  <si>
    <t>SVP- Proctor &amp; Gamble</t>
  </si>
  <si>
    <t>Frank</t>
  </si>
  <si>
    <t>Ovaitt</t>
  </si>
  <si>
    <t>frankov8@outlook.com</t>
  </si>
  <si>
    <t>frank@instituteforpr.org</t>
  </si>
  <si>
    <t>CEO Emeritus</t>
  </si>
  <si>
    <t>Institute for Public Relations</t>
  </si>
  <si>
    <t>7726 Crossover Dr 
McLean, VA 22102 US</t>
  </si>
  <si>
    <t>McLean</t>
  </si>
  <si>
    <t>7726 Crossover Dr</t>
  </si>
  <si>
    <t>22102</t>
  </si>
  <si>
    <t>(703) 568-5611</t>
  </si>
  <si>
    <t>VP- Corporate Communications, AT&amp;T Bell Laboratories</t>
  </si>
  <si>
    <t>Ronald</t>
  </si>
  <si>
    <t>Rhody</t>
  </si>
  <si>
    <t>ronrhody@yahoo.com</t>
  </si>
  <si>
    <t>Chief Executive</t>
  </si>
  <si>
    <t>The Rhody Consultancy</t>
  </si>
  <si>
    <t>187 Juniper Creek Boulevard 
Pinehurst, NC 28374 US</t>
  </si>
  <si>
    <t>Pinehurst</t>
  </si>
  <si>
    <t>187 Juniper Creek Boulevard</t>
  </si>
  <si>
    <t>28374</t>
  </si>
  <si>
    <t>NC</t>
  </si>
  <si>
    <t>North Carolina</t>
  </si>
  <si>
    <t>925-788-8396</t>
  </si>
  <si>
    <t>(925) 788-8396</t>
  </si>
  <si>
    <t>EVP - Corporate Communications  Bank of America</t>
  </si>
  <si>
    <t>Ellen</t>
  </si>
  <si>
    <t>Robinson</t>
  </si>
  <si>
    <t>Knoxville</t>
  </si>
  <si>
    <t>Samson</t>
  </si>
  <si>
    <t>DaveSamson@chevron.com</t>
  </si>
  <si>
    <t>davesamson@chevron.com</t>
  </si>
  <si>
    <t>General Manager, Public Affairs</t>
  </si>
  <si>
    <t>Chevron</t>
  </si>
  <si>
    <t>6101 Bollinger Canyon Road, Room 3288 
San Ramon, CA 94583-2324 US</t>
  </si>
  <si>
    <t>San Ramon</t>
  </si>
  <si>
    <t>6101 Bollinger Canyon Road, Room 3288</t>
  </si>
  <si>
    <t>94583-2324</t>
  </si>
  <si>
    <t>(925) 842-8848</t>
  </si>
  <si>
    <t>John C. Onoda</t>
  </si>
  <si>
    <t>VP- Worldwide Communications, Levi Strauss &amp; Company</t>
  </si>
  <si>
    <t>Russell</t>
  </si>
  <si>
    <t>Savage</t>
  </si>
  <si>
    <t>savage403@comcast.net</t>
  </si>
  <si>
    <t>AT&amp;T Bell Laboratories</t>
  </si>
  <si>
    <t>Page (Life)</t>
  </si>
  <si>
    <t>Life</t>
  </si>
  <si>
    <t>2737 Devonshire Place NW 
Apt. 403 
Washington, DC 20008 US</t>
  </si>
  <si>
    <t>Washington</t>
  </si>
  <si>
    <t>2737 Devonshire Place NW</t>
  </si>
  <si>
    <t>Apt. 403</t>
  </si>
  <si>
    <t>20008</t>
  </si>
  <si>
    <t>DC</t>
  </si>
  <si>
    <t>District Of Columbia</t>
  </si>
  <si>
    <t>202-387-0207</t>
  </si>
  <si>
    <t>(202) 387-0207</t>
  </si>
  <si>
    <t>Executive Director - Public Relations, AT&amp;T Bell Laboratories</t>
  </si>
  <si>
    <t>Shelley</t>
  </si>
  <si>
    <t>Spector</t>
  </si>
  <si>
    <t>shelley@spectorpr.com</t>
  </si>
  <si>
    <t>Spector &amp; Associates, Inc.</t>
  </si>
  <si>
    <t>61 Broadway Rm 1050 
New York, NY 10006-2729 US</t>
  </si>
  <si>
    <t>61 Broadway Rm 1050</t>
  </si>
  <si>
    <t>10006-2729</t>
  </si>
  <si>
    <t>(212) 943-5858</t>
  </si>
  <si>
    <t>(973) 327-2475</t>
  </si>
  <si>
    <t>(917) 680-9292</t>
  </si>
  <si>
    <t>President Spector &amp; Associates</t>
  </si>
  <si>
    <t>Art</t>
  </si>
  <si>
    <t>Stevens</t>
  </si>
  <si>
    <t>art@theartstevensgroup.com</t>
  </si>
  <si>
    <t>Managing Partner</t>
  </si>
  <si>
    <t>The Stevens Group</t>
  </si>
  <si>
    <t>656 Post Ln 
Somerset, NJ 08873-6060 US</t>
  </si>
  <si>
    <t>Somerset</t>
  </si>
  <si>
    <t>656 Post Ln</t>
  </si>
  <si>
    <t>08873-6060</t>
  </si>
  <si>
    <t>917-514-7980</t>
  </si>
  <si>
    <t>(239) 395-3922</t>
  </si>
  <si>
    <t>Chairman &amp; CEO, Lobsenz Stevens Inc.</t>
  </si>
  <si>
    <t>Kirk</t>
  </si>
  <si>
    <t>T.</t>
  </si>
  <si>
    <t>Stewart</t>
  </si>
  <si>
    <t>kirk@ktstewart.com</t>
  </si>
  <si>
    <t>kstewart43@aol.com</t>
  </si>
  <si>
    <t>CEO</t>
  </si>
  <si>
    <t>KTStewart, LLC</t>
  </si>
  <si>
    <t>723 21st St 
Hermosa Beach, CA 90254-3020 US</t>
  </si>
  <si>
    <t>Hermosa Beach</t>
  </si>
  <si>
    <t>723 21st St</t>
  </si>
  <si>
    <t>90254-3020</t>
  </si>
  <si>
    <t>(503) 705-9702</t>
  </si>
  <si>
    <t>(646) 964-4170</t>
  </si>
  <si>
    <t>Chairman and CEO, Manning Selvage &amp; Lee</t>
  </si>
  <si>
    <t>Kurt</t>
  </si>
  <si>
    <t>Stocker</t>
  </si>
  <si>
    <t>kpstocker@gmail.com</t>
  </si>
  <si>
    <t>imcprof@aol.com</t>
  </si>
  <si>
    <t>Story Trading</t>
  </si>
  <si>
    <t>Useppa Island Club 
Box 640 
Bokeelia, FL 33922 US</t>
  </si>
  <si>
    <t>Bokeelia</t>
  </si>
  <si>
    <t>Useppa Island Club</t>
  </si>
  <si>
    <t>Box 640</t>
  </si>
  <si>
    <t>33922</t>
  </si>
  <si>
    <t>239-281-4719</t>
  </si>
  <si>
    <t>(239) 283-7313</t>
  </si>
  <si>
    <t>SVP- Corporate Relations, United Airlines</t>
  </si>
  <si>
    <t>I.</t>
  </si>
  <si>
    <t>Taylor</t>
  </si>
  <si>
    <t>john.taylor@lge.com</t>
  </si>
  <si>
    <t>Vice President - Public Affairs and Communications</t>
  </si>
  <si>
    <t>LG Electronics</t>
  </si>
  <si>
    <t>2000 Millbrook Drive 
Lincolnshire, IL 60069 US</t>
  </si>
  <si>
    <t>Lincolnshire</t>
  </si>
  <si>
    <t>2000 Millbrook Drive</t>
  </si>
  <si>
    <t>60069</t>
  </si>
  <si>
    <t>847-941-8181</t>
  </si>
  <si>
    <t>847-828-2777</t>
  </si>
  <si>
    <t>VP- Public Affairs and Communications - Zenith Electronics Corporation</t>
  </si>
  <si>
    <t>Tim</t>
  </si>
  <si>
    <t>Traverse-Healy</t>
  </si>
  <si>
    <t>tim.traversehealy@btinternet.com</t>
  </si>
  <si>
    <t>Director</t>
  </si>
  <si>
    <t>Centre for Public Affairs Studies</t>
  </si>
  <si>
    <t>2 Henman Close, Devizes 
Wiltshire, SN10 1HD GB</t>
  </si>
  <si>
    <t>Wiltshire</t>
  </si>
  <si>
    <t>GB</t>
  </si>
  <si>
    <t>United Kingdom</t>
  </si>
  <si>
    <t>2 Henman Close, Devizes</t>
  </si>
  <si>
    <t>SN10 1HD</t>
  </si>
  <si>
    <t>Europe</t>
  </si>
  <si>
    <t>011-44-1380-725459</t>
  </si>
  <si>
    <t>Director, Tim Traverse-Healy Ltd.</t>
  </si>
  <si>
    <t>Kathryn</t>
  </si>
  <si>
    <t>Tunheim</t>
  </si>
  <si>
    <t>ktunheim@tunheim.com</t>
  </si>
  <si>
    <t>Tunheim, Inc.</t>
  </si>
  <si>
    <t>8009 34th Avenue South 
Suite 1100 Riverview Tower 
Minneapolis, MN 55425-1661 US</t>
  </si>
  <si>
    <t>Minneapolis</t>
  </si>
  <si>
    <t>8009 34th Avenue South</t>
  </si>
  <si>
    <t>Suite 1100 Riverview Tower</t>
  </si>
  <si>
    <t>55425-1661</t>
  </si>
  <si>
    <t>952-851-1600</t>
  </si>
  <si>
    <t>612-803-3193</t>
  </si>
  <si>
    <t>President and CEO Tunheim Santrizos</t>
  </si>
  <si>
    <t>Joan</t>
  </si>
  <si>
    <t>Walker</t>
  </si>
  <si>
    <t>joanhwalker1@gmail.com</t>
  </si>
  <si>
    <t>jhwalker@allstate.com</t>
  </si>
  <si>
    <t>850 Riverwoods Rd 
Lake Forest, IL 60045 US</t>
  </si>
  <si>
    <t>Lake Forest</t>
  </si>
  <si>
    <t>850 Riverwoods Rd</t>
  </si>
  <si>
    <t>60045</t>
  </si>
  <si>
    <t>(847) 910-2347</t>
  </si>
  <si>
    <t>(847) 482-1902</t>
  </si>
  <si>
    <t>SVP - Corporate Communications, Ameritech</t>
  </si>
  <si>
    <t>Larry</t>
  </si>
  <si>
    <t>Weber</t>
  </si>
  <si>
    <t>lweber@racepointglobal.com</t>
  </si>
  <si>
    <t>Chairman, Founder</t>
  </si>
  <si>
    <t>Racepoint Global</t>
  </si>
  <si>
    <t>53 State Street 
4th Floor 
Boston, MA 02109 US</t>
  </si>
  <si>
    <t>53 State Street</t>
  </si>
  <si>
    <t>4th Floor</t>
  </si>
  <si>
    <t>02109</t>
  </si>
  <si>
    <t>617-835-8027</t>
  </si>
  <si>
    <t>Diane G. Lofgren</t>
  </si>
  <si>
    <t>Andy S. Polansky</t>
  </si>
  <si>
    <t>Dennis</t>
  </si>
  <si>
    <t>Wilcox</t>
  </si>
  <si>
    <t>denniswilcox@msn.com</t>
  </si>
  <si>
    <t>Professor Emeritus of Public Relations</t>
  </si>
  <si>
    <t>San Jose State University</t>
  </si>
  <si>
    <t>1740 Marina Way 
San Jose, CA 95125 US</t>
  </si>
  <si>
    <t>San Jose</t>
  </si>
  <si>
    <t>1740 Marina Way</t>
  </si>
  <si>
    <t>95125</t>
  </si>
  <si>
    <t>4082650934</t>
  </si>
  <si>
    <t>Professor and Coordinator of the Public Relations Degree Program, School of Journalism &amp; Mass Communications, San Jose University</t>
  </si>
  <si>
    <t>Don</t>
  </si>
  <si>
    <t>K.</t>
  </si>
  <si>
    <t>Wright</t>
  </si>
  <si>
    <t>donaldkwright@aol.com</t>
  </si>
  <si>
    <t>Harold Burson Professor and Chair in Public Relations</t>
  </si>
  <si>
    <t>PO Box 673 
Amesbury, MA 01913 US</t>
  </si>
  <si>
    <t>Amesbury</t>
  </si>
  <si>
    <t>PO Box 673</t>
  </si>
  <si>
    <t>01913</t>
  </si>
  <si>
    <t>(617) 306-4006</t>
  </si>
  <si>
    <t>Professor and Department Chair - University of South Alabama</t>
  </si>
  <si>
    <t>Bob</t>
  </si>
  <si>
    <t>Robert</t>
  </si>
  <si>
    <t>DeFillippo</t>
  </si>
  <si>
    <t>bobdefillippo@gmail.com</t>
  </si>
  <si>
    <t>Zito Partners</t>
  </si>
  <si>
    <t>14 Deer Ln 
Succasunna, NJ 07876-1153 US</t>
  </si>
  <si>
    <t>Succasunna</t>
  </si>
  <si>
    <t>14 Deer Ln</t>
  </si>
  <si>
    <t>07876-1153</t>
  </si>
  <si>
    <t>973-219-4950</t>
  </si>
  <si>
    <t>973-252-0385</t>
  </si>
  <si>
    <t>VP- Corporate Public Relations Prudential Insurance Company of America</t>
  </si>
  <si>
    <t>Steve</t>
  </si>
  <si>
    <t>Harris</t>
  </si>
  <si>
    <t>sharriscomms@aol.com</t>
  </si>
  <si>
    <t>Partner</t>
  </si>
  <si>
    <t>McGinn &amp; Company</t>
  </si>
  <si>
    <t>62 Grey Wolf 
Santa Fe, NM 87506 US</t>
  </si>
  <si>
    <t>Santa Fe</t>
  </si>
  <si>
    <t>62 Grey Wolf</t>
  </si>
  <si>
    <t>87506</t>
  </si>
  <si>
    <t>NM</t>
  </si>
  <si>
    <t>New Mexico</t>
  </si>
  <si>
    <t>(505) 992-6887</t>
  </si>
  <si>
    <t>(248) 645-2770</t>
  </si>
  <si>
    <t>(248) 835-6960</t>
  </si>
  <si>
    <t>SVP- Communications, DaimlerChrysler Corporation</t>
  </si>
  <si>
    <t>Judith</t>
  </si>
  <si>
    <t>Muhlberg</t>
  </si>
  <si>
    <t>j.muhlberg@gagenmac.com</t>
  </si>
  <si>
    <t>jmuhlberg@gmail.com</t>
  </si>
  <si>
    <t>839 Towlston Road 
McLean, VA 22102-1022 US</t>
  </si>
  <si>
    <t>839 Towlston Road</t>
  </si>
  <si>
    <t>22102-1022</t>
  </si>
  <si>
    <t>(703) 231-3609</t>
  </si>
  <si>
    <t>(703) 272-8855</t>
  </si>
  <si>
    <t>Robert Woodrum</t>
  </si>
  <si>
    <t>VP- Communications, The Boeing Company</t>
  </si>
  <si>
    <t>Kevin</t>
  </si>
  <si>
    <t>Ramundo</t>
  </si>
  <si>
    <t>ramundok@gmail.com</t>
  </si>
  <si>
    <t>9757 Elmwood Rd 
Upperville, VA 20184-1709 US</t>
  </si>
  <si>
    <t>Upperville</t>
  </si>
  <si>
    <t>9757 Elmwood Rd</t>
  </si>
  <si>
    <t>20184-1709</t>
  </si>
  <si>
    <t>(704) 965-2424</t>
  </si>
  <si>
    <t>VP- Public Affairs and Investor Relations, Coltec Industries, Inc.</t>
  </si>
  <si>
    <t>Valerie</t>
  </si>
  <si>
    <t>Di Maria</t>
  </si>
  <si>
    <t>valerie.dimaria@the10company.com</t>
  </si>
  <si>
    <t>valerie.dimaria@earthlink.net</t>
  </si>
  <si>
    <t>The10company</t>
  </si>
  <si>
    <t>230 Park Ave So., 6th Floor 
New York, NY 10003 US</t>
  </si>
  <si>
    <t>230 Park Ave So., 6th Floor</t>
  </si>
  <si>
    <t>10003</t>
  </si>
  <si>
    <t>(212) 614-4408</t>
  </si>
  <si>
    <t>(203) 979-6162</t>
  </si>
  <si>
    <t>VP- Corporate Public Relations and Advertising, GE Capital</t>
  </si>
  <si>
    <t>Jernstedt</t>
  </si>
  <si>
    <t>rich@jernstedt.com</t>
  </si>
  <si>
    <t>rich.jernstedt@gmail.com</t>
  </si>
  <si>
    <t>The Jernstedt Company</t>
  </si>
  <si>
    <t>1212 N. Lake Shore Dr 26as 
Chicago, IL 60610 US</t>
  </si>
  <si>
    <t>1212 N. Lake Shore Dr 26as</t>
  </si>
  <si>
    <t>60610</t>
  </si>
  <si>
    <t>(312) 771-4400</t>
  </si>
  <si>
    <t>(312) 944-9540</t>
  </si>
  <si>
    <t>Al Golin</t>
  </si>
  <si>
    <t>James E. Murphy</t>
  </si>
  <si>
    <t>CEO, Golin/Harris International</t>
  </si>
  <si>
    <t>Anne</t>
  </si>
  <si>
    <t>McCarthy</t>
  </si>
  <si>
    <t>anne@westmeathinc.com</t>
  </si>
  <si>
    <t>anne.mccarthy@westmeathcommunications.com</t>
  </si>
  <si>
    <t>Founder and President</t>
  </si>
  <si>
    <t>217 Hidden Valley Lane 
Castle Rock, CO 80108 US</t>
  </si>
  <si>
    <t>Castle Rock</t>
  </si>
  <si>
    <t>217 Hidden Valley Lane</t>
  </si>
  <si>
    <t>80108</t>
  </si>
  <si>
    <t>CO</t>
  </si>
  <si>
    <t>Colorado</t>
  </si>
  <si>
    <t>(303) 663-1013</t>
  </si>
  <si>
    <t>(303) 663-1077</t>
  </si>
  <si>
    <t>(303) 506-2084</t>
  </si>
  <si>
    <t>Senior Vice President - SAP  AG / Global Communications</t>
  </si>
  <si>
    <t>Stacks</t>
  </si>
  <si>
    <t>dstacks@aol.com</t>
  </si>
  <si>
    <t>don.stacks@miami.edu</t>
  </si>
  <si>
    <t>University of Miami</t>
  </si>
  <si>
    <t>10410 S Ocean Dr Apt 302 
Jensen Beach, FL 34957-2506 US</t>
  </si>
  <si>
    <t>Jensen Beach</t>
  </si>
  <si>
    <t>10410 S Ocean Dr Apt 302</t>
  </si>
  <si>
    <t>34957-2506</t>
  </si>
  <si>
    <t>(786) 457-4710</t>
  </si>
  <si>
    <t>(305) 383-1776</t>
  </si>
  <si>
    <t>Don K. Wright</t>
  </si>
  <si>
    <t>Clarke L. Caywood</t>
  </si>
  <si>
    <t>Professor of Communication, Director, Program in Advertising &amp; PR School of Communications University of Miami</t>
  </si>
  <si>
    <t>Peter</t>
  </si>
  <si>
    <t>Debreceny</t>
  </si>
  <si>
    <t>peter@peterdebreceny.com</t>
  </si>
  <si>
    <t>1512 N Hoyne Ave   
Chicago, IL 60622-1804 US</t>
  </si>
  <si>
    <t>1512 N Hoyne Ave</t>
  </si>
  <si>
    <t>60622-1804</t>
  </si>
  <si>
    <t>(312) 391-5927</t>
  </si>
  <si>
    <t>VP- Allstate Insurance Co.</t>
  </si>
  <si>
    <t>Fitzpatrick</t>
  </si>
  <si>
    <t>kfitzpat@american.edu</t>
  </si>
  <si>
    <t>krfitzpatrick@cox.net</t>
  </si>
  <si>
    <t>Professor and Former Senior Associate Dean for Academic Affairs, Professor of Public Communication</t>
  </si>
  <si>
    <t>American University</t>
  </si>
  <si>
    <t>School of Communication 
4000 Massachusetts Avenue, NW 
Washington, DC 20016-8017 US</t>
  </si>
  <si>
    <t>School of Communication</t>
  </si>
  <si>
    <t>4000 Massachusetts Avenue, NW</t>
  </si>
  <si>
    <t>20016-8017</t>
  </si>
  <si>
    <t>(202) 885-2017</t>
  </si>
  <si>
    <t>Associate Professor- Public Relations, Southern Methodist University</t>
  </si>
  <si>
    <t>Maria</t>
  </si>
  <si>
    <t>mprussel@syr.edu</t>
  </si>
  <si>
    <t>Professor of Public Relations and Director, Education Programs</t>
  </si>
  <si>
    <t>Syracuse University</t>
  </si>
  <si>
    <t>215 University Pl 
Syracuse, NY 13244-0001 US</t>
  </si>
  <si>
    <t>Syracuse</t>
  </si>
  <si>
    <t>215 University Pl</t>
  </si>
  <si>
    <t>13244-0001</t>
  </si>
  <si>
    <t>315-443-4066</t>
  </si>
  <si>
    <t>315-445-2666</t>
  </si>
  <si>
    <t>Professor and Chair - Public Relations Department S.I. Newhouse School of Public Communications</t>
  </si>
  <si>
    <t>Feldman</t>
  </si>
  <si>
    <t>bfeldman@pulsepointgroup.com</t>
  </si>
  <si>
    <t>PulsePoint Group</t>
  </si>
  <si>
    <t>2049 Century Park East 
Los Angeles, CA 90067 US</t>
  </si>
  <si>
    <t>Los Angeles</t>
  </si>
  <si>
    <t>2049 Century Park East</t>
  </si>
  <si>
    <t>90067</t>
  </si>
  <si>
    <t>(310) 360-0211</t>
  </si>
  <si>
    <t>(310) 659-2539</t>
  </si>
  <si>
    <t>(310) 871-1555</t>
  </si>
  <si>
    <t>CEO GCI Group</t>
  </si>
  <si>
    <t>Tricia</t>
  </si>
  <si>
    <t>Patricia</t>
  </si>
  <si>
    <t>Bergeron</t>
  </si>
  <si>
    <t>tricia.bergeron@att.net</t>
  </si>
  <si>
    <t>3289 Duke Circle 
Germantown, TN 38139 US</t>
  </si>
  <si>
    <t>Germantown</t>
  </si>
  <si>
    <t>3289 Duke Circle</t>
  </si>
  <si>
    <t>38139</t>
  </si>
  <si>
    <t>901-277-6868</t>
  </si>
  <si>
    <t>Vice President - Investor and Corporate Relations Thomas &amp; Betts, Corporation.</t>
  </si>
  <si>
    <t>Capelli</t>
  </si>
  <si>
    <t>paul.capelli@phil.frb.org</t>
  </si>
  <si>
    <t>paulcapelli@yahoo.com</t>
  </si>
  <si>
    <t>VP Public Affairs</t>
  </si>
  <si>
    <t>Federal Reserve Bank of Philadelphia</t>
  </si>
  <si>
    <t>Government Other</t>
  </si>
  <si>
    <t>10 Independence Mall   
Philadelphia, PA 19106-1521 US</t>
  </si>
  <si>
    <t>Philadelphia</t>
  </si>
  <si>
    <t>10 Independence Mall</t>
  </si>
  <si>
    <t>19106-1521</t>
  </si>
  <si>
    <t>PA</t>
  </si>
  <si>
    <t>Pennsylvania</t>
  </si>
  <si>
    <t>(508) 728-1271</t>
  </si>
  <si>
    <t>Mobile</t>
  </si>
  <si>
    <t>(215) 574-4197</t>
  </si>
  <si>
    <t>VP- Public Relations, CNBC</t>
  </si>
  <si>
    <t>Simon</t>
  </si>
  <si>
    <t>jimsimon2051@gmail.com</t>
  </si>
  <si>
    <t>JamesSimon@aol.com; simonj@battelle.org</t>
  </si>
  <si>
    <t>Simon &amp; Associates</t>
  </si>
  <si>
    <t>829 Bethel Rd # 160 # 160 
Columbus, OH 43214-1903 US</t>
  </si>
  <si>
    <t>Columbus</t>
  </si>
  <si>
    <t>829 Bethel Rd # 160 # 160</t>
  </si>
  <si>
    <t>43214-1903</t>
  </si>
  <si>
    <t>(614) 581-5638</t>
  </si>
  <si>
    <t>(614) 580-6862</t>
  </si>
  <si>
    <t>SVP and CCO - Cardinal Health, Inc.</t>
  </si>
  <si>
    <t>Jon</t>
  </si>
  <si>
    <t>Iwata</t>
  </si>
  <si>
    <t>jon.iwata@gmail.com</t>
  </si>
  <si>
    <t>morrison@us.ibm.com</t>
  </si>
  <si>
    <t>Executive in Residence</t>
  </si>
  <si>
    <t>Yale University</t>
  </si>
  <si>
    <t>26 Stoney Wylde Ln   
Greenwich, CT 06830-3408 US</t>
  </si>
  <si>
    <t>26 Stoney Wylde Ln</t>
  </si>
  <si>
    <t>06830-3408</t>
  </si>
  <si>
    <t>(914) 494-6686</t>
  </si>
  <si>
    <t>Senior Vice President, Communications for IBM Corporation</t>
  </si>
  <si>
    <t>Parnell</t>
  </si>
  <si>
    <t>lparnell@gwu.edu</t>
  </si>
  <si>
    <t>Associate Professor</t>
  </si>
  <si>
    <t>George Washington University</t>
  </si>
  <si>
    <t>1925 Ballenger Street 
Suite 250 
Alexandria, VA 22314 US</t>
  </si>
  <si>
    <t>Alexandria</t>
  </si>
  <si>
    <t>1925 Ballenger Street</t>
  </si>
  <si>
    <t>Suite 250</t>
  </si>
  <si>
    <t>22314</t>
  </si>
  <si>
    <t>(703) 299-4150</t>
  </si>
  <si>
    <t>(571) 334-6872</t>
  </si>
  <si>
    <t>David R. Drobis</t>
  </si>
  <si>
    <t>Thomas R. Martin</t>
  </si>
  <si>
    <t>Director- Global Public Relations, Ernst &amp; Young</t>
  </si>
  <si>
    <t>Spangler</t>
  </si>
  <si>
    <t>jspangs1@gmail.com</t>
  </si>
  <si>
    <t>Founder and Senior Corporate Communications and Government Relations</t>
  </si>
  <si>
    <t>FoxBarry Communications</t>
  </si>
  <si>
    <t>2701 Navistar Dr 
7-315 
Lisle, IL 60532-3637 US</t>
  </si>
  <si>
    <t>Lisle</t>
  </si>
  <si>
    <t>2701 Navistar Dr</t>
  </si>
  <si>
    <t>7-315</t>
  </si>
  <si>
    <t>60532-3637</t>
  </si>
  <si>
    <t>(331) 332-5833</t>
  </si>
  <si>
    <t>(331) 223-1501</t>
  </si>
  <si>
    <t>William Adams</t>
  </si>
  <si>
    <t>Matthew P. Gonring</t>
  </si>
  <si>
    <t>VP- Corporate Communications, Tenneco Automotive</t>
  </si>
  <si>
    <t>Mattia</t>
  </si>
  <si>
    <t>tommattia@me.com</t>
  </si>
  <si>
    <t>1303 Robert E Lee Road #12 
Austin, TX 78704 US</t>
  </si>
  <si>
    <t>Austin</t>
  </si>
  <si>
    <t>1303 Robert E Lee Road #12</t>
  </si>
  <si>
    <t>78704</t>
  </si>
  <si>
    <t>TX</t>
  </si>
  <si>
    <t>Texas</t>
  </si>
  <si>
    <t>404-433-3524</t>
  </si>
  <si>
    <t>1-404-433-3524</t>
  </si>
  <si>
    <t>Steve J. Harris</t>
  </si>
  <si>
    <t>E. Ronald Culp</t>
  </si>
  <si>
    <t>VP- Global Communications, Electronic Data Systems</t>
  </si>
  <si>
    <t>Marshall</t>
  </si>
  <si>
    <t>richard.marshall@kornferry.com</t>
  </si>
  <si>
    <t>Managing Director, Corporate Affairs Practice</t>
  </si>
  <si>
    <t>Korn Ferry International</t>
  </si>
  <si>
    <t>Page (Executive Search)</t>
  </si>
  <si>
    <t>Executive Search</t>
  </si>
  <si>
    <t>200 Park Avenue 33rd Floor 
New York, NY 10166 US</t>
  </si>
  <si>
    <t>200 Park Avenue 33rd Floor</t>
  </si>
  <si>
    <t>10166</t>
  </si>
  <si>
    <t>(212) 973-5816</t>
  </si>
  <si>
    <t>(678) 640-8286</t>
  </si>
  <si>
    <t>Director - Worldwide Public Relations, Silicon Graphics</t>
  </si>
  <si>
    <t>B</t>
  </si>
  <si>
    <t>Kalupa</t>
  </si>
  <si>
    <t>fbkalupa@aol.com</t>
  </si>
  <si>
    <t>fbkalupa@gmail.com</t>
  </si>
  <si>
    <t>Director, Strategic Leadership Communication</t>
  </si>
  <si>
    <t>Air University</t>
  </si>
  <si>
    <t>608 Blakeley Court, 9 
School of Communications (MSC 2106) 
Prattville, AL 36066 US</t>
  </si>
  <si>
    <t>Prattville</t>
  </si>
  <si>
    <t>608 Blakeley Court, 9</t>
  </si>
  <si>
    <t>School of Communications (MSC 2106)</t>
  </si>
  <si>
    <t>36066</t>
  </si>
  <si>
    <t>AL</t>
  </si>
  <si>
    <t>Alabama</t>
  </si>
  <si>
    <t>512-415-7328</t>
  </si>
  <si>
    <t>(512) 415-7328</t>
  </si>
  <si>
    <t>David F. Demarest</t>
  </si>
  <si>
    <t>Richard R. Mau</t>
  </si>
  <si>
    <t>Director San Francisco Academy</t>
  </si>
  <si>
    <t>Kim</t>
  </si>
  <si>
    <t>Kimberly</t>
  </si>
  <si>
    <t>Welch</t>
  </si>
  <si>
    <t>kimberlywelch@comcast.net</t>
  </si>
  <si>
    <t>kwelch@intevaproducts.com</t>
  </si>
  <si>
    <t>Vice President, Enterprise Communications &amp; Corporate Social Responsibility</t>
  </si>
  <si>
    <t>100 Fourth Avenue North 
Bayport, MN 55003 US</t>
  </si>
  <si>
    <t>Bayport</t>
  </si>
  <si>
    <t>100 Fourth Avenue North</t>
  </si>
  <si>
    <t>55003</t>
  </si>
  <si>
    <t>(651) 264-2930</t>
  </si>
  <si>
    <t>(248) 535-4528</t>
  </si>
  <si>
    <t>(612) 401-9694</t>
  </si>
  <si>
    <t>Marci Kaminsky</t>
  </si>
  <si>
    <t>Maril G. MacDonald</t>
  </si>
  <si>
    <t>VP - Corporate Communications, Federal-Mogul Corporation</t>
  </si>
  <si>
    <t>Rick</t>
  </si>
  <si>
    <t>White</t>
  </si>
  <si>
    <t>rjwhite23@gmail.com</t>
  </si>
  <si>
    <t>The University of North Carolina at Chapel Hill</t>
  </si>
  <si>
    <t>In Transition</t>
  </si>
  <si>
    <t>Whitehead Hall 101 McCauley St. 
Chapel Hill, NC 27599-6210 US</t>
  </si>
  <si>
    <t>Chapel Hill</t>
  </si>
  <si>
    <t>Whitehead Hall 101 McCauley St.</t>
  </si>
  <si>
    <t>27599-6210</t>
  </si>
  <si>
    <t>(919) 962-1221</t>
  </si>
  <si>
    <t>(414) 332-9268</t>
  </si>
  <si>
    <t>(919) 999-0773</t>
  </si>
  <si>
    <t>Ellen Robinson</t>
  </si>
  <si>
    <t>VP - Corporation Communications, Wisconsin Energy Corporation</t>
  </si>
  <si>
    <t>Perry</t>
  </si>
  <si>
    <t>Yeatman</t>
  </si>
  <si>
    <t>perry@yeatmanglobal.com</t>
  </si>
  <si>
    <t>perry@yrcareeryrterms.com</t>
  </si>
  <si>
    <t>Founder - Your Career, Your Terms/CEO - Perry Yeatman Global Partners LLC/External Director - Missio</t>
  </si>
  <si>
    <t>625 Beach Dr   
Annapolis, MD 21403-4103 US</t>
  </si>
  <si>
    <t>Annapolis</t>
  </si>
  <si>
    <t>625 Beach Dr</t>
  </si>
  <si>
    <t>21403-4103</t>
  </si>
  <si>
    <t>(847) 224-2516</t>
  </si>
  <si>
    <t>(847) 256-3442</t>
  </si>
  <si>
    <t>Christopher Komisarjevsky</t>
  </si>
  <si>
    <t>VP - Corporate Affairs, Unilever Home and Personal Care - North America</t>
  </si>
  <si>
    <t>George</t>
  </si>
  <si>
    <t>Jamison</t>
  </si>
  <si>
    <t>gjamison@spencerstuart.com</t>
  </si>
  <si>
    <t>Spencer Stuart</t>
  </si>
  <si>
    <t>Executive Search Non</t>
  </si>
  <si>
    <t>281 Tresser Blvd Fl 14 
Stamford, CT 06901-3284 US</t>
  </si>
  <si>
    <t>Stamford</t>
  </si>
  <si>
    <t>281 Tresser Blvd Fl 14</t>
  </si>
  <si>
    <t>06901-3284</t>
  </si>
  <si>
    <t>(203) 326-3731</t>
  </si>
  <si>
    <t>(310) 265-9222</t>
  </si>
  <si>
    <t>Richard Kline</t>
  </si>
  <si>
    <t>James Arnold</t>
  </si>
  <si>
    <t>VP - Corporate Communications, Hughes Electronics Corporation</t>
  </si>
  <si>
    <t>Vicky</t>
  </si>
  <si>
    <t>Victoria</t>
  </si>
  <si>
    <t>Dinges</t>
  </si>
  <si>
    <t>victoria.dinges@allstate.com</t>
  </si>
  <si>
    <t>vding@allstate.com</t>
  </si>
  <si>
    <t>Senior Vice President, Enterprise, Corporate Responsibility and Business to Business Communications</t>
  </si>
  <si>
    <t>Allstate</t>
  </si>
  <si>
    <t>2775 Sanders Rd. Ste F4 
Northbrook, IL 60062 US</t>
  </si>
  <si>
    <t>Northbrook</t>
  </si>
  <si>
    <t>2775 Sanders Rd. Ste F4</t>
  </si>
  <si>
    <t>60062</t>
  </si>
  <si>
    <t>(847) 402-1517</t>
  </si>
  <si>
    <t>(847) 864-6815</t>
  </si>
  <si>
    <t>(630) 698-0645</t>
  </si>
  <si>
    <t>Anne M. McCarthy</t>
  </si>
  <si>
    <t>SVP - Corporate Communications RR Donnelley and Sons Company</t>
  </si>
  <si>
    <t>Susan</t>
  </si>
  <si>
    <t>Hoff</t>
  </si>
  <si>
    <t>susan@fantesca.com</t>
  </si>
  <si>
    <t>Co-Founder &amp; CEO</t>
  </si>
  <si>
    <t>Fantesca Estate &amp; Winery</t>
  </si>
  <si>
    <t>2920 Spring Mountain Road 
Saint Helena, CA 94574 US</t>
  </si>
  <si>
    <t>Saint Helena</t>
  </si>
  <si>
    <t>2920 Spring Mountain Road</t>
  </si>
  <si>
    <t>94574</t>
  </si>
  <si>
    <t>7079689141</t>
  </si>
  <si>
    <t>(952) 496-9611</t>
  </si>
  <si>
    <t>707-968-9229</t>
  </si>
  <si>
    <t>Ann Barkelew</t>
  </si>
  <si>
    <t>Bradley Allen</t>
  </si>
  <si>
    <t>SVP &amp; CEO - Best Buy Company, Inc.</t>
  </si>
  <si>
    <t>Mark</t>
  </si>
  <si>
    <t>Bain</t>
  </si>
  <si>
    <t>mark@upper90consulting.com</t>
  </si>
  <si>
    <t>markbainconsultingllc@yahoo.com</t>
  </si>
  <si>
    <t>PO Box 798 
Ada, MI 49301 US</t>
  </si>
  <si>
    <t>Ada</t>
  </si>
  <si>
    <t>PO Box 798</t>
  </si>
  <si>
    <t>49301</t>
  </si>
  <si>
    <t>MI</t>
  </si>
  <si>
    <t>Michigan</t>
  </si>
  <si>
    <t>(616) 401-5260</t>
  </si>
  <si>
    <t>(616) 682-0866</t>
  </si>
  <si>
    <t>William G. Margaritis</t>
  </si>
  <si>
    <t>VP - Corporate Communications, Alticor Inc.</t>
  </si>
  <si>
    <t>Shelly</t>
  </si>
  <si>
    <t>London</t>
  </si>
  <si>
    <t>shellylondon@att.net</t>
  </si>
  <si>
    <t>333 Rector Pl Apt 1108 
New York, NY 10280-1220 US</t>
  </si>
  <si>
    <t>333 Rector Pl Apt 1108</t>
  </si>
  <si>
    <t>10280-1220</t>
  </si>
  <si>
    <t>973-635-0987</t>
  </si>
  <si>
    <t>917-742-5746</t>
  </si>
  <si>
    <t>VP - Communications, American Standard</t>
  </si>
  <si>
    <t>Chuck</t>
  </si>
  <si>
    <t>Charles</t>
  </si>
  <si>
    <t>Greener</t>
  </si>
  <si>
    <t>chuck.greener@wba.com</t>
  </si>
  <si>
    <t>maureen.pfeil@walgreens.com</t>
  </si>
  <si>
    <t>SVP, Global Communications and Public Affairs</t>
  </si>
  <si>
    <t>Walgreens Boots Alliance</t>
  </si>
  <si>
    <t>1399 New York Avenue, NW 
Suite 725 
Washington, DC 20005 US</t>
  </si>
  <si>
    <t>1399 New York Avenue, NW</t>
  </si>
  <si>
    <t>Suite 725</t>
  </si>
  <si>
    <t>20005</t>
  </si>
  <si>
    <t>202.942.7227</t>
  </si>
  <si>
    <t>224-544-5225</t>
  </si>
  <si>
    <t>224.565.2097</t>
  </si>
  <si>
    <t>Larry Speakes</t>
  </si>
  <si>
    <t>VP - Communications, Fannie Mae</t>
  </si>
  <si>
    <t>Grupp</t>
  </si>
  <si>
    <t>bob@gruppglobal.com</t>
  </si>
  <si>
    <t>rwgrupp@aol.com</t>
  </si>
  <si>
    <t>President (and Director of Global Strategic Communication Graduate Program, University of Florida)</t>
  </si>
  <si>
    <t>Grupp Global Partners LLC</t>
  </si>
  <si>
    <t>112 Peterson Lane 
Palm Harbor, FL 34683 US</t>
  </si>
  <si>
    <t>Palm Harbor</t>
  </si>
  <si>
    <t>112 Peterson Lane</t>
  </si>
  <si>
    <t>34683</t>
  </si>
  <si>
    <t>(484) 557-8401</t>
  </si>
  <si>
    <t>(727) 787-4308</t>
  </si>
  <si>
    <t>Frank Ovaitt</t>
  </si>
  <si>
    <t>VP - Corporate Communications, Cephalon, Inc.</t>
  </si>
  <si>
    <t>Lou</t>
  </si>
  <si>
    <t>Louis</t>
  </si>
  <si>
    <t>Capozzi</t>
  </si>
  <si>
    <t>lcapozzi@mac.com</t>
  </si>
  <si>
    <t>lc96@nyu.edu</t>
  </si>
  <si>
    <t>3735 NW Junegrass Ct 
Bend, OR 97703-6600 US</t>
  </si>
  <si>
    <t>Bend</t>
  </si>
  <si>
    <t>3735 NW Junegrass Ct</t>
  </si>
  <si>
    <t>97703-6600</t>
  </si>
  <si>
    <t>OR</t>
  </si>
  <si>
    <t>Oregon</t>
  </si>
  <si>
    <t>917.443.2462</t>
  </si>
  <si>
    <t>(973) 209-6233</t>
  </si>
  <si>
    <t>917-443-2462</t>
  </si>
  <si>
    <t>Kirk T. Stewart</t>
  </si>
  <si>
    <t>Chairman &amp; CEO - Manning, Selvage &amp; Lee</t>
  </si>
  <si>
    <t>Jan</t>
  </si>
  <si>
    <t>Janet</t>
  </si>
  <si>
    <t>Botz</t>
  </si>
  <si>
    <t>janetmbotz@gmail.com</t>
  </si>
  <si>
    <t>botz.1@nd.edu</t>
  </si>
  <si>
    <t>Botz Communications Consulting LLC</t>
  </si>
  <si>
    <t>2363 Crown Pointe Blvd 
Suamico, WI 54173-8084 US</t>
  </si>
  <si>
    <t>Suamico</t>
  </si>
  <si>
    <t>2363 Crown Pointe Blvd</t>
  </si>
  <si>
    <t>54173-8084</t>
  </si>
  <si>
    <t>WI</t>
  </si>
  <si>
    <t>Wisconsin</t>
  </si>
  <si>
    <t>920-857-3373</t>
  </si>
  <si>
    <t>574-339-0060</t>
  </si>
  <si>
    <t>Dionn Tron</t>
  </si>
  <si>
    <t>Barie S. Carmichael</t>
  </si>
  <si>
    <t>ED and CCO, Corporate Communications, Dow Corning</t>
  </si>
  <si>
    <t>Betsy</t>
  </si>
  <si>
    <t>Klebe</t>
  </si>
  <si>
    <t>betsy.dziedzic@gmail.com</t>
  </si>
  <si>
    <t>klebeel@airproducts.com</t>
  </si>
  <si>
    <t>30 Waltman Loop Ln 
Easton, PA 18042-6811 US</t>
  </si>
  <si>
    <t>Easton</t>
  </si>
  <si>
    <t>30 Waltman Loop Ln</t>
  </si>
  <si>
    <t>18042-6811</t>
  </si>
  <si>
    <t>610-844-1199</t>
  </si>
  <si>
    <t>(610) 559-9215</t>
  </si>
  <si>
    <t>Kevin J. Ramundo</t>
  </si>
  <si>
    <t>Director of Corporate Communications, Air Products and Chemicals, Inc.</t>
  </si>
  <si>
    <t>Heyman</t>
  </si>
  <si>
    <t>wch@heymanassociates.com</t>
  </si>
  <si>
    <t>bill@heymanassociates.com</t>
  </si>
  <si>
    <t>President, Founder, and CEO</t>
  </si>
  <si>
    <t>Heyman Associates</t>
  </si>
  <si>
    <t>Exec Search</t>
  </si>
  <si>
    <t>150 W 30th St Ste 200 
New York, NY 10001-4003 US</t>
  </si>
  <si>
    <t>150 W 30th St Ste 200</t>
  </si>
  <si>
    <t>10001-4003</t>
  </si>
  <si>
    <t>(212) 784-2717</t>
  </si>
  <si>
    <t>(516) 759-5556</t>
  </si>
  <si>
    <t>(212) 784-2702</t>
  </si>
  <si>
    <t>Robert C. Feldman</t>
  </si>
  <si>
    <t>President, Founder and CEO, Heyman Associates, Inc.</t>
  </si>
  <si>
    <t>Adele</t>
  </si>
  <si>
    <t>Donohue</t>
  </si>
  <si>
    <t>adeledonohue1@gmail.com</t>
  </si>
  <si>
    <t>Merck</t>
  </si>
  <si>
    <t>314 Prospect St 
Westfield, NJ 07090 US</t>
  </si>
  <si>
    <t>Westfield</t>
  </si>
  <si>
    <t>314 Prospect St</t>
  </si>
  <si>
    <t>07090</t>
  </si>
  <si>
    <t>9083130943</t>
  </si>
  <si>
    <t>908-313-0943</t>
  </si>
  <si>
    <t>Richard Martin</t>
  </si>
  <si>
    <t>William H. Oliver</t>
  </si>
  <si>
    <t>EVP - PR and Investor Relations, AT&amp;T Wireless</t>
  </si>
  <si>
    <t>Marc</t>
  </si>
  <si>
    <t>Cannon</t>
  </si>
  <si>
    <t>cannonm@autonation.com</t>
  </si>
  <si>
    <t>EVP, Chief Marketing Officer, Comms &amp; Public Policy</t>
  </si>
  <si>
    <t>AutoNation</t>
  </si>
  <si>
    <t>110 South East 6th Street 
Fort Lauderdale, FL 33301 US</t>
  </si>
  <si>
    <t>Fort Lauderdale</t>
  </si>
  <si>
    <t>110 South East 6th Street</t>
  </si>
  <si>
    <t>33301</t>
  </si>
  <si>
    <t>(954) 769-3146</t>
  </si>
  <si>
    <t>(954) 566-6092</t>
  </si>
  <si>
    <t>William C. Heyman</t>
  </si>
  <si>
    <t>VP - Corporate Communications, AutoNation</t>
  </si>
  <si>
    <t>Farmer</t>
  </si>
  <si>
    <t>jellisfarmer@aol.com</t>
  </si>
  <si>
    <t>6376 Aspen Ridge Blvd. 
West Bloomfield, MI 48322 US</t>
  </si>
  <si>
    <t>West Bloomfield</t>
  </si>
  <si>
    <t>6376 Aspen Ridge Blvd.</t>
  </si>
  <si>
    <t>48322</t>
  </si>
  <si>
    <t>(248) 797-7210</t>
  </si>
  <si>
    <t>(248) 855-0635</t>
  </si>
  <si>
    <t>Greg Elliott</t>
  </si>
  <si>
    <t>VP - Merchandising, Advertising and Communications, GMAC</t>
  </si>
  <si>
    <t>Lori</t>
  </si>
  <si>
    <t>McTavish-Arpin</t>
  </si>
  <si>
    <t>larpin1@ford.com</t>
  </si>
  <si>
    <t>VP of Communications, Asia-Pacific</t>
  </si>
  <si>
    <t>Ford Motor Company</t>
  </si>
  <si>
    <t>Pudongxin District 
Sanghai City, CN</t>
  </si>
  <si>
    <t>Sanghai City</t>
  </si>
  <si>
    <t>CN</t>
  </si>
  <si>
    <t>China</t>
  </si>
  <si>
    <t>Pudongxin District</t>
  </si>
  <si>
    <t>Asia:Other</t>
  </si>
  <si>
    <t>(656) 705-9059</t>
  </si>
  <si>
    <t>(656) 705-9000</t>
  </si>
  <si>
    <t>(313) 316-4291</t>
  </si>
  <si>
    <t>SVP - Communications, Kmart Corporation</t>
  </si>
  <si>
    <t>Moore</t>
  </si>
  <si>
    <t>lmoore@hudsonlake.com</t>
  </si>
  <si>
    <t>lauramoore01@verizon.net</t>
  </si>
  <si>
    <t>HudsonLake</t>
  </si>
  <si>
    <t>1313 Province Ln 
Southlake, TX 76092-9631 US</t>
  </si>
  <si>
    <t>Southlake</t>
  </si>
  <si>
    <t>1313 Province Ln</t>
  </si>
  <si>
    <t>76092-9631</t>
  </si>
  <si>
    <t>(817) 875-6238</t>
  </si>
  <si>
    <t>Mary Beth Bardin</t>
  </si>
  <si>
    <t>SVP - Public Relations and Corporate Communications, Radio Shack Corporation</t>
  </si>
  <si>
    <t>Jeffrey</t>
  </si>
  <si>
    <t>Smith</t>
  </si>
  <si>
    <t>jeffrey_smith@hna.honda.com</t>
  </si>
  <si>
    <t>Vice President, North American Corporate Communications</t>
  </si>
  <si>
    <t>Honda Motor Company - Honda North America</t>
  </si>
  <si>
    <t>24025 Honda Pkwy 
Marysville, OH 43040-9182 US</t>
  </si>
  <si>
    <t>Marysville</t>
  </si>
  <si>
    <t>24025 Honda Pkwy</t>
  </si>
  <si>
    <t>43040-9182</t>
  </si>
  <si>
    <t>937-645-8789</t>
  </si>
  <si>
    <t>310-489-3102</t>
  </si>
  <si>
    <t>Debra Sanchez Fair</t>
  </si>
  <si>
    <t>Sr. Mgr. - Corporate Affairs, Communications and Advertising, American Honda Motor Company, Inc.</t>
  </si>
  <si>
    <t>Clarkson</t>
  </si>
  <si>
    <t>Hine</t>
  </si>
  <si>
    <t>clarkson.hine@beamsuntory.com</t>
  </si>
  <si>
    <t>clarksonhine@sbcglobal.net</t>
  </si>
  <si>
    <t>Senior Vice President  Corporate Communications &amp; Public Affairs</t>
  </si>
  <si>
    <t>222 W. Merchandise Mart Plaza 
Chicago, IL 60654 US</t>
  </si>
  <si>
    <t>222 W. Merchandise Mart Plaza</t>
  </si>
  <si>
    <t>60654</t>
  </si>
  <si>
    <t>(312) 871-4939</t>
  </si>
  <si>
    <t>Peter D. Debreceny</t>
  </si>
  <si>
    <t>VP - Corporate Communications, Fortune Brands, Inc.</t>
  </si>
  <si>
    <t>Wainwright</t>
  </si>
  <si>
    <t>joan.wainwright@te.com</t>
  </si>
  <si>
    <t>President, Channel &amp; Customer Experience</t>
  </si>
  <si>
    <t>TE Connectivity</t>
  </si>
  <si>
    <t>1050 Westlakes Drive 
Berwyn, PA 19312 US</t>
  </si>
  <si>
    <t>Berwyn</t>
  </si>
  <si>
    <t>1050 Westlakes Drive</t>
  </si>
  <si>
    <t>19312</t>
  </si>
  <si>
    <t>609-903-5329</t>
  </si>
  <si>
    <t>609-773-0880</t>
  </si>
  <si>
    <t>Bill D. Nielsen</t>
  </si>
  <si>
    <t>VP - Public Relations, Merck &amp; Co., Inc.</t>
  </si>
  <si>
    <t>Catherine</t>
  </si>
  <si>
    <t>Mathis</t>
  </si>
  <si>
    <t>catherine.mathis@mheducation.com</t>
  </si>
  <si>
    <t>McGraw-Hill Education</t>
  </si>
  <si>
    <t>2 Penn Plaza, 20th Floor 
New York, NY 10121 US</t>
  </si>
  <si>
    <t>2 Penn Plaza, 20th Floor</t>
  </si>
  <si>
    <t>10121</t>
  </si>
  <si>
    <t>646-766-2468</t>
  </si>
  <si>
    <t>917-593-7425</t>
  </si>
  <si>
    <t>VP - Corporate Communications, The New York Times Company</t>
  </si>
  <si>
    <t>Woods</t>
  </si>
  <si>
    <t>richardawoods3@gmail.com</t>
  </si>
  <si>
    <t>2 Sutton Pl S Apt 5B 
New York, NY 10022-3799 US</t>
  </si>
  <si>
    <t>2 Sutton Pl S Apt 5B</t>
  </si>
  <si>
    <t>10022-3799</t>
  </si>
  <si>
    <t>(703) 720-2375</t>
  </si>
  <si>
    <t>(703) 328-3749</t>
  </si>
  <si>
    <t>SVP - Corporate Communications, Capital One Services, Inc.</t>
  </si>
  <si>
    <t>Doug</t>
  </si>
  <si>
    <t>Michelman</t>
  </si>
  <si>
    <t>doug.michelman@sprint.com</t>
  </si>
  <si>
    <t>President, 1million Project</t>
  </si>
  <si>
    <t>Sprint Corporation</t>
  </si>
  <si>
    <t>6160 Sprint Parkway 
Overland Park, KS 66226 US</t>
  </si>
  <si>
    <t>Overland Park</t>
  </si>
  <si>
    <t>6160 Sprint Parkway</t>
  </si>
  <si>
    <t>66226</t>
  </si>
  <si>
    <t>KS</t>
  </si>
  <si>
    <t>Kansas</t>
  </si>
  <si>
    <t>913-794-2100</t>
  </si>
  <si>
    <t>415-407-2689</t>
  </si>
  <si>
    <t>EVP - Corporate Communications, Visa, U.S.A., Inc.</t>
  </si>
  <si>
    <t>Dan</t>
  </si>
  <si>
    <t>Daniel</t>
  </si>
  <si>
    <t>Collins</t>
  </si>
  <si>
    <t>collinsdf@corning.com</t>
  </si>
  <si>
    <t>Division Vice President, Corporate Communications</t>
  </si>
  <si>
    <t>Corning</t>
  </si>
  <si>
    <t>One Riverfront Plaza; Mp Hq E1 
Corning, NY 14831 US</t>
  </si>
  <si>
    <t>One Riverfront Plaza; Mp Hq E1</t>
  </si>
  <si>
    <t>14831</t>
  </si>
  <si>
    <t>607-974-4197</t>
  </si>
  <si>
    <t>607-937-3774</t>
  </si>
  <si>
    <t>Timothy Croasdaile</t>
  </si>
  <si>
    <t>Kurt Stocker</t>
  </si>
  <si>
    <t>VP-Corporate Communications, Corning Incorporated</t>
  </si>
  <si>
    <t>Herbert</t>
  </si>
  <si>
    <t>Heitmann</t>
  </si>
  <si>
    <t>Herbert.heitmann@googlemail.com</t>
  </si>
  <si>
    <t>herbert.heitmann@gmail.com</t>
  </si>
  <si>
    <t>HENRY-T.-V.-BOETTINGER-STR. 8 
Leverkusen, 51373 DE</t>
  </si>
  <si>
    <t>Leverkusen</t>
  </si>
  <si>
    <t>DE</t>
  </si>
  <si>
    <t>Germany</t>
  </si>
  <si>
    <t>HENRY-T.-V.-BOETTINGER-STR. 8</t>
  </si>
  <si>
    <t>51373</t>
  </si>
  <si>
    <t>00491708555098</t>
  </si>
  <si>
    <t>Senior Vice President, Global Communications - SAP AG</t>
  </si>
  <si>
    <t>Sheryl</t>
  </si>
  <si>
    <t>Y.</t>
  </si>
  <si>
    <t>Battles</t>
  </si>
  <si>
    <t>sheryl.battles@pb.com</t>
  </si>
  <si>
    <t>VP, Communications and Diversity Strategy</t>
  </si>
  <si>
    <t>Pitney Bowes</t>
  </si>
  <si>
    <t>3001 Summer Street 
Stamford, CT 06926 US</t>
  </si>
  <si>
    <t>3001 Summer Street</t>
  </si>
  <si>
    <t>06926</t>
  </si>
  <si>
    <t>(203) 351-6808</t>
  </si>
  <si>
    <t>(203) 461-9204</t>
  </si>
  <si>
    <t>1 203 912 5102</t>
  </si>
  <si>
    <t>Vice President, Corporate Communications</t>
  </si>
  <si>
    <t>Kelly</t>
  </si>
  <si>
    <t>kskelly@jou.ufl.edu</t>
  </si>
  <si>
    <t>Professor - Public Relations, College of Journalism and Communications</t>
  </si>
  <si>
    <t>University of Florida</t>
  </si>
  <si>
    <t>3056 Weimer Hall; PO Box 11840 
Gainesville, FL 32611-8400 US</t>
  </si>
  <si>
    <t>Gainesville</t>
  </si>
  <si>
    <t>3056 Weimer Hall; PO Box 11840</t>
  </si>
  <si>
    <t>32611-8400</t>
  </si>
  <si>
    <t>(352) 392-9359</t>
  </si>
  <si>
    <t>Betsy Plank</t>
  </si>
  <si>
    <t>John (Jack) Koten</t>
  </si>
  <si>
    <t>Professor and Chair - University of Florida</t>
  </si>
  <si>
    <t>Ray</t>
  </si>
  <si>
    <t>Raymond</t>
  </si>
  <si>
    <t>Kotcher</t>
  </si>
  <si>
    <t>ray.kotcher@ketchum.com</t>
  </si>
  <si>
    <t>Non-Executive Chairman, Ketchum &amp; Professor of the Practice, Boston University College of Comm.</t>
  </si>
  <si>
    <t>1285 Ave of the Americas # 401 
New York, NY 10019 US</t>
  </si>
  <si>
    <t>1285 Ave of the Americas # 401</t>
  </si>
  <si>
    <t>10019</t>
  </si>
  <si>
    <t>646.935.3902</t>
  </si>
  <si>
    <t>917 846 8352</t>
  </si>
  <si>
    <t>Senior Partner/CEO - Ketchum</t>
  </si>
  <si>
    <t>Mary</t>
  </si>
  <si>
    <t>Stutts</t>
  </si>
  <si>
    <t>MStutts@stanfordhealthcare.org</t>
  </si>
  <si>
    <t>mary_stutts@cable.comcast.com</t>
  </si>
  <si>
    <t>Head, Communications &amp; PR</t>
  </si>
  <si>
    <t>Stanford Health Care (Stanford University Medical Center)</t>
  </si>
  <si>
    <t>3172 Porter Drive 
Palo Alto, CA 94304 US</t>
  </si>
  <si>
    <t>Palo Alto</t>
  </si>
  <si>
    <t>3172 Porter Drive</t>
  </si>
  <si>
    <t>94304</t>
  </si>
  <si>
    <t>(650) 736-9787</t>
  </si>
  <si>
    <t>(925) 303-9043</t>
  </si>
  <si>
    <t>Sr. Director - Genentech, Inc.</t>
  </si>
  <si>
    <t>B.</t>
  </si>
  <si>
    <t>Goodman</t>
  </si>
  <si>
    <t>Michael.Goodman@baruch.cuny.edu</t>
  </si>
  <si>
    <t>drmbgoodma@aol.com</t>
  </si>
  <si>
    <t>Dir., Corp. Communication International (CCI) at Baruch College/CUNY</t>
  </si>
  <si>
    <t>Baruch College</t>
  </si>
  <si>
    <t>One Bernard Baruch Way (55 Lexington Ave 
CUNY, Box B8-240 
New York, NY 10010 US</t>
  </si>
  <si>
    <t>One Bernard Baruch Way (55 Lexington Ave</t>
  </si>
  <si>
    <t>CUNY, Box B8-240</t>
  </si>
  <si>
    <t>646-312-3723</t>
  </si>
  <si>
    <t>2123020863</t>
  </si>
  <si>
    <t>Director, Corporate Communications Institute @ Fairleigh Dickinson University.</t>
  </si>
  <si>
    <t>Douglas</t>
  </si>
  <si>
    <t>Pinkham</t>
  </si>
  <si>
    <t>dpinkham@pac.org</t>
  </si>
  <si>
    <t>Public Affairs Council</t>
  </si>
  <si>
    <t>Institute CEO</t>
  </si>
  <si>
    <t>2121 K St NW Ste 900 
Washington, DC 20037-1891 US</t>
  </si>
  <si>
    <t>2121 K St NW Ste 900</t>
  </si>
  <si>
    <t>20037-1891</t>
  </si>
  <si>
    <t>(202) 787-5950</t>
  </si>
  <si>
    <t>(202) 787-5964</t>
  </si>
  <si>
    <t>Jim Simon</t>
  </si>
  <si>
    <t>President, Public Affairs Council, Public Affairs Council</t>
  </si>
  <si>
    <t>Chris</t>
  </si>
  <si>
    <t>Chiames</t>
  </si>
  <si>
    <t>chiames@yahoo.com</t>
  </si>
  <si>
    <t>chris.chiames@gmail.com</t>
  </si>
  <si>
    <t>Vice President and CCO</t>
  </si>
  <si>
    <t>Carnival Cruise Line</t>
  </si>
  <si>
    <t>3623 Cragmont Ave 
Dallas, TX 75205-4310 US</t>
  </si>
  <si>
    <t>Dallas</t>
  </si>
  <si>
    <t>3623 Cragmont Ave</t>
  </si>
  <si>
    <t>75205-4310</t>
  </si>
  <si>
    <t>(703) 448-8720</t>
  </si>
  <si>
    <t>(703) 599-8072</t>
  </si>
  <si>
    <t>Ginger Hardage</t>
  </si>
  <si>
    <t>Al Comeaux</t>
  </si>
  <si>
    <t>Karen</t>
  </si>
  <si>
    <t>Lynn</t>
  </si>
  <si>
    <t>klynn@athene.com</t>
  </si>
  <si>
    <t>7700 Mills CIVIC Pkwy 
West Des Moines, IA 50266 US</t>
  </si>
  <si>
    <t>West Des Moines</t>
  </si>
  <si>
    <t>7700 Mills CIVIC Pkwy</t>
  </si>
  <si>
    <t>50266</t>
  </si>
  <si>
    <t>IA</t>
  </si>
  <si>
    <t>Iowa</t>
  </si>
  <si>
    <t>515-342-3910</t>
  </si>
  <si>
    <t>Vice President, Communications, Maytag</t>
  </si>
  <si>
    <t>Roxanne</t>
  </si>
  <si>
    <t>roxanne.taylor@accenture.com</t>
  </si>
  <si>
    <t>Chief Marketing and Communications Officer</t>
  </si>
  <si>
    <t>Accenture</t>
  </si>
  <si>
    <t>1345 Avenue of the Americas 
New York, NY 10105 US</t>
  </si>
  <si>
    <t>1345 Avenue of the Americas</t>
  </si>
  <si>
    <t>10105</t>
  </si>
  <si>
    <t>917-452-5106</t>
  </si>
  <si>
    <t>212-249-5439</t>
  </si>
  <si>
    <t>Harold Burson</t>
  </si>
  <si>
    <t>Chief Marketing and Communications Officer, Accenture</t>
  </si>
  <si>
    <t>Rand</t>
  </si>
  <si>
    <t>prand@uchicago.edu</t>
  </si>
  <si>
    <t>Vice President of Communications</t>
  </si>
  <si>
    <t>University of Chicago</t>
  </si>
  <si>
    <t>5801 S Ellis Ave   
123 
Chicago, IL 60637-5418 US</t>
  </si>
  <si>
    <t>5801 S Ellis Ave</t>
  </si>
  <si>
    <t>123</t>
  </si>
  <si>
    <t>60637-5418</t>
  </si>
  <si>
    <t>(773) 702-0689</t>
  </si>
  <si>
    <t>Vice President of Communications - University of Chicago</t>
  </si>
  <si>
    <t>Laureen</t>
  </si>
  <si>
    <t>Cassidy</t>
  </si>
  <si>
    <t>laureen@outcomescg.com</t>
  </si>
  <si>
    <t>lcassidy@sbcglobal.net</t>
  </si>
  <si>
    <t>Outcomes Communication Group, Inc.</t>
  </si>
  <si>
    <t>1721 Dewes St 
Glenview, IL 60025-4301 US</t>
  </si>
  <si>
    <t>Glenview</t>
  </si>
  <si>
    <t>1721 Dewes St</t>
  </si>
  <si>
    <t>60025-4301</t>
  </si>
  <si>
    <t>8476578122</t>
  </si>
  <si>
    <t>847-917-8122</t>
  </si>
  <si>
    <t>224.948.2304</t>
  </si>
  <si>
    <t>Catherine Babington</t>
  </si>
  <si>
    <t>Vice President, Corporate Communications, Baxter International Inc.</t>
  </si>
  <si>
    <t>Charlie</t>
  </si>
  <si>
    <t>Perkins</t>
  </si>
  <si>
    <t>cperk26@aol.com</t>
  </si>
  <si>
    <t>The Hawthorn Group</t>
  </si>
  <si>
    <t>215 West 91 St #41 
New York, NY 10024 US</t>
  </si>
  <si>
    <t>215 West 91 St #41</t>
  </si>
  <si>
    <t>10024</t>
  </si>
  <si>
    <t>(212) 877-8573</t>
  </si>
  <si>
    <t>(212) 773-2418</t>
  </si>
  <si>
    <t>(917) 232-2236</t>
  </si>
  <si>
    <t>Thomas Buckmaster</t>
  </si>
  <si>
    <t>Director - Public Relations of the Americas - Earnst &amp; Young</t>
  </si>
  <si>
    <t>Cody</t>
  </si>
  <si>
    <t>scody@peppercomm.com</t>
  </si>
  <si>
    <t>Co-Founder and Co-CEO</t>
  </si>
  <si>
    <t>Peppercomm</t>
  </si>
  <si>
    <t>470 Park Avenue South 
FL 4N 
New York, NY 10016 US</t>
  </si>
  <si>
    <t>470 Park Avenue South</t>
  </si>
  <si>
    <t>FL 4N</t>
  </si>
  <si>
    <t>2129316128</t>
  </si>
  <si>
    <t>2129316100</t>
  </si>
  <si>
    <t>212-931-6114</t>
  </si>
  <si>
    <t>Rich Jernstedt</t>
  </si>
  <si>
    <t>Managing Partner - Peppercom Public Relations</t>
  </si>
  <si>
    <t>Carol</t>
  </si>
  <si>
    <t>Cone</t>
  </si>
  <si>
    <t>ccone@purposecollaborative.com</t>
  </si>
  <si>
    <t>Carol Cone On Purpose</t>
  </si>
  <si>
    <t>10 Liberty Street 
New York, NY 10005 US</t>
  </si>
  <si>
    <t>10 Liberty Street</t>
  </si>
  <si>
    <t>10005</t>
  </si>
  <si>
    <t>(617) 840-4789</t>
  </si>
  <si>
    <t>Elizabeth H. Allen</t>
  </si>
  <si>
    <t>Chief Executive Officer - Cone Inc.</t>
  </si>
  <si>
    <t>Frederick</t>
  </si>
  <si>
    <t>Fred</t>
  </si>
  <si>
    <t>Cook</t>
  </si>
  <si>
    <t>fcook@USC.edu</t>
  </si>
  <si>
    <t>fcook@golin.com</t>
  </si>
  <si>
    <t>875 N Michigan Ave Fl 26 
Chicago, IL 60611-1803 US</t>
  </si>
  <si>
    <t>875 N Michigan Ave Fl 26</t>
  </si>
  <si>
    <t>60611-1803</t>
  </si>
  <si>
    <t>3127294320</t>
  </si>
  <si>
    <t>President &amp; CEO - Golin/Harris International</t>
  </si>
  <si>
    <t>Margery</t>
  </si>
  <si>
    <t>Kraus</t>
  </si>
  <si>
    <t>mkraus@apcoworldwide.com</t>
  </si>
  <si>
    <t>Founder and Executive Chairman</t>
  </si>
  <si>
    <t>1299 Pennsylvania Ave, NW 
Suite 800 
Washington, DC 20004 US</t>
  </si>
  <si>
    <t>1299 Pennsylvania Ave, NW</t>
  </si>
  <si>
    <t>Suite 800</t>
  </si>
  <si>
    <t>20004</t>
  </si>
  <si>
    <t>(202) 778-1010</t>
  </si>
  <si>
    <t>Stacy</t>
  </si>
  <si>
    <t>Sharpe</t>
  </si>
  <si>
    <t>ssharp12@allstate.com</t>
  </si>
  <si>
    <t>Senior Vice President, Corporate Relations</t>
  </si>
  <si>
    <t>2775 Sanders Road, Suite F4 
Northbrook, IL 60062 US</t>
  </si>
  <si>
    <t>2775 Sanders Road, Suite F4</t>
  </si>
  <si>
    <t>(847) 402-7426</t>
  </si>
  <si>
    <t>(847) 373-7302</t>
  </si>
  <si>
    <t>Joan H. Walker</t>
  </si>
  <si>
    <t>Edward Reilly</t>
  </si>
  <si>
    <t>Melissa</t>
  </si>
  <si>
    <t>Waggener Zorkin</t>
  </si>
  <si>
    <t>melissaw@we-worldwide.com</t>
  </si>
  <si>
    <t>CEO, Founder and President</t>
  </si>
  <si>
    <t>WE Communications</t>
  </si>
  <si>
    <t>225 108th Ave NE Suite 600 
Bellevue, WA 98004 US</t>
  </si>
  <si>
    <t>Bellevue</t>
  </si>
  <si>
    <t>225 108th Ave NE Suite 600</t>
  </si>
  <si>
    <t>98004</t>
  </si>
  <si>
    <t>WA</t>
  </si>
  <si>
    <t>425-638-7148</t>
  </si>
  <si>
    <t>425-638-7000</t>
  </si>
  <si>
    <t>Andrea Cunningham</t>
  </si>
  <si>
    <t>Chief Executive Officer and President - Waggener Edstrom</t>
  </si>
  <si>
    <t>Turnbull</t>
  </si>
  <si>
    <t>david.turnbull@senecac.on.ca</t>
  </si>
  <si>
    <t>Professor - Corporate Communications Program</t>
  </si>
  <si>
    <t>Seneca College</t>
  </si>
  <si>
    <t>70 The Pond Road 
Toronto, Ontario, M3J 3M6 CA</t>
  </si>
  <si>
    <t>Toronto, Ontario</t>
  </si>
  <si>
    <t>Canada</t>
  </si>
  <si>
    <t>70 The Pond Road</t>
  </si>
  <si>
    <t>M3J 3M6</t>
  </si>
  <si>
    <t>416-491-5050 ext. 3068</t>
  </si>
  <si>
    <t>Don W. Stacks</t>
  </si>
  <si>
    <t>Professor - Corporate Communications Program - Seneca College</t>
  </si>
  <si>
    <t>Terry</t>
  </si>
  <si>
    <t>Hemeyer</t>
  </si>
  <si>
    <t>ttghemeyer@aol.com</t>
  </si>
  <si>
    <t>8430 October Shadow Ct 
Spring, TX 77379 US</t>
  </si>
  <si>
    <t>Spring</t>
  </si>
  <si>
    <t>8430 October Shadow Ct</t>
  </si>
  <si>
    <t>77379</t>
  </si>
  <si>
    <t>(713) 819-1322</t>
  </si>
  <si>
    <t>(281) 370-7906</t>
  </si>
  <si>
    <t>Managing Director - Service Corporation International</t>
  </si>
  <si>
    <t>Trudy</t>
  </si>
  <si>
    <t>Sullivan</t>
  </si>
  <si>
    <t>trudy.sullivan@raytheon.com</t>
  </si>
  <si>
    <t>Vice President, Communications &amp; Public Affairs</t>
  </si>
  <si>
    <t>Raytheon</t>
  </si>
  <si>
    <t>2501 W. University Drive 
McKinney, TX 75071 US</t>
  </si>
  <si>
    <t>McKinney</t>
  </si>
  <si>
    <t>2501 W. University Drive</t>
  </si>
  <si>
    <t>75071</t>
  </si>
  <si>
    <t>(972) 952-2233</t>
  </si>
  <si>
    <t>(208) 343-3351</t>
  </si>
  <si>
    <t>(424) 298-0537</t>
  </si>
  <si>
    <t>Kimberley</t>
  </si>
  <si>
    <t>Crews</t>
  </si>
  <si>
    <t>Goode</t>
  </si>
  <si>
    <t>Kimberley.Goode@blueshieldca.com</t>
  </si>
  <si>
    <t>kcgoode@comcast.net</t>
  </si>
  <si>
    <t>Senior Vice President, External Affairs</t>
  </si>
  <si>
    <t>Blue Shield of California</t>
  </si>
  <si>
    <t>50 Beale Street 
San Francisco, CA 94105 US</t>
  </si>
  <si>
    <t>50 Beale Street</t>
  </si>
  <si>
    <t>94105</t>
  </si>
  <si>
    <t>(415) 229-5105</t>
  </si>
  <si>
    <t>(415) 229-6074</t>
  </si>
  <si>
    <t>Robert DeFillippo</t>
  </si>
  <si>
    <t>Vice President - Worldwide Communications -  The Kellogg Company</t>
  </si>
  <si>
    <t>Hunter</t>
  </si>
  <si>
    <t>kimhunter@lagrant.com</t>
  </si>
  <si>
    <t>President/CEO</t>
  </si>
  <si>
    <t>Lagrant Communications</t>
  </si>
  <si>
    <t>633 W. 5th Street, 48th Floor 
US Bank Tower 
Los Angeles, CA 90071-2005 US</t>
  </si>
  <si>
    <t>633 W. 5th Street, 48th Floor</t>
  </si>
  <si>
    <t>US Bank Tower</t>
  </si>
  <si>
    <t>90071-2005</t>
  </si>
  <si>
    <t>323-469-8680 ext. 225</t>
  </si>
  <si>
    <t>President/CEO, Lagrant Communications</t>
  </si>
  <si>
    <t>Andy</t>
  </si>
  <si>
    <t>Hilton</t>
  </si>
  <si>
    <t>ahhilton@gmail.com</t>
  </si>
  <si>
    <t>1 Adp Blvd., B401 
Roseland, NJ 07068 US</t>
  </si>
  <si>
    <t>Roseland</t>
  </si>
  <si>
    <t>1 Adp Blvd., B401</t>
  </si>
  <si>
    <t>07068</t>
  </si>
  <si>
    <t>(704) 614-1770</t>
  </si>
  <si>
    <t>Angela A. Buonocore</t>
  </si>
  <si>
    <t>Page Society - VP, Communications, Content &amp; Brand - ADPPage Up - VP; Communications &amp; Customer Excellence, Xylem, Inc.</t>
  </si>
  <si>
    <t>Jordan</t>
  </si>
  <si>
    <t>rcjordan@amgen.com</t>
  </si>
  <si>
    <t>Jorray@gmail.com</t>
  </si>
  <si>
    <t>Senior Vice President, Corporate Affairs</t>
  </si>
  <si>
    <t>Amgen</t>
  </si>
  <si>
    <t>1 Amgen Center Dr 
Thousand Oaks, CA 91320-1730 US</t>
  </si>
  <si>
    <t>Thousand Oaks</t>
  </si>
  <si>
    <t>1 Amgen Center Dr</t>
  </si>
  <si>
    <t>91320-1730</t>
  </si>
  <si>
    <t>(805) 447-4475</t>
  </si>
  <si>
    <t>(203) 254-8040</t>
  </si>
  <si>
    <t>Corporate Vice President - Public Affairs and Corporate Communications, Johnson &amp; Johnson</t>
  </si>
  <si>
    <t>Rochelle</t>
  </si>
  <si>
    <t>Ford</t>
  </si>
  <si>
    <t>rford9@elon.edu</t>
  </si>
  <si>
    <t>rochelle.ford@gmail.com</t>
  </si>
  <si>
    <t>Dean and Professor, School of Communications</t>
  </si>
  <si>
    <t>Elon University</t>
  </si>
  <si>
    <t>2850 Campus Box   
Schar Hall - Communications Bld, office 108A 
Elon, NC 27244-2008 US</t>
  </si>
  <si>
    <t>Elon</t>
  </si>
  <si>
    <t>2850 Campus Box</t>
  </si>
  <si>
    <t>Schar Hall - Communications Bld, office 108A</t>
  </si>
  <si>
    <t>27244-2008</t>
  </si>
  <si>
    <t>(336) 278-5724</t>
  </si>
  <si>
    <t>(301) 832-7331</t>
  </si>
  <si>
    <t>Louis Capozzi</t>
  </si>
  <si>
    <t>Professor and Chair of Newhouse School of Public Communciations at Syracuse University</t>
  </si>
  <si>
    <t>Rogers</t>
  </si>
  <si>
    <t>JRogers@usccb.org</t>
  </si>
  <si>
    <t>james.l.rogers@att.net</t>
  </si>
  <si>
    <t>U.S. Conference of Catholic Bishops</t>
  </si>
  <si>
    <t>3211 4th St NE 
Washington, DC 20017-1104 US</t>
  </si>
  <si>
    <t>3211 4th St NE</t>
  </si>
  <si>
    <t>20017-1104</t>
  </si>
  <si>
    <t>(202) 541-3201</t>
  </si>
  <si>
    <t>(202) 256-5510</t>
  </si>
  <si>
    <t>Holly Potter</t>
  </si>
  <si>
    <t>Schoeb</t>
  </si>
  <si>
    <t>Melissa_schoeb@oxy.com</t>
  </si>
  <si>
    <t>Vice President, Communications and Public Affairs</t>
  </si>
  <si>
    <t>Occidental Petroleum</t>
  </si>
  <si>
    <t>5 Greenway Plaza, Suite 110 
Houston, TX 77046 US</t>
  </si>
  <si>
    <t>Houston</t>
  </si>
  <si>
    <t>5 Greenway Plaza, Suite 110</t>
  </si>
  <si>
    <t>77046</t>
  </si>
  <si>
    <t>713-366-5615</t>
  </si>
  <si>
    <t>Vice President, Corporate Communications, Occidental Petroleum Corporation</t>
  </si>
  <si>
    <t>Flynn</t>
  </si>
  <si>
    <t>drterenceflynn@gmail.com</t>
  </si>
  <si>
    <t>tflynn@mcmaster.ca</t>
  </si>
  <si>
    <t>McMaster University</t>
  </si>
  <si>
    <t>1280 Main St. W.; Tsh 329 
Hamilton, Ontario, ON L8s 4m2 CA</t>
  </si>
  <si>
    <t>Hamilton, Ontario</t>
  </si>
  <si>
    <t>1280 Main St. W.; Tsh 329</t>
  </si>
  <si>
    <t>L8s 4m2</t>
  </si>
  <si>
    <t>ON</t>
  </si>
  <si>
    <t>Ontario</t>
  </si>
  <si>
    <t>(519) 897-7970</t>
  </si>
  <si>
    <t>(519) 745-7135</t>
  </si>
  <si>
    <t>Gary F. Grates</t>
  </si>
  <si>
    <t>See General Notes</t>
  </si>
  <si>
    <t>Jane</t>
  </si>
  <si>
    <t>Ostrander</t>
  </si>
  <si>
    <t>jostrander@tenneco.com</t>
  </si>
  <si>
    <t>VP, Global Communications</t>
  </si>
  <si>
    <t>Tenneco</t>
  </si>
  <si>
    <t>500 N. Field Drive 
Lake Forest, IL 60045 US</t>
  </si>
  <si>
    <t>500 N. Field Drive</t>
  </si>
  <si>
    <t>847-482-5607</t>
  </si>
  <si>
    <t>James K. Spangler</t>
  </si>
  <si>
    <t>Former titles: Director, Communications. Executive Director, CommunicationsTitle When Joined: VP, Global Communications, Tenneco Inc.</t>
  </si>
  <si>
    <t>Elise</t>
  </si>
  <si>
    <t>Eberwein</t>
  </si>
  <si>
    <t>elise.eberwein@aa.com</t>
  </si>
  <si>
    <t>Executive Vice President, Communications/People/Public Affairs</t>
  </si>
  <si>
    <t>4333 Amon Carter Blvd 
Fort Worth, TX 76155 US</t>
  </si>
  <si>
    <t>Fort Worth</t>
  </si>
  <si>
    <t>4333 Amon Carter Blvd</t>
  </si>
  <si>
    <t>76155</t>
  </si>
  <si>
    <t>(480) 747-0676</t>
  </si>
  <si>
    <t>(602) 538-6538</t>
  </si>
  <si>
    <t>Senior Vice President, Corporate Communications, America West Airlines</t>
  </si>
  <si>
    <t>Rob</t>
  </si>
  <si>
    <t>Flaherty</t>
  </si>
  <si>
    <t>rob.flaherty@ketchum.com</t>
  </si>
  <si>
    <t>1285 Avenue Of the Americas 
New York, NY 10019 US</t>
  </si>
  <si>
    <t>1285 Avenue Of the Americas</t>
  </si>
  <si>
    <t>(646) 935-4201</t>
  </si>
  <si>
    <t>(914) 271-2747</t>
  </si>
  <si>
    <t>Raymond L. Kotcher</t>
  </si>
  <si>
    <t>Ray C. Jordan</t>
  </si>
  <si>
    <t>Senior Partner and CEO, Ketchum</t>
  </si>
  <si>
    <t>Ed</t>
  </si>
  <si>
    <t>Edward</t>
  </si>
  <si>
    <t>Reilly</t>
  </si>
  <si>
    <t>Edward.Reilly@fticonsulting.com</t>
  </si>
  <si>
    <t>FTI Consulting</t>
  </si>
  <si>
    <t>Continuous</t>
  </si>
  <si>
    <t>88 Pine St Fl 32 
New York, NY 10005-1858 US</t>
  </si>
  <si>
    <t>88 Pine St Fl 32</t>
  </si>
  <si>
    <t>10005-1858</t>
  </si>
  <si>
    <t>(212) 850-5645</t>
  </si>
  <si>
    <t>(212) 850-5710</t>
  </si>
  <si>
    <t>Charles H. Perkins</t>
  </si>
  <si>
    <t>Global Chief Executive, Strategic Communications - FTI Consulting</t>
  </si>
  <si>
    <t>Henderson</t>
  </si>
  <si>
    <t>skhenderson@riteaid.com</t>
  </si>
  <si>
    <t>susan_henderson@comcast.net</t>
  </si>
  <si>
    <t>SVP, Chief Communications Officer</t>
  </si>
  <si>
    <t>Rite Aid Corp</t>
  </si>
  <si>
    <t>30 Hunter Lane 
Camp Hill, PA 17011 US</t>
  </si>
  <si>
    <t>Camp Hill</t>
  </si>
  <si>
    <t>30 Hunter Lane</t>
  </si>
  <si>
    <t>17011</t>
  </si>
  <si>
    <t>717-730-7766</t>
  </si>
  <si>
    <t>(847) 657-0362</t>
  </si>
  <si>
    <t>262-844-2179</t>
  </si>
  <si>
    <t>VP-Corporate Communications, William Wrigley Jr. Company</t>
  </si>
  <si>
    <t>Sally</t>
  </si>
  <si>
    <t>Sally Benjamin</t>
  </si>
  <si>
    <t>Young</t>
  </si>
  <si>
    <t>syou@lundbeck.com</t>
  </si>
  <si>
    <t>Vice President, Public Affairs</t>
  </si>
  <si>
    <t>H. Lundbeck A/S</t>
  </si>
  <si>
    <t>Four Parkway North 
Suite 200 
Deerfield, IL 60015 US</t>
  </si>
  <si>
    <t>Deerfield</t>
  </si>
  <si>
    <t>Four Parkway North</t>
  </si>
  <si>
    <t>Suite 200</t>
  </si>
  <si>
    <t>60015</t>
  </si>
  <si>
    <t>(847) 282-5770</t>
  </si>
  <si>
    <t>(847) 835-3265</t>
  </si>
  <si>
    <t>(847) 727-3265</t>
  </si>
  <si>
    <t>VP, Corporate Communications, Baxter International, Inc.</t>
  </si>
  <si>
    <t>Jacqueline</t>
  </si>
  <si>
    <t>Strayer</t>
  </si>
  <si>
    <t>jfs2002@nyu.edu</t>
  </si>
  <si>
    <t>jfstrayer@optonline.net</t>
  </si>
  <si>
    <t>Adjunct Professor</t>
  </si>
  <si>
    <t>New York University (NYU)</t>
  </si>
  <si>
    <t>2 Cobblestone Ct 
Centerport, NY 11721-1163 US</t>
  </si>
  <si>
    <t>Centerport</t>
  </si>
  <si>
    <t>2 Cobblestone Ct</t>
  </si>
  <si>
    <t>11721-1163</t>
  </si>
  <si>
    <t>631-748-6812</t>
  </si>
  <si>
    <t>631-262-9595</t>
  </si>
  <si>
    <t>Kristen Bihary</t>
  </si>
  <si>
    <t>VP, Corporate Communications, Arrow Electronics</t>
  </si>
  <si>
    <t>Pat</t>
  </si>
  <si>
    <t>patricia.wright3@gmail.com</t>
  </si>
  <si>
    <t>2615 Autumn Lake Dr 
Katy, TX 77450 US</t>
  </si>
  <si>
    <t>Katy</t>
  </si>
  <si>
    <t>2615 Autumn Lake Dr</t>
  </si>
  <si>
    <t>77450</t>
  </si>
  <si>
    <t>281-392-2437</t>
  </si>
  <si>
    <t>832-875-9458</t>
  </si>
  <si>
    <t>James S. O'Rourke</t>
  </si>
  <si>
    <t>Patricia Blackburn</t>
  </si>
  <si>
    <t>VP- External Affairs, BP America Inc.</t>
  </si>
  <si>
    <t>Toth</t>
  </si>
  <si>
    <t>eltoth@umd.edu</t>
  </si>
  <si>
    <t>Professor &amp; Chair Dept. of Communication</t>
  </si>
  <si>
    <t>5920 Trumpet Sound Ct 
Clarksville, MD 21029-1265 US</t>
  </si>
  <si>
    <t>Clarksville</t>
  </si>
  <si>
    <t>5920 Trumpet Sound Ct</t>
  </si>
  <si>
    <t>21029-1265</t>
  </si>
  <si>
    <t>(301) 405-8077</t>
  </si>
  <si>
    <t>(443) 535-9844</t>
  </si>
  <si>
    <t>Judy VanSlyke Turk</t>
  </si>
  <si>
    <t>Professor-Dept. of Communication, University of Maryland at College Park</t>
  </si>
  <si>
    <t>Aedhmar</t>
  </si>
  <si>
    <t>Hynes</t>
  </si>
  <si>
    <t>aedhmarh@text100.com</t>
  </si>
  <si>
    <t>352 Park Avenue South 
7th Floor 
New York, NY 10010 US</t>
  </si>
  <si>
    <t>352 Park Avenue South</t>
  </si>
  <si>
    <t>7th Floor</t>
  </si>
  <si>
    <t>212-529-4600</t>
  </si>
  <si>
    <t>(203) 637-8700</t>
  </si>
  <si>
    <t>Harvey Greisman</t>
  </si>
  <si>
    <t>CEO, Text 100</t>
  </si>
  <si>
    <t>Imada</t>
  </si>
  <si>
    <t>bill.imada@iwgroupinc.com</t>
  </si>
  <si>
    <t>Chairman, Chief Connectivity Officer</t>
  </si>
  <si>
    <t>IW Group, Inc.</t>
  </si>
  <si>
    <t>6300 Wilshire Blvd Ste 
Los Angeles, CA 90048-5204 US</t>
  </si>
  <si>
    <t>6300 Wilshire Blvd Ste</t>
  </si>
  <si>
    <t>90048-5204</t>
  </si>
  <si>
    <t>310-289-5500</t>
  </si>
  <si>
    <t>213.262.4090, 213.262.0911</t>
  </si>
  <si>
    <t>3106913462</t>
  </si>
  <si>
    <t>Kim L. Hunter</t>
  </si>
  <si>
    <t>Barbara Parsky</t>
  </si>
  <si>
    <t>Chairman &amp; CEO, IW Group, Inc.</t>
  </si>
  <si>
    <t>Eileen</t>
  </si>
  <si>
    <t>Howard</t>
  </si>
  <si>
    <t>Boone</t>
  </si>
  <si>
    <t>Eileen.Boone@cvshealth.com</t>
  </si>
  <si>
    <t>Senior Vice President of Corporate Social Responsibility &amp; Philanthropy</t>
  </si>
  <si>
    <t>CVS Health</t>
  </si>
  <si>
    <t>1 Cvs Dr 
Woonsocket, RI 02895-6146 US</t>
  </si>
  <si>
    <t>Woonsocket</t>
  </si>
  <si>
    <t>1 Cvs Dr</t>
  </si>
  <si>
    <t>02895-6146</t>
  </si>
  <si>
    <t>RI</t>
  </si>
  <si>
    <t>Rhode Island</t>
  </si>
  <si>
    <t>(401) 770-4561</t>
  </si>
  <si>
    <t>(401) 289-0657</t>
  </si>
  <si>
    <t>Harris Diamond</t>
  </si>
  <si>
    <t>Vice President-Corporate Communications and Community Relations, CVS/Pharmacy</t>
  </si>
  <si>
    <t>Gloria</t>
  </si>
  <si>
    <t>Story</t>
  </si>
  <si>
    <t>Dittus</t>
  </si>
  <si>
    <t>gloria.dittus@storypartnersdc.com</t>
  </si>
  <si>
    <t>Story Partners</t>
  </si>
  <si>
    <t>1000 Potomac St. NW, Suite 102 
Washington, DC 20007 US</t>
  </si>
  <si>
    <t>1000 Potomac St. NW, Suite 102</t>
  </si>
  <si>
    <t>20007</t>
  </si>
  <si>
    <t>202-413-8489</t>
  </si>
  <si>
    <t>(202) 413-8489</t>
  </si>
  <si>
    <t>Nicholas J. Ashooh</t>
  </si>
  <si>
    <t>President &amp; CEO, Dittus Communications</t>
  </si>
  <si>
    <t>Shane</t>
  </si>
  <si>
    <t>Boyd</t>
  </si>
  <si>
    <t>skboyd@gmail.com</t>
  </si>
  <si>
    <t>shane@repcounse.com</t>
  </si>
  <si>
    <t>Reputation Counsel</t>
  </si>
  <si>
    <t>6327 Glenbrook Ct 
Oklahoma City, OK 73118 US</t>
  </si>
  <si>
    <t>Oklahoma City</t>
  </si>
  <si>
    <t>6327 Glenbrook Ct</t>
  </si>
  <si>
    <t>73118</t>
  </si>
  <si>
    <t>OK</t>
  </si>
  <si>
    <t>Oklahoma</t>
  </si>
  <si>
    <t>(405) 439-5467</t>
  </si>
  <si>
    <t>(917) 670-0695</t>
  </si>
  <si>
    <t>VP-Corporate Communications, St. Paul Travelers</t>
  </si>
  <si>
    <t>Irv</t>
  </si>
  <si>
    <t>Schenkler</t>
  </si>
  <si>
    <t>ischenkl@stern.nyu.edu</t>
  </si>
  <si>
    <t>Prof., Director / Mgmt. Comm. Program</t>
  </si>
  <si>
    <t>44 W. 4th Street, KMC 3-101 
New York, NY 10012-1118 US</t>
  </si>
  <si>
    <t>44 W. 4th Street, KMC 3-101</t>
  </si>
  <si>
    <t>10012-1118</t>
  </si>
  <si>
    <t>212-998-0093</t>
  </si>
  <si>
    <t>212-475-3513</t>
  </si>
  <si>
    <t>Paul A. Argenti</t>
  </si>
  <si>
    <t>Janis Forman</t>
  </si>
  <si>
    <t>Associate Professor, Director-NYU Stern School of Business</t>
  </si>
  <si>
    <t>Greg</t>
  </si>
  <si>
    <t>Gable</t>
  </si>
  <si>
    <t>greg.gable@schwab.com</t>
  </si>
  <si>
    <t>Chief of Staff, Office of the Chairman</t>
  </si>
  <si>
    <t>Charles Schwab</t>
  </si>
  <si>
    <t>211 Main Street 
San Francisco, CA 94105 US</t>
  </si>
  <si>
    <t>211 Main Street</t>
  </si>
  <si>
    <t>(415) 667-0473</t>
  </si>
  <si>
    <t>(925) 254-7037</t>
  </si>
  <si>
    <t>(415) 667-9505</t>
  </si>
  <si>
    <t>Senior Vice President, Public Relations, Charles Schwab Corp.</t>
  </si>
  <si>
    <t>Gillian</t>
  </si>
  <si>
    <t>Nash</t>
  </si>
  <si>
    <t>jillnsh415@gmail.com</t>
  </si>
  <si>
    <t>LifeLock</t>
  </si>
  <si>
    <t>221 Main Street 
Suite 780 
San Francisco, CA 94105 US</t>
  </si>
  <si>
    <t>221 Main Street</t>
  </si>
  <si>
    <t>Suite 780</t>
  </si>
  <si>
    <t>415-767-7751</t>
  </si>
  <si>
    <t>415-464-9893</t>
  </si>
  <si>
    <t>David Monfried</t>
  </si>
  <si>
    <t>Vice President, Global Corporate Communications, GAP, Inc.</t>
  </si>
  <si>
    <t>Wendi</t>
  </si>
  <si>
    <t>Strong</t>
  </si>
  <si>
    <t>wendistrong@gmail.com</t>
  </si>
  <si>
    <t>353 Garraty Rd 
San Antonio, TX 78209-5936 US</t>
  </si>
  <si>
    <t>San Antonio</t>
  </si>
  <si>
    <t>353 Garraty Rd</t>
  </si>
  <si>
    <t>78209-5936</t>
  </si>
  <si>
    <t>(210) 913-4090</t>
  </si>
  <si>
    <t>(210) 698-9887</t>
  </si>
  <si>
    <t>John Graham</t>
  </si>
  <si>
    <t>Executive Vice President, Corporate Communications, USAA</t>
  </si>
  <si>
    <t>Noland</t>
  </si>
  <si>
    <t>tnoland@humana.com</t>
  </si>
  <si>
    <t>Senior Vice President, Corporate Communications</t>
  </si>
  <si>
    <t>Humana</t>
  </si>
  <si>
    <t>500 W. Main Street 
6th Floor 
Louisville, KY 40202 US</t>
  </si>
  <si>
    <t>Louisville</t>
  </si>
  <si>
    <t>500 W. Main Street</t>
  </si>
  <si>
    <t>6th Floor</t>
  </si>
  <si>
    <t>40202</t>
  </si>
  <si>
    <t>KY</t>
  </si>
  <si>
    <t>Kentucky</t>
  </si>
  <si>
    <t>502-580-3674</t>
  </si>
  <si>
    <t>502-895-9635</t>
  </si>
  <si>
    <t>502-419-6596</t>
  </si>
  <si>
    <t>Senior Vice President, Corporate Communications, Humana Inc.</t>
  </si>
  <si>
    <t>Hass</t>
  </si>
  <si>
    <t>mark.hass@asu.edu</t>
  </si>
  <si>
    <t>mark.hass@gbllc.com</t>
  </si>
  <si>
    <t>Professor of Practice</t>
  </si>
  <si>
    <t>Arizona State University</t>
  </si>
  <si>
    <t>555 N. Central Avenue 
Suite 381 
Phoenix, AZ 85004 US</t>
  </si>
  <si>
    <t>Phoenix</t>
  </si>
  <si>
    <t>555 N. Central Avenue</t>
  </si>
  <si>
    <t>Suite 381</t>
  </si>
  <si>
    <t>85004</t>
  </si>
  <si>
    <t>AZ</t>
  </si>
  <si>
    <t>Arizona</t>
  </si>
  <si>
    <t>(602) 496-1047</t>
  </si>
  <si>
    <t>(917) 283-7180</t>
  </si>
  <si>
    <t>CEO, Manning Selvage &amp; Lee</t>
  </si>
  <si>
    <t>Barry</t>
  </si>
  <si>
    <t>Caldwell</t>
  </si>
  <si>
    <t>bhcaldwell82@gmail.com</t>
  </si>
  <si>
    <t>Waste Management</t>
  </si>
  <si>
    <t>2706 Wroxton Rd   
Houston, TX 77005-1314 US</t>
  </si>
  <si>
    <t>2706 Wroxton Rd</t>
  </si>
  <si>
    <t>77005-1314</t>
  </si>
  <si>
    <t>(713) 899-0616</t>
  </si>
  <si>
    <t>Senior Vice President-Government Affairs and Corporate Communications, Waste Management, Inc.</t>
  </si>
  <si>
    <t>Kempner</t>
  </si>
  <si>
    <t>mkempner@mww.com</t>
  </si>
  <si>
    <t>MWWPR</t>
  </si>
  <si>
    <t>304 Park Avenue South, 8th Floor 
New York, NY 10010 US</t>
  </si>
  <si>
    <t>304 Park Avenue South, 8th Floor</t>
  </si>
  <si>
    <t>201-566-2290</t>
  </si>
  <si>
    <t>201-871-6059</t>
  </si>
  <si>
    <t>646-381-9016</t>
  </si>
  <si>
    <t>Fred Cook</t>
  </si>
  <si>
    <t>President/CEO, MWW Group</t>
  </si>
  <si>
    <t>Casey</t>
  </si>
  <si>
    <t>Lynn.Casey@padillaco.com</t>
  </si>
  <si>
    <t>Chair and Chief Executive Officer</t>
  </si>
  <si>
    <t>Padilla</t>
  </si>
  <si>
    <t>1101 West River Parkway, #400 
Suite 400 
Minneapolis, MN 55415 US</t>
  </si>
  <si>
    <t>1101 West River Parkway, #400</t>
  </si>
  <si>
    <t>Suite 400</t>
  </si>
  <si>
    <t>55415</t>
  </si>
  <si>
    <t>(612) 455-1727</t>
  </si>
  <si>
    <t>(612) 929-7622</t>
  </si>
  <si>
    <t>(612) 845-8467</t>
  </si>
  <si>
    <t>Donald Kirchoffner</t>
  </si>
  <si>
    <t>Chair and CEO, Padilla Speer Beardsley</t>
  </si>
  <si>
    <t>Zitlow</t>
  </si>
  <si>
    <t>kelly.zitlow@waterstreet.com</t>
  </si>
  <si>
    <t>Kelly.Zitlow@waterstreet.com</t>
  </si>
  <si>
    <t>VP Communications</t>
  </si>
  <si>
    <t>Water Street Healthcare Partners</t>
  </si>
  <si>
    <t>444 W Lake St Ste 1800 
Chicago, IL 60606-0096 US</t>
  </si>
  <si>
    <t>444 W Lake St Ste 1800</t>
  </si>
  <si>
    <t>60606-0096</t>
  </si>
  <si>
    <t>847-858-5230</t>
  </si>
  <si>
    <t>Clarkson Hine</t>
  </si>
  <si>
    <t>Linda Kingman</t>
  </si>
  <si>
    <t>Global Leader of Public Relations, Hewitt Associates</t>
  </si>
  <si>
    <t>Zenia</t>
  </si>
  <si>
    <t>Mucha</t>
  </si>
  <si>
    <t>zenia.mucha@disney.com</t>
  </si>
  <si>
    <t>Sr. Executive Vice President, Chief Communications Officer</t>
  </si>
  <si>
    <t>The Walt Disney Company</t>
  </si>
  <si>
    <t>500 South Buena Vista Street 
TD-512 
Burbank, CA 91521 US</t>
  </si>
  <si>
    <t>Burbank</t>
  </si>
  <si>
    <t>500 South Buena Vista Street</t>
  </si>
  <si>
    <t>TD-512</t>
  </si>
  <si>
    <t>91521</t>
  </si>
  <si>
    <t>818-560-5300</t>
  </si>
  <si>
    <t>John Spelich</t>
  </si>
  <si>
    <t>EVP- Corporate Communications, The Walt Disney Company</t>
  </si>
  <si>
    <t>Loretta</t>
  </si>
  <si>
    <t>Ucelli</t>
  </si>
  <si>
    <t>lucelli@pgpf.org</t>
  </si>
  <si>
    <t>lorettaucelli@aol.com</t>
  </si>
  <si>
    <t>Executive Vice President</t>
  </si>
  <si>
    <t>Peter G. Peterson Foundation</t>
  </si>
  <si>
    <t>712 5th Ave Fl 48 
New York, NY 10019-4108 US</t>
  </si>
  <si>
    <t>712 5th Ave Fl 48</t>
  </si>
  <si>
    <t>10019-4108</t>
  </si>
  <si>
    <t>212-542-9261</t>
  </si>
  <si>
    <t>917-886-0311</t>
  </si>
  <si>
    <t>Marilyn Laurie</t>
  </si>
  <si>
    <t>SVP-Corporate Communications, Pfizer Inc.</t>
  </si>
  <si>
    <t>Sheffer</t>
  </si>
  <si>
    <t>sheffer70@gmail.com</t>
  </si>
  <si>
    <t>Sandra R. Frazier Professor of Public Relations</t>
  </si>
  <si>
    <t>117 Bells Pond Road 
Hudson, NY 12534 US</t>
  </si>
  <si>
    <t>Hudson</t>
  </si>
  <si>
    <t>117 Bells Pond Road</t>
  </si>
  <si>
    <t>12534</t>
  </si>
  <si>
    <t>(203) 253-9299</t>
  </si>
  <si>
    <t>(203) 924-7520</t>
  </si>
  <si>
    <t>Valerie Di Maria</t>
  </si>
  <si>
    <t>Executive Director-Corporate Communications and Public Affairs, General Electric Company</t>
  </si>
  <si>
    <t>Olson</t>
  </si>
  <si>
    <t>klolson@landolakes.com</t>
  </si>
  <si>
    <t>Land O'Lakes, Inc.</t>
  </si>
  <si>
    <t>1200 County Road F W 
Arden Hills, MN 55112-2921 US</t>
  </si>
  <si>
    <t>Arden Hills</t>
  </si>
  <si>
    <t>1200 County Road F W</t>
  </si>
  <si>
    <t>55112-2921</t>
  </si>
  <si>
    <t>952-221-6573</t>
  </si>
  <si>
    <t>Lynn Casey</t>
  </si>
  <si>
    <t>Mike A. Fernandez</t>
  </si>
  <si>
    <t>Reports to Peter Janzen, Chief Legal Counsel and Chief Administrative Officer</t>
  </si>
  <si>
    <t>Kirsten</t>
  </si>
  <si>
    <t>Gorsuch</t>
  </si>
  <si>
    <t>kirsten.gorsuch@uhc.com</t>
  </si>
  <si>
    <t>Kirsten.gorsuch@yahoo.com</t>
  </si>
  <si>
    <t>UnitedHealth Group</t>
  </si>
  <si>
    <t>9700 Health Care Ln 
Minnetonka, MN 55343-4522 US</t>
  </si>
  <si>
    <t>Minnetonka</t>
  </si>
  <si>
    <t>9700 Health Care Ln</t>
  </si>
  <si>
    <t>55343-4522</t>
  </si>
  <si>
    <t>952-979-6136</t>
  </si>
  <si>
    <t>952-473-9597</t>
  </si>
  <si>
    <t>612-747-1218</t>
  </si>
  <si>
    <t>Dave A. Samson</t>
  </si>
  <si>
    <t>VP-Corporate Communications, Medtronic, Inc.</t>
  </si>
  <si>
    <t>Tarman</t>
  </si>
  <si>
    <t>dtarman@ebay.com</t>
  </si>
  <si>
    <t>danieltarman@yahoo.com</t>
  </si>
  <si>
    <t>Chief Communication Officer</t>
  </si>
  <si>
    <t>eBay</t>
  </si>
  <si>
    <t>2065 Hamilton Ave 
San Jose, CA 95125-5904 US</t>
  </si>
  <si>
    <t>2065 Hamilton Ave</t>
  </si>
  <si>
    <t>95125-5904</t>
  </si>
  <si>
    <t>650-814-0722</t>
  </si>
  <si>
    <t>818-343-3248</t>
  </si>
  <si>
    <t>310-463-1902</t>
  </si>
  <si>
    <t>Managing Director, Corporate Communications &amp; Brand Marketing, Countrywide Financial Corporation</t>
  </si>
  <si>
    <t>Betty</t>
  </si>
  <si>
    <t>betty@bettyhudson.com</t>
  </si>
  <si>
    <t>955 26th Street NW #801 
Washington, DC 20037 US</t>
  </si>
  <si>
    <t>955 26th Street NW #801</t>
  </si>
  <si>
    <t>20037</t>
  </si>
  <si>
    <t>(703) 201-9898</t>
  </si>
  <si>
    <t>(571) 633-0575</t>
  </si>
  <si>
    <t>EVP-Communications, National Geographic Society</t>
  </si>
  <si>
    <t>Björn</t>
  </si>
  <si>
    <t>Edlund</t>
  </si>
  <si>
    <t>edlund@bluewin.ch</t>
  </si>
  <si>
    <t>bedlund@awpagesociety.com</t>
  </si>
  <si>
    <t>Edlund Consulting Ltd.</t>
  </si>
  <si>
    <t>Mohlinstrasse 16 
CH-4464 
Maisprach, 4464 CH</t>
  </si>
  <si>
    <t>Maisprach</t>
  </si>
  <si>
    <t>CH</t>
  </si>
  <si>
    <t>Switzerland</t>
  </si>
  <si>
    <t>Mohlinstrasse 16</t>
  </si>
  <si>
    <t>CH-4464</t>
  </si>
  <si>
    <t>4464</t>
  </si>
  <si>
    <t>+41-61-843 02 11</t>
  </si>
  <si>
    <t>-8410524</t>
  </si>
  <si>
    <t>31 06 5258 0440</t>
  </si>
  <si>
    <t>Vice President, Communications, Royal Dutch Shell plc</t>
  </si>
  <si>
    <t>Andrew</t>
  </si>
  <si>
    <t>Bosman</t>
  </si>
  <si>
    <t>andy.bosman@rsmus.com</t>
  </si>
  <si>
    <t>Chief Marketing Officer</t>
  </si>
  <si>
    <t>RSM US LLP</t>
  </si>
  <si>
    <t>1 South Wacker Dr. 
Suite 800 
Chicago, IL 60606 US</t>
  </si>
  <si>
    <t>1 South Wacker Dr.</t>
  </si>
  <si>
    <t>60606</t>
  </si>
  <si>
    <t>312.634.5591</t>
  </si>
  <si>
    <t>312.375.3080</t>
  </si>
  <si>
    <t>Sally Benjamin Young</t>
  </si>
  <si>
    <t>Yan</t>
  </si>
  <si>
    <t>Jin</t>
  </si>
  <si>
    <t>yanjin@uga.edu</t>
  </si>
  <si>
    <t>Associate Professor, Department of Advertising and Public Relations</t>
  </si>
  <si>
    <t>120 Hooper Street 
Athens, GA 30605 US</t>
  </si>
  <si>
    <t>Athens</t>
  </si>
  <si>
    <t>120 Hooper Street</t>
  </si>
  <si>
    <t>30605</t>
  </si>
  <si>
    <t>GA</t>
  </si>
  <si>
    <t>Georgia</t>
  </si>
  <si>
    <t>7065425042</t>
  </si>
  <si>
    <t>Glen T. Cameron</t>
  </si>
  <si>
    <t>Augustine Pang</t>
  </si>
  <si>
    <t>Associate Professor, Department of Advertising and Public Relations - University of Gerogia (Page Up)</t>
  </si>
  <si>
    <t>Bulger</t>
  </si>
  <si>
    <t>michael.bulger@capitalone.com</t>
  </si>
  <si>
    <t>Senior Director, Corporate Communications</t>
  </si>
  <si>
    <t>Capital One Financial</t>
  </si>
  <si>
    <t>390 Riverside Dr Apt 4E 
New York, NY 10025-1867 US</t>
  </si>
  <si>
    <t>390 Riverside Dr Apt 4E</t>
  </si>
  <si>
    <t>10025-1867</t>
  </si>
  <si>
    <t>(917) 885-1499</t>
  </si>
  <si>
    <t>(212) 663-4072</t>
  </si>
  <si>
    <t>Kenneth D. Makovsky</t>
  </si>
  <si>
    <t>Director of Public Relations, Booz Allen Hamilton</t>
  </si>
  <si>
    <t>Amy</t>
  </si>
  <si>
    <t>Binder</t>
  </si>
  <si>
    <t>amy.binder@rfbinder.com</t>
  </si>
  <si>
    <t>RF Binder Partners, Inc.</t>
  </si>
  <si>
    <t>950 Third Ave 
Apt. 4E 
New York, NY 10022 US</t>
  </si>
  <si>
    <t>950 Third Ave</t>
  </si>
  <si>
    <t>Apt. 4E</t>
  </si>
  <si>
    <t>(212) 994-7501</t>
  </si>
  <si>
    <t>(917) 622-8421</t>
  </si>
  <si>
    <t>Paul Capelli</t>
  </si>
  <si>
    <t>Walter Jennings</t>
  </si>
  <si>
    <t>CEO, RF Binder Partners, Inc.</t>
  </si>
  <si>
    <t>tim.fitzpatrick@pge.com</t>
  </si>
  <si>
    <t>mail.fitz@gmail.com</t>
  </si>
  <si>
    <t>Vice President and Chief Communications Officer</t>
  </si>
  <si>
    <t>Pacific Gas and Electric Company</t>
  </si>
  <si>
    <t>77 Beale St Unit 2953A 
2953A 
San Francisco, CA 94105-1814 US</t>
  </si>
  <si>
    <t>77 Beale St Unit 2953A</t>
  </si>
  <si>
    <t>2953A</t>
  </si>
  <si>
    <t>94105-1814</t>
  </si>
  <si>
    <t>(415) 973-4070</t>
  </si>
  <si>
    <t>(859) 296-0456</t>
  </si>
  <si>
    <t>Don J. McGrath</t>
  </si>
  <si>
    <t>Vice President, Corporate Communications, Lexmark International, Inc.</t>
  </si>
  <si>
    <t>Penn</t>
  </si>
  <si>
    <t>mjp@stagwellgroup.com</t>
  </si>
  <si>
    <t>mark.penn@ps-b.com</t>
  </si>
  <si>
    <t>President and Managing Partner</t>
  </si>
  <si>
    <t>The Stagwell Group LLC</t>
  </si>
  <si>
    <t>1700  K St  STE 750 
Suite 520 
Washington, DC 20006-3820 US</t>
  </si>
  <si>
    <t>1700  K St  STE 750</t>
  </si>
  <si>
    <t>Suite 520</t>
  </si>
  <si>
    <t>20006-3820</t>
  </si>
  <si>
    <t>2025244365</t>
  </si>
  <si>
    <t>Worldwide President and CEO, Burson-Marsteller</t>
  </si>
  <si>
    <t>Gennaro</t>
  </si>
  <si>
    <t>paul.gennaro@voya.com</t>
  </si>
  <si>
    <t>pj_gennaro@yahoo.com</t>
  </si>
  <si>
    <t>Senior Vice President, Brand and Corporate Communications, Chief Communications Officer</t>
  </si>
  <si>
    <t>Voya Financial</t>
  </si>
  <si>
    <t>230 Park Ave Fl 14 
New York, NY 10169-1502 US</t>
  </si>
  <si>
    <t>230 Park Ave Fl 14</t>
  </si>
  <si>
    <t>10169-1502</t>
  </si>
  <si>
    <t>(212) 309-8914</t>
  </si>
  <si>
    <t>(973) 691-0833</t>
  </si>
  <si>
    <t>(917) 734-8295</t>
  </si>
  <si>
    <t>Gerald Giaquinta</t>
  </si>
  <si>
    <t>SVP, IR and Corp.Comm., Chief Communications Officer, AECOM Technology Corp.</t>
  </si>
  <si>
    <t>Sandra</t>
  </si>
  <si>
    <t>Macleod</t>
  </si>
  <si>
    <t>sandra.macleod@echoresearch.com</t>
  </si>
  <si>
    <t>sandram@mindfulreputation.com</t>
  </si>
  <si>
    <t>Group CEO</t>
  </si>
  <si>
    <t>PM House, Riverway Estate 
Old Portsmouth Rd 
Peasmarsh, Guildford, GU3 1LZ GB</t>
  </si>
  <si>
    <t>Peasmarsh, Guildford</t>
  </si>
  <si>
    <t>PM House, Riverway Estate</t>
  </si>
  <si>
    <t>Old Portsmouth Rd</t>
  </si>
  <si>
    <t>GU3 1LZ</t>
  </si>
  <si>
    <t>+44 208 050 3611</t>
  </si>
  <si>
    <t>+44 07770 328 724</t>
  </si>
  <si>
    <t>+44 (0) 7770 328 724</t>
  </si>
  <si>
    <t>Beth</t>
  </si>
  <si>
    <t>Comstock</t>
  </si>
  <si>
    <t>beth.comstock@ge.com</t>
  </si>
  <si>
    <t>Senior Vice President and Chief Marketing Officer, &amp; Vice Chair, Business Innovations Unit</t>
  </si>
  <si>
    <t>General Electric</t>
  </si>
  <si>
    <t>3135 Easton Turnpike 
Fairfield, CT 06828 US</t>
  </si>
  <si>
    <t>Fairfield</t>
  </si>
  <si>
    <t>3135 Easton Turnpike</t>
  </si>
  <si>
    <t>06828</t>
  </si>
  <si>
    <t>203-373-3871</t>
  </si>
  <si>
    <t>Senior Vice President and Chief Marketing Officer, General Electric Corporation</t>
  </si>
  <si>
    <t>Stacey</t>
  </si>
  <si>
    <t>Eisen</t>
  </si>
  <si>
    <t>Stacey_Eisen@baxter.com</t>
  </si>
  <si>
    <t>Vice President, Global Communications</t>
  </si>
  <si>
    <t>Baxter International</t>
  </si>
  <si>
    <t>One Baxter Parkway 
Deerfield, IL 60015 US</t>
  </si>
  <si>
    <t>One Baxter Parkway</t>
  </si>
  <si>
    <t>(224) 948-2304</t>
  </si>
  <si>
    <t>847-821-1280</t>
  </si>
  <si>
    <t>Vice President, Global Public Affairs, Hospira, Inc.</t>
  </si>
  <si>
    <t>Berger</t>
  </si>
  <si>
    <t>berger@apr.ua.edu</t>
  </si>
  <si>
    <t>bberger0737@bellsouth.net</t>
  </si>
  <si>
    <t>Professor and Chairman, Dept. of Advertising and PR</t>
  </si>
  <si>
    <t>University of Alabama</t>
  </si>
  <si>
    <t>11553 Council Barber Blvd 
P.O. Box 870172 (Office #412, Reese-Phifer) 
Northport, AL 35475 US</t>
  </si>
  <si>
    <t>Northport</t>
  </si>
  <si>
    <t>11553 Council Barber Blvd</t>
  </si>
  <si>
    <t>P.O. Box 870172 (Office #412, Reese-Phifer)</t>
  </si>
  <si>
    <t>35475</t>
  </si>
  <si>
    <t>2054546587</t>
  </si>
  <si>
    <t>205-333-0737</t>
  </si>
  <si>
    <t>Maria P. Russell</t>
  </si>
  <si>
    <t>Professor and chairman, University of Alabama, Dept. of Advertising and PR</t>
  </si>
  <si>
    <t>Margi</t>
  </si>
  <si>
    <t>Margaret</t>
  </si>
  <si>
    <t>Booth</t>
  </si>
  <si>
    <t>margib@mbooth.com</t>
  </si>
  <si>
    <t>Chairman, M Booth/ EVP, Next Fifteen</t>
  </si>
  <si>
    <t>M Booth</t>
  </si>
  <si>
    <t>666 Third Avenue, 7th Floor 
New York, NY 10017 US</t>
  </si>
  <si>
    <t>666 Third Avenue, 7th Floor</t>
  </si>
  <si>
    <t>10017</t>
  </si>
  <si>
    <t>(212) 539-3202</t>
  </si>
  <si>
    <t>(917) 270-7313</t>
  </si>
  <si>
    <t>Aedhmar Hynes</t>
  </si>
  <si>
    <t>Alan Marks</t>
  </si>
  <si>
    <t>CEO, M Booth(12/2/15: Reporting to Next Fifteen CEO Tim Dyson)</t>
  </si>
  <si>
    <t>Polansky</t>
  </si>
  <si>
    <t>apolansky@webershandwick.com</t>
  </si>
  <si>
    <t>909 Third Avenue 
New York, NY 10022 US</t>
  </si>
  <si>
    <t>909 Third Avenue</t>
  </si>
  <si>
    <t>(212) 445-8102</t>
  </si>
  <si>
    <t>Gary Sheffer</t>
  </si>
  <si>
    <t>President - Weber Shandwick</t>
  </si>
  <si>
    <t>Bud</t>
  </si>
  <si>
    <t>Clarence</t>
  </si>
  <si>
    <t>Grebey</t>
  </si>
  <si>
    <t>budgrebey@hotmail.com</t>
  </si>
  <si>
    <t>VP, Corporate Affairs &amp; Communications</t>
  </si>
  <si>
    <t>Tronox Limited</t>
  </si>
  <si>
    <t>227 Brookdale Road 
Stamford, CT 06903 US</t>
  </si>
  <si>
    <t>227 Brookdale Road</t>
  </si>
  <si>
    <t>06903</t>
  </si>
  <si>
    <t>203-219-5222</t>
  </si>
  <si>
    <t>203-705-3721</t>
  </si>
  <si>
    <t>Vice President of Corporate Communications, Tronox Limited</t>
  </si>
  <si>
    <t>Julie</t>
  </si>
  <si>
    <t>Hamp</t>
  </si>
  <si>
    <t>julie@jajhconsulting.com</t>
  </si>
  <si>
    <t>jajh03@gmail.com</t>
  </si>
  <si>
    <t>Jajh Consulting Services</t>
  </si>
  <si>
    <t>11480 NW 8th St 
Plantation, FL 33325-1505 US</t>
  </si>
  <si>
    <t>Plantation</t>
  </si>
  <si>
    <t>11480 NW 8th St</t>
  </si>
  <si>
    <t>33325-1505</t>
  </si>
  <si>
    <t>(954) 707-2316</t>
  </si>
  <si>
    <t>(310) 218-6711</t>
  </si>
  <si>
    <t>Thomas Kowaleski</t>
  </si>
  <si>
    <t>Senior Vice President, Communications, PepsiCo</t>
  </si>
  <si>
    <t>Marie</t>
  </si>
  <si>
    <t>Remboulis</t>
  </si>
  <si>
    <t>marie.remboulis@us.thalesgroup.com</t>
  </si>
  <si>
    <t>marieremboulis@comcast.net</t>
  </si>
  <si>
    <t>Director of Communications</t>
  </si>
  <si>
    <t>Thales Avionics</t>
  </si>
  <si>
    <t>24427 Santa Clara Avenue 
Dana Pointdana Point, CA 92629 US</t>
  </si>
  <si>
    <t>Dana Pointdana Point</t>
  </si>
  <si>
    <t>24427 Santa Clara Avenue</t>
  </si>
  <si>
    <t>92629</t>
  </si>
  <si>
    <t>9496569470</t>
  </si>
  <si>
    <t>949-656-9470</t>
  </si>
  <si>
    <t>VP - Corporate Communications Federal-Mogul Corporations</t>
  </si>
  <si>
    <t>Sheldon</t>
  </si>
  <si>
    <t>Jones</t>
  </si>
  <si>
    <t>sjones.communications@gmail.com</t>
  </si>
  <si>
    <t>S Jones Communications, LLC</t>
  </si>
  <si>
    <t>1010 Edgemill Way 
West Chester, PA 19382-2343 US</t>
  </si>
  <si>
    <t>West Chester</t>
  </si>
  <si>
    <t>1010 Edgemill Way</t>
  </si>
  <si>
    <t>19382-2343</t>
  </si>
  <si>
    <t>908-568-6766</t>
  </si>
  <si>
    <t>Shelley Spector</t>
  </si>
  <si>
    <t>Ann Bailey</t>
  </si>
  <si>
    <t>Head Corporate Communications, Novartis Corporation</t>
  </si>
  <si>
    <t>Donnellan</t>
  </si>
  <si>
    <t>kdonnellan@aarp.org</t>
  </si>
  <si>
    <t>Executive Vice President &amp; Chief of Staff</t>
  </si>
  <si>
    <t>AARP</t>
  </si>
  <si>
    <t>Non-Profit Other</t>
  </si>
  <si>
    <t>601 E St NW 
Washington, DC 20049-0001 US</t>
  </si>
  <si>
    <t>601 E St NW</t>
  </si>
  <si>
    <t>20049-0001</t>
  </si>
  <si>
    <t>202-434-3705</t>
  </si>
  <si>
    <t>703-830-7847</t>
  </si>
  <si>
    <t>Kimberley C. Goode</t>
  </si>
  <si>
    <t>EVP &amp; CCO, AARP Service Company</t>
  </si>
  <si>
    <t>Sharon</t>
  </si>
  <si>
    <t>Wamble-King</t>
  </si>
  <si>
    <t>swamble@comcast.net</t>
  </si>
  <si>
    <t>1185 Queens Harbor Blvd 
Jacksonville, FL 32225-4909 US</t>
  </si>
  <si>
    <t>Jacksonville</t>
  </si>
  <si>
    <t>1185 Queens Harbor Blvd</t>
  </si>
  <si>
    <t>32225-4909</t>
  </si>
  <si>
    <t>(904) 314-3473</t>
  </si>
  <si>
    <t>Vice President, Corporate Communication, Blue Cross and Blue Shield of Florida, Inc.</t>
  </si>
  <si>
    <t>Hughes</t>
  </si>
  <si>
    <t>william.hughes@pb.com</t>
  </si>
  <si>
    <t>(203) 351-6785</t>
  </si>
  <si>
    <t>(203) 861-1641</t>
  </si>
  <si>
    <t>SVP, Corporate Communications, CA, Inc.</t>
  </si>
  <si>
    <t>Tripp</t>
  </si>
  <si>
    <t>VP of Communications and Public Affairs</t>
  </si>
  <si>
    <t>Enviva LP</t>
  </si>
  <si>
    <t>Bethesda</t>
  </si>
  <si>
    <t>(240) 482-3800</t>
  </si>
  <si>
    <t>(513) 490-3754</t>
  </si>
  <si>
    <t>VP, Corporate Communications, L-3 Communications</t>
  </si>
  <si>
    <t>Lisa</t>
  </si>
  <si>
    <t>Bailey</t>
  </si>
  <si>
    <t>Singleton</t>
  </si>
  <si>
    <t>singleton_dallas@yahoo.com</t>
  </si>
  <si>
    <t>lsingleton@brunswickgroup.com</t>
  </si>
  <si>
    <t>Brunswick Group</t>
  </si>
  <si>
    <t>200 Crescent Court 
Suite 225 
Dallas, TX 75201 US</t>
  </si>
  <si>
    <t>200 Crescent Court</t>
  </si>
  <si>
    <t>Suite 225</t>
  </si>
  <si>
    <t>75201</t>
  </si>
  <si>
    <t>(214) 316-2567</t>
  </si>
  <si>
    <t>(214) 823-7059</t>
  </si>
  <si>
    <t>Vice President, Corporate Communications, Energy Future Holdings (formerly TXU Corp.)</t>
  </si>
  <si>
    <t>Tony</t>
  </si>
  <si>
    <t>Antonio</t>
  </si>
  <si>
    <t>Cervone</t>
  </si>
  <si>
    <t>tony.cervone@gm.com</t>
  </si>
  <si>
    <t>tonycervone@hotmail.com</t>
  </si>
  <si>
    <t>Senior Vice President, Global Communications</t>
  </si>
  <si>
    <t>General Motors</t>
  </si>
  <si>
    <t>300 Renaissance Ctr. 
M/C 482-C39-B30 
Detroit, MI 48265-3000 US</t>
  </si>
  <si>
    <t>Detroit</t>
  </si>
  <si>
    <t>300 Renaissance Ctr.</t>
  </si>
  <si>
    <t>M/C 482-C39-B30</t>
  </si>
  <si>
    <t>48265-3000</t>
  </si>
  <si>
    <t>(313) 667-3437</t>
  </si>
  <si>
    <t>(313) 920-8175</t>
  </si>
  <si>
    <t>GM North America Vice President, Communications, General Motors Corporation</t>
  </si>
  <si>
    <t>Sandi</t>
  </si>
  <si>
    <t>Lee</t>
  </si>
  <si>
    <t>sandi.lee@harris.com</t>
  </si>
  <si>
    <t>slee@harris.com</t>
  </si>
  <si>
    <t>1025 W. Nasa Blvd. 
# 15 
Melbourne, FL 32919 US</t>
  </si>
  <si>
    <t>Melbourne</t>
  </si>
  <si>
    <t>1025 W. Nasa Blvd.</t>
  </si>
  <si>
    <t># 15</t>
  </si>
  <si>
    <t>32919</t>
  </si>
  <si>
    <t>321-724-3577</t>
  </si>
  <si>
    <t>David Albritton</t>
  </si>
  <si>
    <t>James Burke</t>
  </si>
  <si>
    <t>VP, Global Communications - Harris</t>
  </si>
  <si>
    <t>Brotz</t>
  </si>
  <si>
    <t>Melissa.Brotz@Abbott.com</t>
  </si>
  <si>
    <t>Divisional Vice President, Head of Public Affairs</t>
  </si>
  <si>
    <t>Abbott Laboratories</t>
  </si>
  <si>
    <t>100 Abbott Park Rd 
G383/AP6 
Abbott Park, IL 60064-3502 US</t>
  </si>
  <si>
    <t>Abbott Park</t>
  </si>
  <si>
    <t>100 Abbott Park Rd</t>
  </si>
  <si>
    <t>G383/AP6</t>
  </si>
  <si>
    <t>60064-3502</t>
  </si>
  <si>
    <t>(224) 668-3456</t>
  </si>
  <si>
    <t>(847) 935-3456</t>
  </si>
  <si>
    <t>David Senay</t>
  </si>
  <si>
    <t>Vice President, Head of Public Affairs, Abbott</t>
  </si>
  <si>
    <t>Christa</t>
  </si>
  <si>
    <t>Carone</t>
  </si>
  <si>
    <t>​ccarone@groupninemedia.com</t>
  </si>
  <si>
    <t>ccarone@2024boston.org</t>
  </si>
  <si>
    <t>Group Nine Media</t>
  </si>
  <si>
    <t>22 West 21st Street 
New York, NY 02043 US</t>
  </si>
  <si>
    <t>22 West 21st Street</t>
  </si>
  <si>
    <t>02043</t>
  </si>
  <si>
    <t>(203) 535-8729</t>
  </si>
  <si>
    <t>(203) 438-3613</t>
  </si>
  <si>
    <t>Vice President, Global Communications, Xerox Corporation</t>
  </si>
  <si>
    <t>Kamenetzky</t>
  </si>
  <si>
    <t>David.Kamenetzky@ab-inbev.com</t>
  </si>
  <si>
    <t>david.kamenetzky@gmail.com</t>
  </si>
  <si>
    <t>Chief Strategy &amp; External Affairs Officer</t>
  </si>
  <si>
    <t>Anheuser-Busch InBev (AB InBev)</t>
  </si>
  <si>
    <t>2019 R Street NW 
Washington, DC 20009 US</t>
  </si>
  <si>
    <t>2019 R Street NW</t>
  </si>
  <si>
    <t>20009</t>
  </si>
  <si>
    <t>(571) 201-1871</t>
  </si>
  <si>
    <t>+1 703 589 2526</t>
  </si>
  <si>
    <t>Sandra Macleod</t>
  </si>
  <si>
    <t>Corporate Vice President &amp; Global Head of Corporate Affairs &amp; Regulatory Policy, Mars, Incorporated</t>
  </si>
  <si>
    <t>Kristi</t>
  </si>
  <si>
    <t>DesJarlais</t>
  </si>
  <si>
    <t>kristi.desjarlais@yahoo.com</t>
  </si>
  <si>
    <t>SVP and GM</t>
  </si>
  <si>
    <t>Saxum</t>
  </si>
  <si>
    <t>4203 Montrose, Suite 110 
Houston, TX 77006 US</t>
  </si>
  <si>
    <t>4203 Montrose, Suite 110</t>
  </si>
  <si>
    <t>77006</t>
  </si>
  <si>
    <t>832-564-9964</t>
  </si>
  <si>
    <t>281-828-5715</t>
  </si>
  <si>
    <t>832.756.7322</t>
  </si>
  <si>
    <t>Patricia D. Wright</t>
  </si>
  <si>
    <t>Manager, Corporate Communications &amp; Public Affairs, ConocoPhillips</t>
  </si>
  <si>
    <t>Solomon</t>
  </si>
  <si>
    <t>larry.solomon@att.com</t>
  </si>
  <si>
    <t>Ls1397@att.com</t>
  </si>
  <si>
    <t>Chief Communications Officer, Corporate Communications</t>
  </si>
  <si>
    <t>AT&amp;T</t>
  </si>
  <si>
    <t>208 S Akard St 
Dallas, TX 75202-4206 US</t>
  </si>
  <si>
    <t>208 S Akard St</t>
  </si>
  <si>
    <t>75202-4206</t>
  </si>
  <si>
    <t>214-757-3552</t>
  </si>
  <si>
    <t>(214) 757-3550</t>
  </si>
  <si>
    <t>Senior Vice President-Corporate Communications, AT&amp;T Inc.</t>
  </si>
  <si>
    <t>Al</t>
  </si>
  <si>
    <t>Comeaux</t>
  </si>
  <si>
    <t>alcomeaux@gmail.com</t>
  </si>
  <si>
    <t>Elevate Credit</t>
  </si>
  <si>
    <t>4150 International Drive, Suite 300 
Fort Worth, TX 76109 US</t>
  </si>
  <si>
    <t>4150 International Drive, Suite 300</t>
  </si>
  <si>
    <t>76109</t>
  </si>
  <si>
    <t>(817) 231-6888</t>
  </si>
  <si>
    <t>(214) 373-7878</t>
  </si>
  <si>
    <t>(513) 243-1410</t>
  </si>
  <si>
    <t>Elizabeth L. Klebe</t>
  </si>
  <si>
    <t>Senior Vice President, Corporate Communications, Sabre Holdings</t>
  </si>
  <si>
    <t>Lerch</t>
  </si>
  <si>
    <t>marie@executivescribe.com</t>
  </si>
  <si>
    <t>3301 Saul Rd 
Kensington, MD 20895-3238 US</t>
  </si>
  <si>
    <t>Kensington</t>
  </si>
  <si>
    <t>3301 Saul Rd</t>
  </si>
  <si>
    <t>20895-3238</t>
  </si>
  <si>
    <t>301-949-4412</t>
  </si>
  <si>
    <t>7038015236</t>
  </si>
  <si>
    <t>Michael Bulger</t>
  </si>
  <si>
    <t>Senior Director, Marketing &amp; Communications, Booz Allen Hamilton</t>
  </si>
  <si>
    <t>Pradipta</t>
  </si>
  <si>
    <t>Bagchi</t>
  </si>
  <si>
    <t>pradipta.bagchi@tata.com</t>
  </si>
  <si>
    <t>Group Chief Communications Officer</t>
  </si>
  <si>
    <t>Tata Consultancy Services</t>
  </si>
  <si>
    <t>Bombay House, 24, Homi Mody Street 
Mumbai, 400001 IN</t>
  </si>
  <si>
    <t>Mumbai</t>
  </si>
  <si>
    <t>India</t>
  </si>
  <si>
    <t>Bombay House, 24, Homi Mody Street</t>
  </si>
  <si>
    <t>400001</t>
  </si>
  <si>
    <t>Asia:India</t>
  </si>
  <si>
    <t>91 022 6778 9076</t>
  </si>
  <si>
    <t>982-007-7266</t>
  </si>
  <si>
    <t>Senior General Manager and Head, Global Communications - Tata Consultancy Services Ltd.</t>
  </si>
  <si>
    <t>Prosperi</t>
  </si>
  <si>
    <t>davidprosperi53@gmail.com</t>
  </si>
  <si>
    <t>prosfive@comcast.net</t>
  </si>
  <si>
    <t>Senior Vice President, Public Relations</t>
  </si>
  <si>
    <t>The Options Clearing Corporation</t>
  </si>
  <si>
    <t>1 N Wacker Dr 
Chicago, IL 60606-2807 US</t>
  </si>
  <si>
    <t>1 N Wacker Dr</t>
  </si>
  <si>
    <t>60606-2807</t>
  </si>
  <si>
    <t>312-322-4484</t>
  </si>
  <si>
    <t>847-909-4953</t>
  </si>
  <si>
    <t>312-576-5042</t>
  </si>
  <si>
    <t>Vice President, Global Public Relations, Aon Corporation</t>
  </si>
  <si>
    <t>Jonathan</t>
  </si>
  <si>
    <t>jon.harris@conagra.com</t>
  </si>
  <si>
    <t>jon@jonharrisassociates.com</t>
  </si>
  <si>
    <t>Senior Vice President &amp; Chief Communication Officer</t>
  </si>
  <si>
    <t>ConAgra Brands</t>
  </si>
  <si>
    <t>222 Merchandise Mart Plaza 
Chicago, IL 60654 US</t>
  </si>
  <si>
    <t>222 Merchandise Mart Plaza</t>
  </si>
  <si>
    <t>312-549-5356</t>
  </si>
  <si>
    <t>847-682-2413</t>
  </si>
  <si>
    <t>Senior Vice President, Global Communications, Sara Lee Corp</t>
  </si>
  <si>
    <t>Corey</t>
  </si>
  <si>
    <t>DuBrowa</t>
  </si>
  <si>
    <t>cdubrowa@google.com</t>
  </si>
  <si>
    <t>coreydubrowa@hotmail.com</t>
  </si>
  <si>
    <t>Google</t>
  </si>
  <si>
    <t>50 Fremont Street, Suite 300 
Mountain View, CA 94102 US</t>
  </si>
  <si>
    <t>Mountain View</t>
  </si>
  <si>
    <t>50 Fremont Street, Suite 300</t>
  </si>
  <si>
    <t>94102</t>
  </si>
  <si>
    <t>(206) 318-7444</t>
  </si>
  <si>
    <t>(415) 696-1244</t>
  </si>
  <si>
    <t>Richard W. Edelman</t>
  </si>
  <si>
    <t>Vice President of Global Communications and Internal Public Affairs, Starbucks Coffee Company</t>
  </si>
  <si>
    <t>Paulo</t>
  </si>
  <si>
    <t>Nassar</t>
  </si>
  <si>
    <t>paulonassar@usp.br</t>
  </si>
  <si>
    <t>Professor, University of Sao Paulo and Director General, ABERJE</t>
  </si>
  <si>
    <t>Aberje (Brazilian Association For Business Communication)</t>
  </si>
  <si>
    <t>R. Amalia de Noronha; 151 
R. Amalia de Noronha; 151 
Sao Paulo, 05410-010 BR</t>
  </si>
  <si>
    <t>Sao Paulo</t>
  </si>
  <si>
    <t>BR</t>
  </si>
  <si>
    <t>Brazil</t>
  </si>
  <si>
    <t>R. Amalia de Noronha; 151</t>
  </si>
  <si>
    <t>05410-010</t>
  </si>
  <si>
    <t>Latin America</t>
  </si>
  <si>
    <t>+ 5511 3662 3990</t>
  </si>
  <si>
    <t>+5511 9990 88842</t>
  </si>
  <si>
    <t>Director-General, ABERJE-Brazilian Association of Business Communication &amp; Professor, Department of Public Relations, University of Sao Paulo</t>
  </si>
  <si>
    <t>Winans</t>
  </si>
  <si>
    <t>cwinans50@gmail.com</t>
  </si>
  <si>
    <t>Chris Winans Consulting LLC</t>
  </si>
  <si>
    <t>1 Lisa Lane 
Hampton, NJ 08827 US</t>
  </si>
  <si>
    <t>Hampton</t>
  </si>
  <si>
    <t>1 Lisa Lane</t>
  </si>
  <si>
    <t>08827</t>
  </si>
  <si>
    <t>(908) 309-3959</t>
  </si>
  <si>
    <t>Sr. Vice President, AXA Equitable</t>
  </si>
  <si>
    <t>Day</t>
  </si>
  <si>
    <t>ray.day@ibm.com</t>
  </si>
  <si>
    <t>rday1@comcast.net</t>
  </si>
  <si>
    <t>IBM</t>
  </si>
  <si>
    <t>1 New Orchard Rd 
Armonk, NY 10504-1722 US</t>
  </si>
  <si>
    <t>Armonk</t>
  </si>
  <si>
    <t>1 New Orchard Rd</t>
  </si>
  <si>
    <t>10504-1722</t>
  </si>
  <si>
    <t>(914) 499-4617</t>
  </si>
  <si>
    <t>(734) 414-0526</t>
  </si>
  <si>
    <t>Vice President, Communications - Ford Motor Company</t>
  </si>
  <si>
    <t>Hans</t>
  </si>
  <si>
    <t>Koeleman</t>
  </si>
  <si>
    <t>hans.koeleman@kpn.com</t>
  </si>
  <si>
    <t>Director Corporate Communications &amp; CSR</t>
  </si>
  <si>
    <t>KPN</t>
  </si>
  <si>
    <t>Wilhelminakade 
2516 CK 
Rotterdam, 3072 Ap NL</t>
  </si>
  <si>
    <t>Rotterdam</t>
  </si>
  <si>
    <t>NL</t>
  </si>
  <si>
    <t>Netherlands</t>
  </si>
  <si>
    <t>Wilhelminakade</t>
  </si>
  <si>
    <t>2516 CK</t>
  </si>
  <si>
    <t>3072 Ap</t>
  </si>
  <si>
    <t>31703438544</t>
  </si>
  <si>
    <t>+ 0031 71 512 1001</t>
  </si>
  <si>
    <t>+ 06 22 52 4879</t>
  </si>
  <si>
    <t>Michiel Quarles van Ufford</t>
  </si>
  <si>
    <t>Director Corporate Communications KPN</t>
  </si>
  <si>
    <t>Alan</t>
  </si>
  <si>
    <t>Marks</t>
  </si>
  <si>
    <t>alan.marks@servicenow.com</t>
  </si>
  <si>
    <t>ServiceNow</t>
  </si>
  <si>
    <t>2225 Lawson Ln 
Santa Clara, CA 95054-3311 US</t>
  </si>
  <si>
    <t>Santa Clara</t>
  </si>
  <si>
    <t>2225 Lawson Ln</t>
  </si>
  <si>
    <t>95054-3311</t>
  </si>
  <si>
    <t>650-441-9762</t>
  </si>
  <si>
    <t>408-425-9539</t>
  </si>
  <si>
    <t>Richard S. Marshall</t>
  </si>
  <si>
    <t>Senior Vice President, Global Communications, eBay, Inc.</t>
  </si>
  <si>
    <t>Tracy</t>
  </si>
  <si>
    <t>Faulkner</t>
  </si>
  <si>
    <t>tracy.faulkner@maf.ae</t>
  </si>
  <si>
    <t>tracy2001pr@gmail.com</t>
  </si>
  <si>
    <t>Head of Corporate Communications</t>
  </si>
  <si>
    <t>Majid Al Futtaim</t>
  </si>
  <si>
    <t>City Centre Complex Deira 
PO Box 91100 
Dubai, AE</t>
  </si>
  <si>
    <t>Dubai</t>
  </si>
  <si>
    <t>AE</t>
  </si>
  <si>
    <t>United Arab Emirates</t>
  </si>
  <si>
    <t>City Centre Complex Deira</t>
  </si>
  <si>
    <t>PO Box 91100</t>
  </si>
  <si>
    <t>Middle East/Africa</t>
  </si>
  <si>
    <t>971 56 418 8972</t>
  </si>
  <si>
    <t>Björn Edlund</t>
  </si>
  <si>
    <t>Brian Lott</t>
  </si>
  <si>
    <t>Jen</t>
  </si>
  <si>
    <t>Jennifer</t>
  </si>
  <si>
    <t>Prosek</t>
  </si>
  <si>
    <t>jprosek@prosek.com</t>
  </si>
  <si>
    <t>Chief Executive Officer and Founder</t>
  </si>
  <si>
    <t>Prosek Partners</t>
  </si>
  <si>
    <t>105 Madison Ave Fl 7 
New York, NY 10016-7553 US</t>
  </si>
  <si>
    <t>105 Madison Ave Fl 7</t>
  </si>
  <si>
    <t>10016-7553</t>
  </si>
  <si>
    <t>(212) 279-3115</t>
  </si>
  <si>
    <t>(917) 887-0212</t>
  </si>
  <si>
    <t>Founder and Partner, Cubitt Jacobs &amp; Prosek Communications</t>
  </si>
  <si>
    <t>Donna</t>
  </si>
  <si>
    <t>Imperato</t>
  </si>
  <si>
    <t>donna.imperato@cohnwolfe.com</t>
  </si>
  <si>
    <t>Burson Cohn &amp; Wolfe (BCW)</t>
  </si>
  <si>
    <t>200 5th Ave 
New York, NY 10010-3302 US</t>
  </si>
  <si>
    <t>200 5th Ave</t>
  </si>
  <si>
    <t>10010-3302</t>
  </si>
  <si>
    <t>212-798-9800</t>
  </si>
  <si>
    <t>212-329-9913</t>
  </si>
  <si>
    <t>Helen Ostrowski</t>
  </si>
  <si>
    <t>Marcia Silverman</t>
  </si>
  <si>
    <t>Chief Executive Officer, Cohn &amp; Wolfe</t>
  </si>
  <si>
    <t>Ross</t>
  </si>
  <si>
    <t>gary@garymross.com</t>
  </si>
  <si>
    <t>ross.gary@comcast.net</t>
  </si>
  <si>
    <t>President and Strategic Communications Consultant</t>
  </si>
  <si>
    <t>Gary M. Ross Communications LLC</t>
  </si>
  <si>
    <t>412 Claret Dr 
Buffalo Grove, IL 60089-1786 US</t>
  </si>
  <si>
    <t>Buffalo Grove</t>
  </si>
  <si>
    <t>412 Claret Dr</t>
  </si>
  <si>
    <t>60089-1786</t>
  </si>
  <si>
    <t>(847) 404-9055</t>
  </si>
  <si>
    <t>(847) 229-9055</t>
  </si>
  <si>
    <t>General Manager Corporate Communications, CDW Corporation</t>
  </si>
  <si>
    <t>Ernst</t>
  </si>
  <si>
    <t>Primosch</t>
  </si>
  <si>
    <t>ernst.primosch@edelman.com</t>
  </si>
  <si>
    <t>office@primosch.de</t>
  </si>
  <si>
    <t>Darmstaedter Landstrasse 112 
Frankfurt, 60598 DE</t>
  </si>
  <si>
    <t>Frankfurt</t>
  </si>
  <si>
    <t>Darmstaedter Landstrasse 112</t>
  </si>
  <si>
    <t>60598</t>
  </si>
  <si>
    <t>+49 2219128670</t>
  </si>
  <si>
    <t>+49 173 5303294</t>
  </si>
  <si>
    <t>Corporate Vice President and Chief Communications Officer, Henkel</t>
  </si>
  <si>
    <t>Pepper</t>
  </si>
  <si>
    <t>jon@indelable.com</t>
  </si>
  <si>
    <t>Partner and President</t>
  </si>
  <si>
    <t>Indelable</t>
  </si>
  <si>
    <t>60 Broad St Fl 24 
New York, NY 10004-2342 US</t>
  </si>
  <si>
    <t>60 Broad St Fl 24</t>
  </si>
  <si>
    <t>10004-2342</t>
  </si>
  <si>
    <t>646.737.9865</t>
  </si>
  <si>
    <t>646-454-0293</t>
  </si>
  <si>
    <t>Kenneth Sternad</t>
  </si>
  <si>
    <t>VP, Corporate Communications, Hess Corporation</t>
  </si>
  <si>
    <t>Teresa</t>
  </si>
  <si>
    <t>Paulsen</t>
  </si>
  <si>
    <t>teresa@teresapaulsen.com</t>
  </si>
  <si>
    <t>teresapaulsen@outlook.com</t>
  </si>
  <si>
    <t>Owner, Founder</t>
  </si>
  <si>
    <t>Teresa Paulsen Communication LLC</t>
  </si>
  <si>
    <t>1711 N 127th St 
Omaha, NE 68154 US</t>
  </si>
  <si>
    <t>Omaha</t>
  </si>
  <si>
    <t>1711 N 127th St</t>
  </si>
  <si>
    <t>68154</t>
  </si>
  <si>
    <t>NE</t>
  </si>
  <si>
    <t>Nebraska</t>
  </si>
  <si>
    <t>14022906713</t>
  </si>
  <si>
    <t>(402) 398-0014</t>
  </si>
  <si>
    <t>(402) 290-6713</t>
  </si>
  <si>
    <t>VP, Corporate Communications, ConAgra Foods, Inc.</t>
  </si>
  <si>
    <t>Firth</t>
  </si>
  <si>
    <t>james.d.firth@att.net</t>
  </si>
  <si>
    <t>Kivvit</t>
  </si>
  <si>
    <t>6300 Pelican Bay Blvd, Ph5a 
Unit PH-5A 
Naples, FL 34108 US</t>
  </si>
  <si>
    <t>6300 Pelican Bay Blvd, Ph5a</t>
  </si>
  <si>
    <t>Unit PH-5A</t>
  </si>
  <si>
    <t>312/550-1172</t>
  </si>
  <si>
    <t>312-550-1172</t>
  </si>
  <si>
    <t>Arthur Wiese</t>
  </si>
  <si>
    <t>Ginger</t>
  </si>
  <si>
    <t>Hardage</t>
  </si>
  <si>
    <t>ginger.hardage@gmail.com</t>
  </si>
  <si>
    <t>4502 Wildwood 
Dallas, TX 75209 US</t>
  </si>
  <si>
    <t>4502 Wildwood</t>
  </si>
  <si>
    <t>75209</t>
  </si>
  <si>
    <t>214-808-1882</t>
  </si>
  <si>
    <t>Senior Vice President, Culture &amp; Communications, Southwest Airlines Co.</t>
  </si>
  <si>
    <t>Kane</t>
  </si>
  <si>
    <t>lkanemullahy@gmail.com</t>
  </si>
  <si>
    <t>lkanemullahy@icloud.com</t>
  </si>
  <si>
    <t>National Association of Manufacturers (NAM)</t>
  </si>
  <si>
    <t>33 Maiden Lane 
New York, NY 10024 US</t>
  </si>
  <si>
    <t>33 Maiden Lane</t>
  </si>
  <si>
    <t>(706) 593-0786</t>
  </si>
  <si>
    <t>(706) 596-1713</t>
  </si>
  <si>
    <t>706.593.0786, 718.764.7902</t>
  </si>
  <si>
    <t>Betty Hudson</t>
  </si>
  <si>
    <t>Vice President, External Communications</t>
  </si>
  <si>
    <t>Van Luling</t>
  </si>
  <si>
    <t>mtvanluling@yahoo.com</t>
  </si>
  <si>
    <t>vanlumt@nu.com</t>
  </si>
  <si>
    <t>H&amp;R Block</t>
  </si>
  <si>
    <t>8 Johnson Rd 
Newbury, MA 01951-1315 US</t>
  </si>
  <si>
    <t>Newbury</t>
  </si>
  <si>
    <t>8 Johnson Rd</t>
  </si>
  <si>
    <t>01951-1315</t>
  </si>
  <si>
    <t>(202) 962-0083</t>
  </si>
  <si>
    <t>860-757-3042</t>
  </si>
  <si>
    <t>6177333590</t>
  </si>
  <si>
    <t>Richard J. White</t>
  </si>
  <si>
    <t>Vice President, Corporate Communications, Northeast Utilities, Inc.</t>
  </si>
  <si>
    <t>Caroline</t>
  </si>
  <si>
    <t>Wouters</t>
  </si>
  <si>
    <t>cwouters@wolterskluwer.com</t>
  </si>
  <si>
    <t>Chief Brand Officer / VP, Corporate Communications</t>
  </si>
  <si>
    <t>Wolters Kluwer</t>
  </si>
  <si>
    <t>Zuidpoolsingel 2 
Alphen Aan Den Rijn, 2408 NL</t>
  </si>
  <si>
    <t>Alphen Aan Den Rijn</t>
  </si>
  <si>
    <t>Zuidpoolsingel 2</t>
  </si>
  <si>
    <t>2408</t>
  </si>
  <si>
    <t>31172641459</t>
  </si>
  <si>
    <t>31172641400</t>
  </si>
  <si>
    <t>Caroline L. WoutersVice President, Corporate CommunicationsWolters Kluwer nv</t>
  </si>
  <si>
    <t>J Christopher</t>
  </si>
  <si>
    <t>Preuss</t>
  </si>
  <si>
    <t>jcpreuss1@aol.com</t>
  </si>
  <si>
    <t>chris.preuss@tru-strategies.com</t>
  </si>
  <si>
    <t>WPP Group</t>
  </si>
  <si>
    <t>903 Mcdonald Dr 
Northville, MI 48167-1088 US</t>
  </si>
  <si>
    <t>Northville</t>
  </si>
  <si>
    <t>903 Mcdonald Dr</t>
  </si>
  <si>
    <t>48167-1088</t>
  </si>
  <si>
    <t>(248) 225-6554</t>
  </si>
  <si>
    <t>Vice President Global Communications, General Motors</t>
  </si>
  <si>
    <t>Gould</t>
  </si>
  <si>
    <t>rob.gould@nee.com</t>
  </si>
  <si>
    <t>Vice President &amp; Chief Communications Officer</t>
  </si>
  <si>
    <t>NextEra Energy - Florida Power &amp; Light</t>
  </si>
  <si>
    <t>700 Universe Blvd 
Juno Beach, FL 33408-2657 US</t>
  </si>
  <si>
    <t>Juno Beach</t>
  </si>
  <si>
    <t>700 Universe Blvd</t>
  </si>
  <si>
    <t>33408-2657</t>
  </si>
  <si>
    <t>(561) 694-4000</t>
  </si>
  <si>
    <t>440-747-7765</t>
  </si>
  <si>
    <t>410-948-0809</t>
  </si>
  <si>
    <t>Vice President, Corporate Communications, Constellation Energy Group</t>
  </si>
  <si>
    <t>Jeanne</t>
  </si>
  <si>
    <t>Forbis</t>
  </si>
  <si>
    <t>forbis_jk@hotmail.com</t>
  </si>
  <si>
    <t>forbis-jk@hotmail.com</t>
  </si>
  <si>
    <t>Head Of Public Affairs &amp; Communications</t>
  </si>
  <si>
    <t>Lincare Holdings Inc.</t>
  </si>
  <si>
    <t>100 S Belcher Rd Unit 8607 
Clearwater, FL 33758-8386 US</t>
  </si>
  <si>
    <t>Clearwater</t>
  </si>
  <si>
    <t>100 S Belcher Rd Unit 8607</t>
  </si>
  <si>
    <t>33758-8386</t>
  </si>
  <si>
    <t>(214) 727-0609</t>
  </si>
  <si>
    <t>(612) 605-0705</t>
  </si>
  <si>
    <t>(405) 246-6834</t>
  </si>
  <si>
    <t>Director, Corporate Communications, Land O'Lakes, Inc.</t>
  </si>
  <si>
    <t>Kahn</t>
  </si>
  <si>
    <t>susan.kahn@mac.com</t>
  </si>
  <si>
    <t>44 Degrees North Partners, LLC</t>
  </si>
  <si>
    <t>712 Valley Way 
Hopkins, MN 55305 US</t>
  </si>
  <si>
    <t>Hopkins</t>
  </si>
  <si>
    <t>712 Valley Way</t>
  </si>
  <si>
    <t>55305</t>
  </si>
  <si>
    <t>612.594.2199</t>
  </si>
  <si>
    <t>Kathryn H. Tunheim</t>
  </si>
  <si>
    <t>Senior Vice President, Communications &amp; Reputation Management, Target Corporation</t>
  </si>
  <si>
    <t>Temple</t>
  </si>
  <si>
    <t>jennifer.temple@hpe.com</t>
  </si>
  <si>
    <t>SVP &amp; Chief Communications Officer</t>
  </si>
  <si>
    <t>Hewlett Packard Enterprise</t>
  </si>
  <si>
    <t>3000 Hanover St   
20B EC 
Palo Alto, CA 94304-1112 US</t>
  </si>
  <si>
    <t>3000 Hanover St</t>
  </si>
  <si>
    <t>20B EC</t>
  </si>
  <si>
    <t>94304-1112</t>
  </si>
  <si>
    <t>(415) 830-2649</t>
  </si>
  <si>
    <t>Kelli Parsons</t>
  </si>
  <si>
    <t>Maureen Davenport</t>
  </si>
  <si>
    <t>SVP, Head of Communication for Consumer Lending, Wealth,  Corporate Risk &amp; IT - Wells Fargo</t>
  </si>
  <si>
    <t>Weiskopf</t>
  </si>
  <si>
    <t>davidweiskopf@hotmail.com</t>
  </si>
  <si>
    <t>david.weiskopf@hotmail.com</t>
  </si>
  <si>
    <t>Weiskopf Consulting</t>
  </si>
  <si>
    <t>165 Londonderry Dr 
San Mateo, CA 94402-3737 US</t>
  </si>
  <si>
    <t>San Mateo</t>
  </si>
  <si>
    <t>165 Londonderry Dr</t>
  </si>
  <si>
    <t>94402-3737</t>
  </si>
  <si>
    <t>(408) 498-6555</t>
  </si>
  <si>
    <t>(650) 302-4460</t>
  </si>
  <si>
    <t>Sherry</t>
  </si>
  <si>
    <t>Pudloski</t>
  </si>
  <si>
    <t>sherry_pudloski@glic.com</t>
  </si>
  <si>
    <t>Guardian Life Insurance Company</t>
  </si>
  <si>
    <t>7 Hanover Sq 
New York, NY 10004-2616 US</t>
  </si>
  <si>
    <t>7 Hanover Sq</t>
  </si>
  <si>
    <t>10004-2616</t>
  </si>
  <si>
    <t>212.919.2817</t>
  </si>
  <si>
    <t>917-620-4446</t>
  </si>
  <si>
    <t>Kathryn Metcalfe</t>
  </si>
  <si>
    <t>Judith A. Muhlberg</t>
  </si>
  <si>
    <t>Rod</t>
  </si>
  <si>
    <t>Rodrigo</t>
  </si>
  <si>
    <t>Sierra</t>
  </si>
  <si>
    <t>rodrigosierra99@gmail.com</t>
  </si>
  <si>
    <t>rodsierra@aol.com</t>
  </si>
  <si>
    <t>Chief Communications and Marketing Officer</t>
  </si>
  <si>
    <t>American Medical Association</t>
  </si>
  <si>
    <t>330 N Wabash Ave   
Chicago, IL 60611-3514 US</t>
  </si>
  <si>
    <t>330 N Wabash Ave</t>
  </si>
  <si>
    <t>60611-3514</t>
  </si>
  <si>
    <t>(312) 464-4497</t>
  </si>
  <si>
    <t>(312) 841-1062</t>
  </si>
  <si>
    <t>Chief Communications and Marketing Officer - American Medical Association</t>
  </si>
  <si>
    <t>McDougall</t>
  </si>
  <si>
    <t>mike@mcdougallpr.com</t>
  </si>
  <si>
    <t>mlmcdougall@gmail.com</t>
  </si>
  <si>
    <t>McDougall Communications</t>
  </si>
  <si>
    <t>2423 Monroe Avenue 
Rochester, NY 14618 US</t>
  </si>
  <si>
    <t>Rochester</t>
  </si>
  <si>
    <t>2423 Monroe Avenue</t>
  </si>
  <si>
    <t>14618</t>
  </si>
  <si>
    <t>5854342150</t>
  </si>
  <si>
    <t>585-545-1815</t>
  </si>
  <si>
    <t>Vice President, Corporate Communications, Bausch &amp; Lomb</t>
  </si>
  <si>
    <t>Sodeika</t>
  </si>
  <si>
    <t>lisa.sodeika@adtalem.com</t>
  </si>
  <si>
    <t>lsodeika@yahoo.com</t>
  </si>
  <si>
    <t>SVP External Relations and Regulatory Affairs</t>
  </si>
  <si>
    <t>Adtalem Global Education</t>
  </si>
  <si>
    <t>500 West Monroe 
Chicago, IL 60661 US</t>
  </si>
  <si>
    <t>500 West Monroe</t>
  </si>
  <si>
    <t>60661</t>
  </si>
  <si>
    <t>630-719-6725</t>
  </si>
  <si>
    <t>847-428-8204</t>
  </si>
  <si>
    <t>Executive Vice President, Corporate Affairs, HSBC</t>
  </si>
  <si>
    <t>Whaley</t>
  </si>
  <si>
    <t>jim.whaley@sealdedair.com</t>
  </si>
  <si>
    <t>VP Corporate Communications and Government Affairs</t>
  </si>
  <si>
    <t>Sealed Air</t>
  </si>
  <si>
    <t>2415 Cascade Pointe Blvd 
Charlotte, NC 28208 US</t>
  </si>
  <si>
    <t>2415 Cascade Pointe Blvd</t>
  </si>
  <si>
    <t>28208</t>
  </si>
  <si>
    <t>201 774 4762</t>
  </si>
  <si>
    <t>848-448-2438</t>
  </si>
  <si>
    <t>VP, Communications and Marketing, Siemens Corporation</t>
  </si>
  <si>
    <t>Pam</t>
  </si>
  <si>
    <t>Wickham</t>
  </si>
  <si>
    <t>pam_wickham@raytheon.com</t>
  </si>
  <si>
    <t>Vice President, Corporate Affairs and Communications</t>
  </si>
  <si>
    <t>Raytheon Company</t>
  </si>
  <si>
    <t>870 Winter St 
Waltham, MA 02451-1449 US</t>
  </si>
  <si>
    <t>Waltham</t>
  </si>
  <si>
    <t>870 Winter St</t>
  </si>
  <si>
    <t>02451-1449</t>
  </si>
  <si>
    <t>781-522-5125</t>
  </si>
  <si>
    <t>781-249-8774</t>
  </si>
  <si>
    <t>Vice President, Corporate Affairs and Communications, Raytheon</t>
  </si>
  <si>
    <t>Robb</t>
  </si>
  <si>
    <t>Kristopher</t>
  </si>
  <si>
    <t>rkristopher@zebra.com</t>
  </si>
  <si>
    <t>robb.kristopher@gmail.com</t>
  </si>
  <si>
    <t>Sr. Director, Corporate Communications</t>
  </si>
  <si>
    <t>Zebra Technologies</t>
  </si>
  <si>
    <t>3 Overlook Pt 
Suite 500 
Lincolnshire, IL 60069-4302 US</t>
  </si>
  <si>
    <t>3 Overlook Pt</t>
  </si>
  <si>
    <t>Suite 500</t>
  </si>
  <si>
    <t>60069-4302</t>
  </si>
  <si>
    <t>8477935514</t>
  </si>
  <si>
    <t>8472261203</t>
  </si>
  <si>
    <t>Nancy A. Hobor</t>
  </si>
  <si>
    <t>Head of Corporate Marketing, Zebra Marketing</t>
  </si>
  <si>
    <t>Beiser</t>
  </si>
  <si>
    <t>kathryn.beiser@kp.org</t>
  </si>
  <si>
    <t>Kathryn.beiser@gmail.com</t>
  </si>
  <si>
    <t>Senior Vice President and Chief Communications Officer</t>
  </si>
  <si>
    <t>Kaiser Permanente</t>
  </si>
  <si>
    <t>One Kaiser Plaza 
Oakland, CA 94612 US</t>
  </si>
  <si>
    <t>Oakland</t>
  </si>
  <si>
    <t>One Kaiser Plaza</t>
  </si>
  <si>
    <t>94612</t>
  </si>
  <si>
    <t>(571) 314-3212</t>
  </si>
  <si>
    <t>(703) 821-7697</t>
  </si>
  <si>
    <t>Kym White</t>
  </si>
  <si>
    <t>Vice President, Corporate Communications, Discover Financial Services</t>
  </si>
  <si>
    <t>East</t>
  </si>
  <si>
    <t>elleneast@gmail.com</t>
  </si>
  <si>
    <t>Time Warner Cable</t>
  </si>
  <si>
    <t>123 Hart Lake Place 
Hartwell, GA 30643 US</t>
  </si>
  <si>
    <t>Hartwell</t>
  </si>
  <si>
    <t>123 Hart Lake Place</t>
  </si>
  <si>
    <t>30643</t>
  </si>
  <si>
    <t>(404) 219-8910</t>
  </si>
  <si>
    <t>Executive Vice President, Chief Communications Officer - Time Warner Cable</t>
  </si>
  <si>
    <t>Jeff</t>
  </si>
  <si>
    <t>Leshay</t>
  </si>
  <si>
    <t>jeff@leshaycommunications.com</t>
  </si>
  <si>
    <t>Leshay Communications, LLC</t>
  </si>
  <si>
    <t>7525 E Gainey Ranch Rd Unit 148 
Scottsdale, AZ 85258-1607 US</t>
  </si>
  <si>
    <t>Scottsdale</t>
  </si>
  <si>
    <t>7525 E Gainey Ranch Rd Unit 148</t>
  </si>
  <si>
    <t>85258-1607</t>
  </si>
  <si>
    <t>(847) 840-1711</t>
  </si>
  <si>
    <t>(847) 853-1141</t>
  </si>
  <si>
    <t>DeFeo</t>
  </si>
  <si>
    <t>ron.defeo@aa.com</t>
  </si>
  <si>
    <t>ron_defeo@hotmail.com</t>
  </si>
  <si>
    <t>BOT_Grace</t>
  </si>
  <si>
    <t>4333 Amon Carter Blvd, MD 5575 
Fort Worth, TX 76155 US</t>
  </si>
  <si>
    <t>4333 Amon Carter Blvd, MD 5575</t>
  </si>
  <si>
    <t>(817) 967-6167</t>
  </si>
  <si>
    <t>(404) 316-2906</t>
  </si>
  <si>
    <t>Senior Vice President, Communications, Darden RestaurantsVice President Of Media Relations and External Communications, Darden Restaurants (Page Up)</t>
  </si>
  <si>
    <t>Thomas G. Mattia</t>
  </si>
  <si>
    <t>Aaron</t>
  </si>
  <si>
    <t>Feigin</t>
  </si>
  <si>
    <t>aaronfeigin72@gmail.com</t>
  </si>
  <si>
    <t>VP of Corporate Marketing &amp; Communications</t>
  </si>
  <si>
    <t>Sumo Logic</t>
  </si>
  <si>
    <t>3258 Driftwood Dr 
Lafayette, CA 94549-5630 US</t>
  </si>
  <si>
    <t>Lafayette</t>
  </si>
  <si>
    <t>3258 Driftwood Dr</t>
  </si>
  <si>
    <t>94549-5630</t>
  </si>
  <si>
    <t>925-786-0286</t>
  </si>
  <si>
    <t>650-427-3747</t>
  </si>
  <si>
    <t>Senior Director, Head of Global Communication, VMWare</t>
  </si>
  <si>
    <t>Paula</t>
  </si>
  <si>
    <t>Prahl</t>
  </si>
  <si>
    <t>paulaj.prahl@gmail.com</t>
  </si>
  <si>
    <t>pprahl@varde.com</t>
  </si>
  <si>
    <t>PIIP, LLC</t>
  </si>
  <si>
    <t>1470 Skyline Drive 
Golden Valley, MN US</t>
  </si>
  <si>
    <t>Golden Valley</t>
  </si>
  <si>
    <t>1470 Skyline Drive</t>
  </si>
  <si>
    <t>(763) 588-7764</t>
  </si>
  <si>
    <t>(763) 360-1314</t>
  </si>
  <si>
    <t>Senior Vice President, Communications, Public Affairs and Corporate Responsibility, Best Buy Co., Inc.</t>
  </si>
  <si>
    <t>Bloomgarden</t>
  </si>
  <si>
    <t>bloomgardenk@ruderfinn.com</t>
  </si>
  <si>
    <t>Ruder Finn</t>
  </si>
  <si>
    <t>425 East 53rd Street 
New York, NY 10022 US</t>
  </si>
  <si>
    <t>425 East 53rd Street</t>
  </si>
  <si>
    <t>2125936497</t>
  </si>
  <si>
    <t>Chief Executive Officer, Ruder Finn</t>
  </si>
  <si>
    <t>Weiss</t>
  </si>
  <si>
    <t>jweiss@w2ogroup.com</t>
  </si>
  <si>
    <t>bostrom@w2ogroup.com (Becky)</t>
  </si>
  <si>
    <t>Chairman, CEO and Founder</t>
  </si>
  <si>
    <t>50 Francisco Street 
Suite 400 
San Francisco, CA 94133 US</t>
  </si>
  <si>
    <t>50 Francisco Street</t>
  </si>
  <si>
    <t>415-609-3680</t>
  </si>
  <si>
    <t>Laura Leber</t>
  </si>
  <si>
    <t>Chairman, CEO and Founder, WeissComm Group</t>
  </si>
  <si>
    <t>Oscar</t>
  </si>
  <si>
    <t>Suris</t>
  </si>
  <si>
    <t>Oscar.Suris@sbcglobal.net</t>
  </si>
  <si>
    <t>301 S College St 
12th Floor 
Charlotte, NC 28202 US</t>
  </si>
  <si>
    <t>301 S College St</t>
  </si>
  <si>
    <t>12th Floor</t>
  </si>
  <si>
    <t>28202</t>
  </si>
  <si>
    <t>(704) 302-6646</t>
  </si>
  <si>
    <t>(415) 793-0669</t>
  </si>
  <si>
    <t>(248) 723-3105</t>
  </si>
  <si>
    <t>Executive Vice President, Corporate Communications, Wells Fargo &amp; Company</t>
  </si>
  <si>
    <t>Denise</t>
  </si>
  <si>
    <t>Hill</t>
  </si>
  <si>
    <t>dhill12@elon.edu</t>
  </si>
  <si>
    <t>Assistant Professor, School of Communications</t>
  </si>
  <si>
    <t>2850 Campus BOX 
Elon, NC 27244-2008 US</t>
  </si>
  <si>
    <t>2850 Campus BOX</t>
  </si>
  <si>
    <t>(336) 278-5733</t>
  </si>
  <si>
    <t>(908) 240-3394</t>
  </si>
  <si>
    <t>Vice President, Corporate Communications and Public Relations, Delhaize America</t>
  </si>
  <si>
    <t>Holly</t>
  </si>
  <si>
    <t>Potter</t>
  </si>
  <si>
    <t>holly.potter@moore.org</t>
  </si>
  <si>
    <t>htpotter@me.com</t>
  </si>
  <si>
    <t>Gordon and Betty Moore Foundation</t>
  </si>
  <si>
    <t>1661 Page MILL Road 
Palo Alto, CA 94304 US</t>
  </si>
  <si>
    <t>1661 Page MILL Road</t>
  </si>
  <si>
    <t>510-452-7074</t>
  </si>
  <si>
    <t>Chief Communications Officer - Gordon and Betty Moore FoundationVice President - Kaiser Permanente (page up)</t>
  </si>
  <si>
    <t>King</t>
  </si>
  <si>
    <t>jim.king@scotts.com</t>
  </si>
  <si>
    <t>jimking@wowway.com</t>
  </si>
  <si>
    <t>Senior Vice President; Chief Communications Officer</t>
  </si>
  <si>
    <t>The Scotts Miracle-Gro Company</t>
  </si>
  <si>
    <t>14111 Scottslawn Rd 
Marysville, OH 43040-7800 US</t>
  </si>
  <si>
    <t>14111 Scottslawn Rd</t>
  </si>
  <si>
    <t>43040-7800</t>
  </si>
  <si>
    <t>614-296-7973</t>
  </si>
  <si>
    <t>614- 296-7973</t>
  </si>
  <si>
    <t>Ellen East</t>
  </si>
  <si>
    <t>Senior Vice President, Investor Relations &amp; Corporate Affairs, The Scotts Miracle-Gro Company</t>
  </si>
  <si>
    <t>Christy</t>
  </si>
  <si>
    <t>Cavallini</t>
  </si>
  <si>
    <t>Christine.K.Cavallini@ehi.com</t>
  </si>
  <si>
    <t>Vice President, Global Corporate Communication &amp; PR</t>
  </si>
  <si>
    <t>Enterprise Holdings</t>
  </si>
  <si>
    <t>600 Corporate Park Drive 
St. Louis, MO 63105 US</t>
  </si>
  <si>
    <t>St. Louis</t>
  </si>
  <si>
    <t>600 Corporate Park Drive</t>
  </si>
  <si>
    <t>63105</t>
  </si>
  <si>
    <t>(314) 512-2706</t>
  </si>
  <si>
    <t>Vice President, Corporate Communication &amp; Public Relations, Enterprise Holdings</t>
  </si>
  <si>
    <t>Cees</t>
  </si>
  <si>
    <t>B.M.</t>
  </si>
  <si>
    <t>Van Riel</t>
  </si>
  <si>
    <t>criel@rsm.nl</t>
  </si>
  <si>
    <t>Professor in Corporate Communication</t>
  </si>
  <si>
    <t>Erasmus University</t>
  </si>
  <si>
    <t>Burgemeester Oudlaan 50 
Rotterdam, NE 3062pa NL</t>
  </si>
  <si>
    <t>Burgemeester Oudlaan 50</t>
  </si>
  <si>
    <t>3062pa</t>
  </si>
  <si>
    <t>+06 53 71 5964</t>
  </si>
  <si>
    <t>Professor in Corporate Communication, Rotterdam School of Management, Erasmus University Rotterdam,Editor-in-Chief Corporate Reputation Review, Managing Director Reputation Institute</t>
  </si>
  <si>
    <t>Memphis</t>
  </si>
  <si>
    <t>Bernaden</t>
  </si>
  <si>
    <t>bernaden@aol.com</t>
  </si>
  <si>
    <t>3064 South 60th Street, Apt. 1 
Leesburg, FL 34788 US</t>
  </si>
  <si>
    <t>Leesburg</t>
  </si>
  <si>
    <t>3064 South 60th Street, Apt. 1</t>
  </si>
  <si>
    <t>34788</t>
  </si>
  <si>
    <t>(414) 517-8387</t>
  </si>
  <si>
    <t>(414) 202-9365</t>
  </si>
  <si>
    <t>(414) 460-5536</t>
  </si>
  <si>
    <t>Director, Corporate Communications, Rockwell Automation</t>
  </si>
  <si>
    <t>Jimenez</t>
  </si>
  <si>
    <t>bob.jimenez@coxinc.com</t>
  </si>
  <si>
    <t>bobjimenez@comcast.net</t>
  </si>
  <si>
    <t>Senior Vice President, Corporate Communications and Administrative Services</t>
  </si>
  <si>
    <t>Cox Enterprises, Inc.</t>
  </si>
  <si>
    <t>6205 Peachtree Dunwoody Road 
Atlanta, GA 30328 US</t>
  </si>
  <si>
    <t>Atlanta</t>
  </si>
  <si>
    <t>6205 Peachtree Dunwoody Road</t>
  </si>
  <si>
    <t>30328</t>
  </si>
  <si>
    <t>(678) 645-0070</t>
  </si>
  <si>
    <t>(404) 964-0445</t>
  </si>
  <si>
    <t>Ellen Hartman</t>
  </si>
  <si>
    <t>Vice President of Corporate Communications and Public Affairs, Cox Enterprises, Inc.</t>
  </si>
  <si>
    <t>michael.stewart@edelman.com</t>
  </si>
  <si>
    <t>pennlands@yahoo.com (personal email)</t>
  </si>
  <si>
    <t>President CEO, Europe and CIS</t>
  </si>
  <si>
    <t>Southside 
105 Victoria Street 
London, SW1E 6QT GB</t>
  </si>
  <si>
    <t>Southside</t>
  </si>
  <si>
    <t>105 Victoria Street</t>
  </si>
  <si>
    <t>SW1E 6QT</t>
  </si>
  <si>
    <t>+44 20 3047 2035</t>
  </si>
  <si>
    <t>+44 7946 401 450</t>
  </si>
  <si>
    <t>Director of Communications, McKinsey &amp; Company</t>
  </si>
  <si>
    <t>Alex</t>
  </si>
  <si>
    <t>Dudley</t>
  </si>
  <si>
    <t>Alex.Dudley@charter.com</t>
  </si>
  <si>
    <t>SVP, Communications</t>
  </si>
  <si>
    <t>Charter Communications</t>
  </si>
  <si>
    <t>400 Atlantic St Fl 10 
Stamford, CT 06901-3512 US</t>
  </si>
  <si>
    <t>400 Atlantic St Fl 10</t>
  </si>
  <si>
    <t>06901-3512</t>
  </si>
  <si>
    <t>203-905-7960</t>
  </si>
  <si>
    <t>SVP, Communications, Charter Communications</t>
  </si>
  <si>
    <t>Price</t>
  </si>
  <si>
    <t>william.price@zoetis.com</t>
  </si>
  <si>
    <t>VP &amp; Chief Communications Officer</t>
  </si>
  <si>
    <t>Zoetis</t>
  </si>
  <si>
    <t>10 Sylvan Way 
Parsippany, NJ 07054-3825 US</t>
  </si>
  <si>
    <t>Parsippany</t>
  </si>
  <si>
    <t>10 Sylvan Way</t>
  </si>
  <si>
    <t>07054-3825</t>
  </si>
  <si>
    <t>(973) 443-2742</t>
  </si>
  <si>
    <t>(973) 451-9441</t>
  </si>
  <si>
    <t>(908) 251-1972</t>
  </si>
  <si>
    <t>Kathleen M. Fitzgerald</t>
  </si>
  <si>
    <t>VP &amp; Chief Communications Officer - Zoetis</t>
  </si>
  <si>
    <t>DeMarrais</t>
  </si>
  <si>
    <t>jeffrey.a.demarrais@gmail.com</t>
  </si>
  <si>
    <t>Strategic Communications Counsel</t>
  </si>
  <si>
    <t>Non-Qualified</t>
  </si>
  <si>
    <t>99 Baldwin Ter 
Fairfield, CT 06824-6903 US</t>
  </si>
  <si>
    <t>99 Baldwin Ter</t>
  </si>
  <si>
    <t>06824-6903</t>
  </si>
  <si>
    <t>(203) 816-7194</t>
  </si>
  <si>
    <t>(203) 212-4406</t>
  </si>
  <si>
    <t>Pam Wickham</t>
  </si>
  <si>
    <t>(Page Up) CCO; GE Healthcare</t>
  </si>
  <si>
    <t>Bret</t>
  </si>
  <si>
    <t>Gallaway</t>
  </si>
  <si>
    <t>gallawab@trinity-health.org</t>
  </si>
  <si>
    <t>SVP, Marketing and Communications</t>
  </si>
  <si>
    <t>Trinity Health</t>
  </si>
  <si>
    <t>20555 Victor Pkwy 
Livonia, MI 48152-7031 US</t>
  </si>
  <si>
    <t>Livonia</t>
  </si>
  <si>
    <t>20555 Victor Pkwy</t>
  </si>
  <si>
    <t>48152-7031</t>
  </si>
  <si>
    <t>734-343-0231</t>
  </si>
  <si>
    <t>210-913-1013</t>
  </si>
  <si>
    <t>210.913.2137</t>
  </si>
  <si>
    <t>Wendi Strong</t>
  </si>
  <si>
    <t>VP and Chief Communications Officer, Trinity Health</t>
  </si>
  <si>
    <t>Rutherford</t>
  </si>
  <si>
    <t>linda.rutherford@wnco.com</t>
  </si>
  <si>
    <t>Senior Vice President &amp; CCO</t>
  </si>
  <si>
    <t>Southwest Airlines</t>
  </si>
  <si>
    <t>2702 Love Field Dr 
Hdq-1pr 
Dallas, TX 75235-1908 US</t>
  </si>
  <si>
    <t>2702 Love Field Dr</t>
  </si>
  <si>
    <t>Hdq-1pr</t>
  </si>
  <si>
    <t>75235-1908</t>
  </si>
  <si>
    <t>214-792-4625</t>
  </si>
  <si>
    <t>214-808-1991</t>
  </si>
  <si>
    <t>Vice President &amp; CCO, Communications &amp; Outreach, Southwest Airlines</t>
  </si>
  <si>
    <t>Talley</t>
  </si>
  <si>
    <t>chris.talley@usaa.com</t>
  </si>
  <si>
    <t>CCO &amp; VP CEO Communications</t>
  </si>
  <si>
    <t>USAA</t>
  </si>
  <si>
    <t>9800 Fredericksburg Road 
San Antonio, TX 78232 US</t>
  </si>
  <si>
    <t>9800 Fredericksburg Road</t>
  </si>
  <si>
    <t>78232</t>
  </si>
  <si>
    <t>(210) 464-4600</t>
  </si>
  <si>
    <t>Vice President, Corporate Communications, USAA</t>
  </si>
  <si>
    <t>Uchida</t>
  </si>
  <si>
    <t>Donna.J.Uchida@kp.org</t>
  </si>
  <si>
    <t>Donna.Uchida@gmail.com</t>
  </si>
  <si>
    <t>Chief Of Communications</t>
  </si>
  <si>
    <t>1 Kaiser Plz 
Oakland, CA 94612-3610 US</t>
  </si>
  <si>
    <t>1 Kaiser Plz</t>
  </si>
  <si>
    <t>94612-3610</t>
  </si>
  <si>
    <t>(510) 267-7425</t>
  </si>
  <si>
    <t>(415) 246-0540</t>
  </si>
  <si>
    <t>(510) 852-2557</t>
  </si>
  <si>
    <t>Chief of Communications, Office of the Chairman &amp; CEO - Kaiser PermanenteFormer Future Leader</t>
  </si>
  <si>
    <t>Brown</t>
  </si>
  <si>
    <t>laura.brown@grainger.com</t>
  </si>
  <si>
    <t>l.dempsey.brown@gmail.com</t>
  </si>
  <si>
    <t>Advisor</t>
  </si>
  <si>
    <t>WW Grainger</t>
  </si>
  <si>
    <t>100 Grainger Parkway 
MS B4 G06 
Lake Forest, IL 60045 US</t>
  </si>
  <si>
    <t>100 Grainger Parkway</t>
  </si>
  <si>
    <t>MS B4 G06</t>
  </si>
  <si>
    <t>(847) 535-0409</t>
  </si>
  <si>
    <t>Gary Ross</t>
  </si>
  <si>
    <t>Senior Vice President, Communications and Investor Relations, Grainger</t>
  </si>
  <si>
    <t>Leslie</t>
  </si>
  <si>
    <t>Sutton</t>
  </si>
  <si>
    <t>lesliesutton@discover.com</t>
  </si>
  <si>
    <t>VP, Corporate Communications</t>
  </si>
  <si>
    <t>Discover Financial Services</t>
  </si>
  <si>
    <t>2500 Lake Cook Rd 
Riverwoods, IL 60015-3851 US</t>
  </si>
  <si>
    <t>Riverwoods</t>
  </si>
  <si>
    <t>2500 Lake Cook Rd</t>
  </si>
  <si>
    <t>60015-3851</t>
  </si>
  <si>
    <t>(224) 405-3965</t>
  </si>
  <si>
    <t>Kathy H. Beiser</t>
  </si>
  <si>
    <t>VP, Corporate Communications, Discover Financial Services</t>
  </si>
  <si>
    <t>Bonnie</t>
  </si>
  <si>
    <t>Jacobs</t>
  </si>
  <si>
    <t>bonniejacobs@comcast.net</t>
  </si>
  <si>
    <t>Anthem</t>
  </si>
  <si>
    <t>36 Chapel Hill Rd. 
MD:  IN0102-B380 
Mount Laurel, NJ 08054 US</t>
  </si>
  <si>
    <t>Mount Laurel</t>
  </si>
  <si>
    <t>36 Chapel Hill Rd.</t>
  </si>
  <si>
    <t>MD:  IN0102-B380</t>
  </si>
  <si>
    <t>08054</t>
  </si>
  <si>
    <t>317-619-7424</t>
  </si>
  <si>
    <t>317-488-6654</t>
  </si>
  <si>
    <t>Vice President, Global Corporate Affairs &amp; Public Relations, Allergan</t>
  </si>
  <si>
    <t>Wohl</t>
  </si>
  <si>
    <t>bwohl@commvault.com</t>
  </si>
  <si>
    <t>wohlwa@gmail.com</t>
  </si>
  <si>
    <t>Commvault</t>
  </si>
  <si>
    <t>1 Commvault Way 
Tinton Falls, NJ 07724-3096 US</t>
  </si>
  <si>
    <t>Tinton Falls</t>
  </si>
  <si>
    <t>1 Commvault Way</t>
  </si>
  <si>
    <t>07724-3096</t>
  </si>
  <si>
    <t>+1.732.870.4310</t>
  </si>
  <si>
    <t>(650) 521-3283</t>
  </si>
  <si>
    <t>(484) 431-3345</t>
  </si>
  <si>
    <t>Kristen</t>
  </si>
  <si>
    <t>Spensieri</t>
  </si>
  <si>
    <t>kristen.spensieri@syneoshealth.com</t>
  </si>
  <si>
    <t>Global Head of Corporate Communications &amp; Marketing</t>
  </si>
  <si>
    <t>Syneos Health</t>
  </si>
  <si>
    <t>450 W 15th St Fl 7 
New York, NY 10011-7097 US</t>
  </si>
  <si>
    <t>450 W 15th St Fl 7</t>
  </si>
  <si>
    <t>10011-7097</t>
  </si>
  <si>
    <t>212.229.8453</t>
  </si>
  <si>
    <t>347.922.3230</t>
  </si>
  <si>
    <t>Kathleen S. Kelly</t>
  </si>
  <si>
    <t>Global Head of Corporate Communications and Marketing</t>
  </si>
  <si>
    <t>McGinnis</t>
  </si>
  <si>
    <t>kmcginnis@levi.com</t>
  </si>
  <si>
    <t>kellymcgin@yahoo.com</t>
  </si>
  <si>
    <t>Levi Strauss &amp; Co.</t>
  </si>
  <si>
    <t>1155 Battery St 
San Francisco, CA 94111-1203 US</t>
  </si>
  <si>
    <t>1155 Battery St</t>
  </si>
  <si>
    <t>94111-1203</t>
  </si>
  <si>
    <t>(415) 501-7879</t>
  </si>
  <si>
    <t>(415) 577-0886</t>
  </si>
  <si>
    <t>(415) 987-6913</t>
  </si>
  <si>
    <t>Vice President, Global Communications, Dell</t>
  </si>
  <si>
    <t>Ward White</t>
  </si>
  <si>
    <t>Heidi</t>
  </si>
  <si>
    <t>Hovland</t>
  </si>
  <si>
    <t>HHovland@devriesglobal.com</t>
  </si>
  <si>
    <t>hovlandpickett@gmail.com</t>
  </si>
  <si>
    <t>Global CEO</t>
  </si>
  <si>
    <t>DeVries Global</t>
  </si>
  <si>
    <t>909 Third Ave 
New York, NY 10022 US</t>
  </si>
  <si>
    <t>909 Third Ave</t>
  </si>
  <si>
    <t>212-546-8500</t>
  </si>
  <si>
    <t>646-643-1262</t>
  </si>
  <si>
    <t>Art Stevens</t>
  </si>
  <si>
    <t>CEO, Devries Global</t>
  </si>
  <si>
    <t>Metcalfe</t>
  </si>
  <si>
    <t>MetcalfeK@aetna.com</t>
  </si>
  <si>
    <t>kathrynmetcalfe@gmail.com</t>
  </si>
  <si>
    <t>Aetna</t>
  </si>
  <si>
    <t>151 Farmington Ave 
Hartford, CT 06156 US</t>
  </si>
  <si>
    <t>Hartford</t>
  </si>
  <si>
    <t>151 Farmington Ave</t>
  </si>
  <si>
    <t>06156</t>
  </si>
  <si>
    <t>860-273-0518</t>
  </si>
  <si>
    <t>Maryanne</t>
  </si>
  <si>
    <t>Lataif</t>
  </si>
  <si>
    <t>mlataif@aegworldwide.com</t>
  </si>
  <si>
    <t>MaryanneLataif@gmail.com</t>
  </si>
  <si>
    <t>AEG Worldwide (Anschutz Entertainment Group)</t>
  </si>
  <si>
    <t>800 West Olympic Blvd. 
Los Angeles, CA 90015 US</t>
  </si>
  <si>
    <t>800 West Olympic Blvd.</t>
  </si>
  <si>
    <t>90015</t>
  </si>
  <si>
    <t>310-990-5870</t>
  </si>
  <si>
    <t>3104575771</t>
  </si>
  <si>
    <t>Senior Vice President, Corporate Communications, Activision Blizzard</t>
  </si>
  <si>
    <t>Kuperman</t>
  </si>
  <si>
    <t>Jennifer.kuperman@alibaba-inc.com</t>
  </si>
  <si>
    <t>Head of International Corporate Affairs</t>
  </si>
  <si>
    <t>Alibaba</t>
  </si>
  <si>
    <t>140  New Montgomery St  STE 2600 
26th Fl 
San Francisco, CA 94105-3823 US</t>
  </si>
  <si>
    <t>140  New Montgomery St  STE 2600</t>
  </si>
  <si>
    <t>26th Fl</t>
  </si>
  <si>
    <t>94105-3823</t>
  </si>
  <si>
    <t>415-595-6916</t>
  </si>
  <si>
    <t>4158480721</t>
  </si>
  <si>
    <t>Wilkerson</t>
  </si>
  <si>
    <t>russell.wilkerson@ge.com</t>
  </si>
  <si>
    <t>arwilkerson@msn.com</t>
  </si>
  <si>
    <t>Baker Hughes, a GE company</t>
  </si>
  <si>
    <t>17021 Aldine Westfield Rd 
Houston, TX 77073-5101 US</t>
  </si>
  <si>
    <t>17021 Aldine Westfield Rd</t>
  </si>
  <si>
    <t>77073-5101</t>
  </si>
  <si>
    <t>+1 713 879 1543</t>
  </si>
  <si>
    <t>(203) 581-2114</t>
  </si>
  <si>
    <t>Chief Communications Officer, Baker Hughes</t>
  </si>
  <si>
    <t>Leigh</t>
  </si>
  <si>
    <t>Emick Horner</t>
  </si>
  <si>
    <t>lhorner@hersheys.com</t>
  </si>
  <si>
    <t>Vice President, Corporate Communications &amp; Corporate Social Responsibility</t>
  </si>
  <si>
    <t>Hershey</t>
  </si>
  <si>
    <t>19 E Chocolate Ave 
Hershey, PA 17033-1314 US</t>
  </si>
  <si>
    <t>19 E Chocolate Ave</t>
  </si>
  <si>
    <t>17033-1314</t>
  </si>
  <si>
    <t>(717) 534-7641</t>
  </si>
  <si>
    <t>(919) 291-0016</t>
  </si>
  <si>
    <t>Thomas Johnson</t>
  </si>
  <si>
    <t>Barbara Fagan-Smith</t>
  </si>
  <si>
    <t>Vice President, Corporate Communications &amp; Corporate Social Responsibility - The Hershey Company</t>
  </si>
  <si>
    <t>Shannon</t>
  </si>
  <si>
    <t>Lapierre</t>
  </si>
  <si>
    <t>lapierreshannon@yahoo.com</t>
  </si>
  <si>
    <t>shannon.lapierre@sbdinc.com</t>
  </si>
  <si>
    <t>Vice President, Communication</t>
  </si>
  <si>
    <t>Stanley Black &amp; Decker, Inc.</t>
  </si>
  <si>
    <t>690 Asylum Ave 
Hartford, CT 06155-0002 US</t>
  </si>
  <si>
    <t>690 Asylum Ave</t>
  </si>
  <si>
    <t>06155-0002</t>
  </si>
  <si>
    <t>860 827 3575</t>
  </si>
  <si>
    <t>Senior Vice President, Communications,The Hartford Financial Services Group</t>
  </si>
  <si>
    <t>Bridget</t>
  </si>
  <si>
    <t>Coffing</t>
  </si>
  <si>
    <t>bridget.coffing@gmail.com</t>
  </si>
  <si>
    <t>1212 N. Lake Shore Drive, 21bn 
Chicago, IL 60610 US</t>
  </si>
  <si>
    <t>1212 N. Lake Shore Drive, 21bn</t>
  </si>
  <si>
    <t>(630) 649-4594</t>
  </si>
  <si>
    <t>Senior Vice President, McDonald's Corporation, McDonald's Corporation</t>
  </si>
  <si>
    <t>Maxey</t>
  </si>
  <si>
    <t>cmaxey@trinseo.com</t>
  </si>
  <si>
    <t>cmaxey@styron.com</t>
  </si>
  <si>
    <t>VP Public Affairs, Sustainability and Environment, Health and Safety</t>
  </si>
  <si>
    <t>Trinseo LLC (formerly Styron LLC)</t>
  </si>
  <si>
    <t>1000 Chesterbrook, Blvd, 300 
Unit 23h 
Berwyn, PA 19312 US</t>
  </si>
  <si>
    <t>1000 Chesterbrook, Blvd, 300</t>
  </si>
  <si>
    <t>Unit 23h</t>
  </si>
  <si>
    <t>610.240.3333</t>
  </si>
  <si>
    <t>Janet M. Botz</t>
  </si>
  <si>
    <t>Vice President, Public Affairs, Government Affairs and Business Intelligence, Styron</t>
  </si>
  <si>
    <t>Gina</t>
  </si>
  <si>
    <t>Proia</t>
  </si>
  <si>
    <t>Gina.Proia@cit.com</t>
  </si>
  <si>
    <t>Executive Vice President and Chief Marketing and Communications Officer</t>
  </si>
  <si>
    <t>CIT Group</t>
  </si>
  <si>
    <t>1177 Avenue of the Americas 
New York, NY 10036 US</t>
  </si>
  <si>
    <t>1177 Avenue of the Americas</t>
  </si>
  <si>
    <t>10036</t>
  </si>
  <si>
    <t>646-781-2692</t>
  </si>
  <si>
    <t>VP Chief Communications Officer, Ally Financial Inc.</t>
  </si>
  <si>
    <t>Joanne</t>
  </si>
  <si>
    <t>Bischmann</t>
  </si>
  <si>
    <t>joanne.bischmann@harley-davidson.com</t>
  </si>
  <si>
    <t>VP, Chief Communication Officer</t>
  </si>
  <si>
    <t>Harley-Davidson</t>
  </si>
  <si>
    <t>3700 W. Juneau Ave. 
Milwaukee, WI 53217 US</t>
  </si>
  <si>
    <t>Milwaukee</t>
  </si>
  <si>
    <t>3700 W. Juneau Ave.</t>
  </si>
  <si>
    <t>53217</t>
  </si>
  <si>
    <t>(414) 343-6597</t>
  </si>
  <si>
    <t>VP, Communications Harley-Davidson, Inc.</t>
  </si>
  <si>
    <t>Hatfield</t>
  </si>
  <si>
    <t>john.hatfield@aps.com</t>
  </si>
  <si>
    <t>Vice President, Communications</t>
  </si>
  <si>
    <t>Pinnacle West Capital</t>
  </si>
  <si>
    <t>400 N. 5th Street M.S. 9020 
Phoenix, AZ 85004-3902 US</t>
  </si>
  <si>
    <t>400 N. 5th Street M.S. 9020</t>
  </si>
  <si>
    <t>85004-3902</t>
  </si>
  <si>
    <t>(602) 250-4488</t>
  </si>
  <si>
    <t>Vice President, Communications,Arizona Public Service</t>
  </si>
  <si>
    <t>Maggie</t>
  </si>
  <si>
    <t>FitzPatrick</t>
  </si>
  <si>
    <t>maggie.fitzpatrick@exeloncorp.com</t>
  </si>
  <si>
    <t>Senior Vice President, Corporate Affairs, Philanthropy and Customer Engagement</t>
  </si>
  <si>
    <t>Exelon</t>
  </si>
  <si>
    <t>101 Constitution Ave NE Ste 400 
Washington, DC 20002-5607 US</t>
  </si>
  <si>
    <t>101 Constitution Ave NE Ste 400</t>
  </si>
  <si>
    <t>20002-5607</t>
  </si>
  <si>
    <t>202-637-0781</t>
  </si>
  <si>
    <t>202-281-5220</t>
  </si>
  <si>
    <t>Margery Kraus</t>
  </si>
  <si>
    <t>Chief Communications Officer Cigna</t>
  </si>
  <si>
    <t>Kelli</t>
  </si>
  <si>
    <t>Parsons</t>
  </si>
  <si>
    <t>Kelli.parsons@utc.com</t>
  </si>
  <si>
    <t>kelli_parsons@me.com</t>
  </si>
  <si>
    <t>SVP and Chief Communications Officer</t>
  </si>
  <si>
    <t>15 Adams Farm Rd. 
Westport, CT 06880 US</t>
  </si>
  <si>
    <t>Westport</t>
  </si>
  <si>
    <t>15 Adams Farm Rd.</t>
  </si>
  <si>
    <t>06880</t>
  </si>
  <si>
    <t>917-587-0878</t>
  </si>
  <si>
    <t>Senior Vice President &amp; Chief Communications Officer, Fannie Mae</t>
  </si>
  <si>
    <t>Spong</t>
  </si>
  <si>
    <t>doug@dougspong.com</t>
  </si>
  <si>
    <t>doug.spong@spongpr.com</t>
  </si>
  <si>
    <t>The Doug Spong Co. LLC.</t>
  </si>
  <si>
    <t>350 S Collier Blvd Unit 507 
Marco Island, FL 34145-4913 US</t>
  </si>
  <si>
    <t>Marco Island</t>
  </si>
  <si>
    <t>350 S Collier Blvd Unit 507</t>
  </si>
  <si>
    <t>34145-4913</t>
  </si>
  <si>
    <t>612.986.6084</t>
  </si>
  <si>
    <t>President/Founder, Carmichael Lynch Spong</t>
  </si>
  <si>
    <t>Alexander</t>
  </si>
  <si>
    <t>Jutkowitz</t>
  </si>
  <si>
    <t>Alexander.Jutkowitz@groupsjr.com</t>
  </si>
  <si>
    <t>CEO &amp; CEO, U.S.</t>
  </si>
  <si>
    <t>Group SJR</t>
  </si>
  <si>
    <t>466  Lexington Ave  FRNT 4 FL 2 
Apt 2 
New York, NY 10017-3173 US</t>
  </si>
  <si>
    <t>466  Lexington Ave  FRNT 4 FL 2</t>
  </si>
  <si>
    <t>Apt 2</t>
  </si>
  <si>
    <t>10017-3173</t>
  </si>
  <si>
    <t>212-885-0559</t>
  </si>
  <si>
    <t>917-443-8009</t>
  </si>
  <si>
    <t>917-545-2509</t>
  </si>
  <si>
    <t>Managing Partner, Group SJR</t>
  </si>
  <si>
    <t>Wendy</t>
  </si>
  <si>
    <t>Lund</t>
  </si>
  <si>
    <t>wendy.lund@gcihealth.com</t>
  </si>
  <si>
    <t>GCI Health</t>
  </si>
  <si>
    <t>212-798-9936</t>
  </si>
  <si>
    <t>Jeffrey A. Winton</t>
  </si>
  <si>
    <t>Myers</t>
  </si>
  <si>
    <t>william.myers@davita.com</t>
  </si>
  <si>
    <t>Managing Director, Communications</t>
  </si>
  <si>
    <t>Liberty Global</t>
  </si>
  <si>
    <t>2000 16th Street 
Denver, CO 80202 US</t>
  </si>
  <si>
    <t>Denver</t>
  </si>
  <si>
    <t>2000 16th Street</t>
  </si>
  <si>
    <t>80202</t>
  </si>
  <si>
    <t>(303) 876-6609</t>
  </si>
  <si>
    <t>(303) 876-2962</t>
  </si>
  <si>
    <t>Gwinavere Johnston</t>
  </si>
  <si>
    <t>VP, Communications &amp; Corporate Responsibility, DaVita</t>
  </si>
  <si>
    <t>Barbara</t>
  </si>
  <si>
    <t>Fagan-Smith</t>
  </si>
  <si>
    <t>bfs@roico.com</t>
  </si>
  <si>
    <t>CEO and Founder</t>
  </si>
  <si>
    <t>ROI Communication</t>
  </si>
  <si>
    <t>5274 Scotts Valley Dr. 
Scotts Valley, CA 95066 US</t>
  </si>
  <si>
    <t>Scotts Valley</t>
  </si>
  <si>
    <t>5274 Scotts Valley Dr.</t>
  </si>
  <si>
    <t>95066</t>
  </si>
  <si>
    <t>(831) 430-0170</t>
  </si>
  <si>
    <t>(415) 298-3411</t>
  </si>
  <si>
    <t>CEO and Founder,ROI Communication</t>
  </si>
  <si>
    <t>Anthony</t>
  </si>
  <si>
    <t>Farina</t>
  </si>
  <si>
    <t>Anthony.Farina@cslbehring.com</t>
  </si>
  <si>
    <t>anthonyfarina@msn.com</t>
  </si>
  <si>
    <t>Chief Communications Officer and Vice President of Corporate Affairs</t>
  </si>
  <si>
    <t>CSL Limited</t>
  </si>
  <si>
    <t>1020 First Avenue 
King of Prussia, PA 19406 US</t>
  </si>
  <si>
    <t>King of Prussia</t>
  </si>
  <si>
    <t>1020 First Avenue</t>
  </si>
  <si>
    <t>19406</t>
  </si>
  <si>
    <t>(610) 878-4665</t>
  </si>
  <si>
    <t>(302) 545-0316</t>
  </si>
  <si>
    <t>Director Global Public Affairs, DuPont</t>
  </si>
  <si>
    <t>Semrau</t>
  </si>
  <si>
    <t>kmsemrau@scj.com</t>
  </si>
  <si>
    <t>SVP, Global Corporate Affairs, Communication &amp; Sustainability</t>
  </si>
  <si>
    <t>S.C. Johnson &amp; Son, Inc.</t>
  </si>
  <si>
    <t>1525 Howe Street 
Racine, WI 53403 US</t>
  </si>
  <si>
    <t>Racine</t>
  </si>
  <si>
    <t>1525 Howe Street</t>
  </si>
  <si>
    <t>53403</t>
  </si>
  <si>
    <t>262-260-2102</t>
  </si>
  <si>
    <t>Clayton Hollis</t>
  </si>
  <si>
    <t>SVP, Global Corporate Affairs, Communication &amp; Sustainability, S.C. Johnson &amp; Son, Inc.</t>
  </si>
  <si>
    <t>Luca</t>
  </si>
  <si>
    <t>Virginio</t>
  </si>
  <si>
    <t>luca.virginio@barilla.com</t>
  </si>
  <si>
    <t>Chief Communication and External Relations Officer</t>
  </si>
  <si>
    <t>Barilla G e R. Fratelli S.p.A.</t>
  </si>
  <si>
    <t>Via Mantova, 166 
Parma, 43122 IT</t>
  </si>
  <si>
    <t>Parma</t>
  </si>
  <si>
    <t>IT</t>
  </si>
  <si>
    <t>Italy</t>
  </si>
  <si>
    <t>Via Mantova, 166</t>
  </si>
  <si>
    <t>43122</t>
  </si>
  <si>
    <t>011 39 0521 263291</t>
  </si>
  <si>
    <t>011 33 3907550624</t>
  </si>
  <si>
    <t>3.9340755062e+11</t>
  </si>
  <si>
    <t>CCO, Group Communication and External Relations Director</t>
  </si>
  <si>
    <t>Becky</t>
  </si>
  <si>
    <t>Lowell</t>
  </si>
  <si>
    <t>Edwards</t>
  </si>
  <si>
    <t>becky.edwards@olympic.org</t>
  </si>
  <si>
    <t>rledwards@me.com</t>
  </si>
  <si>
    <t>Strategic Communications Director</t>
  </si>
  <si>
    <t>The International Olympic Committee (IOC)</t>
  </si>
  <si>
    <t>Avenue General-Guisan, 70 
Pully, 1009 CH</t>
  </si>
  <si>
    <t>Pully</t>
  </si>
  <si>
    <t>Avenue General-Guisan, 70</t>
  </si>
  <si>
    <t>1009</t>
  </si>
  <si>
    <t>+19144331124 (US mobile)</t>
  </si>
  <si>
    <t>Pattie</t>
  </si>
  <si>
    <t>Kushner</t>
  </si>
  <si>
    <t>prpattie@yahoo.com</t>
  </si>
  <si>
    <t>kushnep@labcorp.com</t>
  </si>
  <si>
    <t>LabCorp</t>
  </si>
  <si>
    <t>5311 Lucas Farm Lane 
Chapel Hill, NC 27516 US</t>
  </si>
  <si>
    <t>5311 Lucas Farm Lane</t>
  </si>
  <si>
    <t>27516</t>
  </si>
  <si>
    <t>(336) 436-5133</t>
  </si>
  <si>
    <t>(513) 633-6827</t>
  </si>
  <si>
    <t>(210) 218-7527</t>
  </si>
  <si>
    <t>VP, Corporate Communications, LabCorp</t>
  </si>
  <si>
    <t>Saletta</t>
  </si>
  <si>
    <t>jill.Saletta@nvent.com</t>
  </si>
  <si>
    <t>jillsaletta@gmail.com</t>
  </si>
  <si>
    <t>Andeavor</t>
  </si>
  <si>
    <t>1665 Utica Avenue 
Minneapolis, MN 55416 US</t>
  </si>
  <si>
    <t>1665 Utica Avenue</t>
  </si>
  <si>
    <t>55416</t>
  </si>
  <si>
    <t>(763) 204-7771</t>
  </si>
  <si>
    <t>(269) 430-1237</t>
  </si>
  <si>
    <t>Vice President Corporate Communications of Tesoro Companies, Inc.,</t>
  </si>
  <si>
    <t>Clayton</t>
  </si>
  <si>
    <t>janet.clayton@edisonintl.com</t>
  </si>
  <si>
    <t>Edison International</t>
  </si>
  <si>
    <t>2244 Walnut Grove Ave 
Rosemead, CA 91770-3714 US</t>
  </si>
  <si>
    <t>Rosemead</t>
  </si>
  <si>
    <t>2244 Walnut Grove Ave</t>
  </si>
  <si>
    <t>91770-3714</t>
  </si>
  <si>
    <t>626-302-2257</t>
  </si>
  <si>
    <t>Gerald Swerling</t>
  </si>
  <si>
    <t>Senior Vice President, Corporate Communications, Edison International</t>
  </si>
  <si>
    <t>Batliner</t>
  </si>
  <si>
    <t>julie.batliner@clynch.com</t>
  </si>
  <si>
    <t>President, APR</t>
  </si>
  <si>
    <t>Carmichael Lynch Relate</t>
  </si>
  <si>
    <t>110 N 5th St 
Minneapolis, MN 55403-1608 US</t>
  </si>
  <si>
    <t>110 N 5th St</t>
  </si>
  <si>
    <t>55403-1608</t>
  </si>
  <si>
    <t>(612) 375-8510</t>
  </si>
  <si>
    <t>Tina McCorkindale</t>
  </si>
  <si>
    <t>Terry Flynn</t>
  </si>
  <si>
    <t>Cohen</t>
  </si>
  <si>
    <t>paul.cohen@visa.com</t>
  </si>
  <si>
    <t>pacohen@visa.com</t>
  </si>
  <si>
    <t>Visa</t>
  </si>
  <si>
    <t>246 Reed Blvd 
Mill Valley, CA 94941-2562 US</t>
  </si>
  <si>
    <t>Mill Valley</t>
  </si>
  <si>
    <t>246 Reed Blvd</t>
  </si>
  <si>
    <t>94941-2562</t>
  </si>
  <si>
    <t>Kelly McGinnis</t>
  </si>
  <si>
    <t>Joe Carberry</t>
  </si>
  <si>
    <t>Jennifer Doidge</t>
  </si>
  <si>
    <t>Bortree</t>
  </si>
  <si>
    <t>dsb177@psu.edu</t>
  </si>
  <si>
    <t>Associate Professor and Director of Arthur W. Page Center for Integrity in Public Communication</t>
  </si>
  <si>
    <t>Pennsylvania State University</t>
  </si>
  <si>
    <t>4 Carnegie Building 
University Park, PA 16802 US</t>
  </si>
  <si>
    <t>University Park</t>
  </si>
  <si>
    <t>4 Carnegie Building</t>
  </si>
  <si>
    <t>16802</t>
  </si>
  <si>
    <t>814-865-1274</t>
  </si>
  <si>
    <t>Associate Professor, Advertising/Public Relations and Director of Arthur W. Page Center, Penn State University</t>
  </si>
  <si>
    <t>Caulfield</t>
  </si>
  <si>
    <t>kathryn.caulfield@clorox.com</t>
  </si>
  <si>
    <t>Vice President â€“ Global Corporate Communications &amp; Corporate Responsibility</t>
  </si>
  <si>
    <t>The Clorox Company</t>
  </si>
  <si>
    <t>1221 Broadway 
Oakland, CA 94612 US</t>
  </si>
  <si>
    <t>1221 Broadway</t>
  </si>
  <si>
    <t>510-271-7000</t>
  </si>
  <si>
    <t>510-271-7209</t>
  </si>
  <si>
    <t>Vice President - Global Corporate Communications, Corporate Responsibility and Crisis Management, The Clorox Company</t>
  </si>
  <si>
    <t>Caputo</t>
  </si>
  <si>
    <t>lcaputo@travelers.com</t>
  </si>
  <si>
    <t>EVP, Marketing &amp; Communications</t>
  </si>
  <si>
    <t>Travelers Cos.</t>
  </si>
  <si>
    <t>485 Lexington Avenue 
8th Floor 
New York, NY 10017 US</t>
  </si>
  <si>
    <t>485 Lexington Avenue</t>
  </si>
  <si>
    <t>8th Floor</t>
  </si>
  <si>
    <t>(917) 778-6819</t>
  </si>
  <si>
    <t>Loretta Ucelli</t>
  </si>
  <si>
    <t>EVP, Marketing &amp; Communications, Travelers Companies, Inc.</t>
  </si>
  <si>
    <t>Phillips</t>
  </si>
  <si>
    <t>r.phillips@nationwide.com</t>
  </si>
  <si>
    <t>Nationwide</t>
  </si>
  <si>
    <t>One Nationwide Plaza 
Columbus, OH 43215 US</t>
  </si>
  <si>
    <t>One Nationwide Plaza</t>
  </si>
  <si>
    <t>43215</t>
  </si>
  <si>
    <t>614-249-8705</t>
  </si>
  <si>
    <t>Vice President &amp; Chief Communications Officer, Nationwide Insurance</t>
  </si>
  <si>
    <t>Owens</t>
  </si>
  <si>
    <t>Cox</t>
  </si>
  <si>
    <t>donna.cox@westrock.com</t>
  </si>
  <si>
    <t>WestRock</t>
  </si>
  <si>
    <t>504 Thrasher Street 
Norcross, GA 30071 US</t>
  </si>
  <si>
    <t>Norcross</t>
  </si>
  <si>
    <t>504 Thrasher Street</t>
  </si>
  <si>
    <t>30071</t>
  </si>
  <si>
    <t>678-291-7392</t>
  </si>
  <si>
    <t>804-794-1807</t>
  </si>
  <si>
    <t>804-335-4704</t>
  </si>
  <si>
    <t>Vice President, Communications, MeadWestvaco</t>
  </si>
  <si>
    <t>Clarissa</t>
  </si>
  <si>
    <t>Haller</t>
  </si>
  <si>
    <t>clarissa.haller@siemens.com</t>
  </si>
  <si>
    <t>Siemens</t>
  </si>
  <si>
    <t>Wittelsbacherplatz 2 
MÃ¼nchen, 80333 DE</t>
  </si>
  <si>
    <t>MÃ¼nchen</t>
  </si>
  <si>
    <t>Wittelsbacherplatz 2</t>
  </si>
  <si>
    <t>80333</t>
  </si>
  <si>
    <t>+49 (69) 797 6660</t>
  </si>
  <si>
    <t>Head of Group Corporate Communications, ABB Ltd.</t>
  </si>
  <si>
    <t>Emilio</t>
  </si>
  <si>
    <t>Galli-Zugaro</t>
  </si>
  <si>
    <t>emilio@galli-zugaro.com</t>
  </si>
  <si>
    <t>Methodos</t>
  </si>
  <si>
    <t>Pestalozzistrasse 23 
Hohenzollernstr. 122 
Munich, 80469 DE</t>
  </si>
  <si>
    <t>Munich</t>
  </si>
  <si>
    <t>Pestalozzistrasse 23</t>
  </si>
  <si>
    <t>Hohenzollernstr. 122</t>
  </si>
  <si>
    <t>80469</t>
  </si>
  <si>
    <t>4.9171557856e+11</t>
  </si>
  <si>
    <t>John McLaren</t>
  </si>
  <si>
    <t>Head of Group Communications, Allianz SE</t>
  </si>
  <si>
    <t>Kaplan</t>
  </si>
  <si>
    <t>mark@kaplanllc.com</t>
  </si>
  <si>
    <t>markekaplan@gmail.com</t>
  </si>
  <si>
    <t>Mosaic Fertilizer, LLC</t>
  </si>
  <si>
    <t>275 Bayshore Blvd Unit 908 
Tampa, FL 33606-2309 US</t>
  </si>
  <si>
    <t>Tampa</t>
  </si>
  <si>
    <t>275 Bayshore Blvd Unit 908</t>
  </si>
  <si>
    <t>33606-2309</t>
  </si>
  <si>
    <t>(850) 322-6237</t>
  </si>
  <si>
    <t>VP, Public Affairs, The Mosaic Company</t>
  </si>
  <si>
    <t>Carrie</t>
  </si>
  <si>
    <t>Kurlander</t>
  </si>
  <si>
    <t>carrie.kurlander@cfacorp.com</t>
  </si>
  <si>
    <t>Vice President, Public Relations</t>
  </si>
  <si>
    <t>Chick-fil-A, Inc.</t>
  </si>
  <si>
    <t>5200 Buffington Road 
Atlanta, GA 30349-2998 US</t>
  </si>
  <si>
    <t>5200 Buffington Road</t>
  </si>
  <si>
    <t>30349-2998</t>
  </si>
  <si>
    <t>404-765-8117</t>
  </si>
  <si>
    <t>205-601-0628</t>
  </si>
  <si>
    <t>Vice President, Communications, Southern Company</t>
  </si>
  <si>
    <t>Mand</t>
  </si>
  <si>
    <t>mmand@caa.com</t>
  </si>
  <si>
    <t>Creative Artists Agency</t>
  </si>
  <si>
    <t>2000 Avenue of the Stars 
Los Angeles, CA 90067 US</t>
  </si>
  <si>
    <t>2000 Avenue of the Stars</t>
  </si>
  <si>
    <t>(424) 288-2245</t>
  </si>
  <si>
    <t>(424) 288-2000</t>
  </si>
  <si>
    <t>Chief Communications Officer, CAA</t>
  </si>
  <si>
    <t>Suzanne</t>
  </si>
  <si>
    <t>McCarron</t>
  </si>
  <si>
    <t>suzanne.m.mccarron@exxonmobil.com</t>
  </si>
  <si>
    <t>5959 Las Colinas Blvd 
Irving, TX 75039-4202 US</t>
  </si>
  <si>
    <t>Irving</t>
  </si>
  <si>
    <t>5959 Las Colinas Blvd</t>
  </si>
  <si>
    <t>75039-4202</t>
  </si>
  <si>
    <t>Kenneth Cohen</t>
  </si>
  <si>
    <t>General Manager, Public and Government Affairs (President, Exxon Mobil Foundation), Exxon Mobil</t>
  </si>
  <si>
    <t>Heather</t>
  </si>
  <si>
    <t>Rim</t>
  </si>
  <si>
    <t>heather.rim@aecom.com</t>
  </si>
  <si>
    <t>AECOM</t>
  </si>
  <si>
    <t>1999 Ave Of the Stars Suite 26 
Century City, CA 90067 US</t>
  </si>
  <si>
    <t>Century City</t>
  </si>
  <si>
    <t>1999 Ave Of the Stars Suite 26</t>
  </si>
  <si>
    <t>213-593-8485</t>
  </si>
  <si>
    <t>818-325-5765</t>
  </si>
  <si>
    <t>Diane Dixon</t>
  </si>
  <si>
    <t>Johanna Schneider</t>
  </si>
  <si>
    <t>VP, Global Corporate Communications, Avery Dennison</t>
  </si>
  <si>
    <t>Margita</t>
  </si>
  <si>
    <t>Thompson</t>
  </si>
  <si>
    <t>margita.thompson@crc.com</t>
  </si>
  <si>
    <t>camargita@aol.com</t>
  </si>
  <si>
    <t>California Resources Corp.</t>
  </si>
  <si>
    <t>11203 Blix Street 
Toluca Lake, CA 91602 US</t>
  </si>
  <si>
    <t>Toluca Lake</t>
  </si>
  <si>
    <t>11203 Blix Street</t>
  </si>
  <si>
    <t>91602</t>
  </si>
  <si>
    <t>(818) 661-6015</t>
  </si>
  <si>
    <t>213-361-1405</t>
  </si>
  <si>
    <t>Vice President, Corporate Communications &amp; Latino Programs Officer, Health Net, Inc.</t>
  </si>
  <si>
    <t>Charlene</t>
  </si>
  <si>
    <t>Antoinette</t>
  </si>
  <si>
    <t>Wheeless</t>
  </si>
  <si>
    <t>cwheeles@bechtel.com</t>
  </si>
  <si>
    <t>charlene@gcwheeless.com</t>
  </si>
  <si>
    <t>Principal Vice President, Corporate Affairs</t>
  </si>
  <si>
    <t>12011 Sunset Hills Rd 
Reston, VA 20190-5918 US</t>
  </si>
  <si>
    <t>Reston</t>
  </si>
  <si>
    <t>12011 Sunset Hills Rd</t>
  </si>
  <si>
    <t>20190-5918</t>
  </si>
  <si>
    <t>(571) 392-3891</t>
  </si>
  <si>
    <t>(703) 447-7077</t>
  </si>
  <si>
    <t>Principal Vice President, Corporate Affairs, Bechtel Corporation</t>
  </si>
  <si>
    <t>Winton</t>
  </si>
  <si>
    <t>jeff.winton@astellas.com</t>
  </si>
  <si>
    <t>SVP of public affairs</t>
  </si>
  <si>
    <t>Alkermes</t>
  </si>
  <si>
    <t>1 Astellas Way 
Northbrook, IL 60062 US</t>
  </si>
  <si>
    <t>1 Astellas Way</t>
  </si>
  <si>
    <t>(224) 205-8242</t>
  </si>
  <si>
    <t>(847) 778-1426</t>
  </si>
  <si>
    <t>Julie Craven</t>
  </si>
  <si>
    <t>Vice President and Head, Global Communications, Eli Lilly and Company</t>
  </si>
  <si>
    <t>Bowen</t>
  </si>
  <si>
    <t>sbowen@mailbox.sc.edu</t>
  </si>
  <si>
    <t>profbowen@yahoo.com</t>
  </si>
  <si>
    <t>Associate Professor, School of Journalism and Mass Communications</t>
  </si>
  <si>
    <t>University of South Carolina</t>
  </si>
  <si>
    <t>800 Sumter St 
Columbia, SC 29208-3404 US</t>
  </si>
  <si>
    <t>Columbia</t>
  </si>
  <si>
    <t>800 Sumter St</t>
  </si>
  <si>
    <t>29208-3404</t>
  </si>
  <si>
    <t>(803) 777-3764</t>
  </si>
  <si>
    <t>(315) 450-1529</t>
  </si>
  <si>
    <t>Stephen A. Greyser</t>
  </si>
  <si>
    <t>Associate Professor, School of Journalism and Mass Communications, College of Mass Communications and Information Studies, University of South Carolina</t>
  </si>
  <si>
    <t>Mohamed</t>
  </si>
  <si>
    <t>Al Ayed</t>
  </si>
  <si>
    <t>moh@traccs.net</t>
  </si>
  <si>
    <t>President &amp; Chief Executive Officer</t>
  </si>
  <si>
    <t>Trans Arabian Creative Communications (TRACCS)</t>
  </si>
  <si>
    <t>TRACCS HQ Building 
PO Box 23851 
Jeddah, 21436 SA</t>
  </si>
  <si>
    <t>Jeddah</t>
  </si>
  <si>
    <t>SA</t>
  </si>
  <si>
    <t>Saudi Arabia</t>
  </si>
  <si>
    <t>TRACCS HQ Building</t>
  </si>
  <si>
    <t>PO Box 23851</t>
  </si>
  <si>
    <t>21436</t>
  </si>
  <si>
    <t>+9662 6625757 ext 143</t>
  </si>
  <si>
    <t>Gloria S. Dittus</t>
  </si>
  <si>
    <t>Founder &amp; Chief Executive Officer, Trans Arabian Creative Communications (TRACCS)</t>
  </si>
  <si>
    <t>Haynes</t>
  </si>
  <si>
    <t>bhaynes@sardverb.com</t>
  </si>
  <si>
    <t>brucehaynesconsulting@gmail.com</t>
  </si>
  <si>
    <t>Managing Director, Vice Chairman of Public Affairs</t>
  </si>
  <si>
    <t>Sard Verbinnen &amp; Co.</t>
  </si>
  <si>
    <t>815 Slaters Lane 
Alexandria, VA 22101 US</t>
  </si>
  <si>
    <t>815 Slaters Lane</t>
  </si>
  <si>
    <t>22101</t>
  </si>
  <si>
    <t>(703) 887-0912</t>
  </si>
  <si>
    <t>Bill Myers</t>
  </si>
  <si>
    <t>Managing Partner, Purple Strategies</t>
  </si>
  <si>
    <t>Luke</t>
  </si>
  <si>
    <t>Lambert</t>
  </si>
  <si>
    <t>llambert@gscommunications.com</t>
  </si>
  <si>
    <t>President and CEO</t>
  </si>
  <si>
    <t>G&amp;S Business Communications</t>
  </si>
  <si>
    <t>60 East 42nd Street 
44th Floor 
New York, NY 10165 US</t>
  </si>
  <si>
    <t>60 East 42nd Street</t>
  </si>
  <si>
    <t>44th Floor</t>
  </si>
  <si>
    <t>10165</t>
  </si>
  <si>
    <t>(212) 697-2600</t>
  </si>
  <si>
    <t>President and CEO, Gibbs &amp; Soell, Inc.</t>
  </si>
  <si>
    <t>Maslansky</t>
  </si>
  <si>
    <t>mmaslansky@maslansky.com</t>
  </si>
  <si>
    <t>michael@maslansky.com</t>
  </si>
  <si>
    <t>Maslansky + Partners</t>
  </si>
  <si>
    <t>200 Varick St Rm 601 
New York, NY 10014-7017 US</t>
  </si>
  <si>
    <t>200 Varick St Rm 601</t>
  </si>
  <si>
    <t>10014-7017</t>
  </si>
  <si>
    <t>(917) 606-6901</t>
  </si>
  <si>
    <t>CEO, maslansky luntz + partners</t>
  </si>
  <si>
    <t>Kate</t>
  </si>
  <si>
    <t>Kate.James@pearson.com</t>
  </si>
  <si>
    <t>Chief Corporate Affairs and Global Marketing Officer</t>
  </si>
  <si>
    <t>Pearson</t>
  </si>
  <si>
    <t>330 Hudson Street - 7th Floor 
New York, NY 10013 US</t>
  </si>
  <si>
    <t>330 Hudson Street - 7th Floor</t>
  </si>
  <si>
    <t>+44 2017 010 24</t>
  </si>
  <si>
    <t>Chief Communications Officer, Bill &amp; Melinda Gates Foundation</t>
  </si>
  <si>
    <t>Toni</t>
  </si>
  <si>
    <t>Beck</t>
  </si>
  <si>
    <t>tbeck3@wm.com</t>
  </si>
  <si>
    <t>1001 Fannin St Ste 4000 
Houston, TX 77002-6711 US</t>
  </si>
  <si>
    <t>1001 Fannin St Ste 4000</t>
  </si>
  <si>
    <t>77002-6711</t>
  </si>
  <si>
    <t>(713) 394-5093</t>
  </si>
  <si>
    <t>(832) 405-0014</t>
  </si>
  <si>
    <t>Group Vice President, Corporate Communications, Entergy Services, Inc.</t>
  </si>
  <si>
    <t>Blades</t>
  </si>
  <si>
    <t>cblades@aflac.com</t>
  </si>
  <si>
    <t>SVP, Corporate Communications</t>
  </si>
  <si>
    <t>Aflac</t>
  </si>
  <si>
    <t>1932 Wynnton Rd. 
Columbus, GA 31999 US</t>
  </si>
  <si>
    <t>1932 Wynnton Rd.</t>
  </si>
  <si>
    <t>31999</t>
  </si>
  <si>
    <t>706.596.3272</t>
  </si>
  <si>
    <t>706-596-3014</t>
  </si>
  <si>
    <t>706-326-6592</t>
  </si>
  <si>
    <t>Barry H. Caldwell</t>
  </si>
  <si>
    <t>Chief Marketing and Communications Officer, Flextronics</t>
  </si>
  <si>
    <t>Esneault</t>
  </si>
  <si>
    <t>lisa_esneault@praxair.com</t>
  </si>
  <si>
    <t>Vice President,Global Communications &amp; Public Relations</t>
  </si>
  <si>
    <t>Praxair</t>
  </si>
  <si>
    <t>39 Old Ridgebury Rd 
Danbury, CT 06810-5103 US</t>
  </si>
  <si>
    <t>Danbury</t>
  </si>
  <si>
    <t>39 Old Ridgebury Rd</t>
  </si>
  <si>
    <t>06810-5103</t>
  </si>
  <si>
    <t>203-837-2671</t>
  </si>
  <si>
    <t>3122081228</t>
  </si>
  <si>
    <t>Sue Neumann</t>
  </si>
  <si>
    <t>Vice President,Global Communications &amp; Public RelationsPraxair, Inc.</t>
  </si>
  <si>
    <t>Merk</t>
  </si>
  <si>
    <t>michaelmerk@me.com</t>
  </si>
  <si>
    <t>219 Cypress Trail Dr. SE 
Grand Rapids, MI 49546 US</t>
  </si>
  <si>
    <t>Grand Rapids</t>
  </si>
  <si>
    <t>219 Cypress Trail Dr. SE</t>
  </si>
  <si>
    <t>49546</t>
  </si>
  <si>
    <t>(616) 446-5481</t>
  </si>
  <si>
    <t>(616) 835-1740</t>
  </si>
  <si>
    <t>(616) 328-7322</t>
  </si>
  <si>
    <t>Steve Cody</t>
  </si>
  <si>
    <t>Director, Corporate Communications, Steelcase Inc.</t>
  </si>
  <si>
    <t>Maureen</t>
  </si>
  <si>
    <t>Davenport</t>
  </si>
  <si>
    <t>maureen_davenport@fanniemae.com</t>
  </si>
  <si>
    <t>Fannie Mae</t>
  </si>
  <si>
    <t>3900 Wisconsin Avenue NW 
Washington, DC 20016 US</t>
  </si>
  <si>
    <t>3900 Wisconsin Avenue NW</t>
  </si>
  <si>
    <t>20016</t>
  </si>
  <si>
    <t>(202) 752-2277</t>
  </si>
  <si>
    <t>(202) 536-7850</t>
  </si>
  <si>
    <t>Chief Communications Officer - Fannie MaeVP, Corporate Communications, Fannie Mae (Page Up)</t>
  </si>
  <si>
    <t>Angel</t>
  </si>
  <si>
    <t>Losana</t>
  </si>
  <si>
    <t>Alloza</t>
  </si>
  <si>
    <t>angel.alloza@corporateexcellence.org</t>
  </si>
  <si>
    <t>Corporate Excellence - Centre For Reputation Leadership</t>
  </si>
  <si>
    <t>Calle Carranza 25, 2Âº Pl 
MADRID, 28004 ES</t>
  </si>
  <si>
    <t>MADRID</t>
  </si>
  <si>
    <t>ES</t>
  </si>
  <si>
    <t>Spain</t>
  </si>
  <si>
    <t>Calle Carranza 25, 2Âº Pl</t>
  </si>
  <si>
    <t>28004</t>
  </si>
  <si>
    <t>+34 914451818</t>
  </si>
  <si>
    <t>+34 609070081</t>
  </si>
  <si>
    <t>Lucy</t>
  </si>
  <si>
    <t>Ryan</t>
  </si>
  <si>
    <t>lryan@gd.com</t>
  </si>
  <si>
    <t>General Dynamics</t>
  </si>
  <si>
    <t>4521 25th Rd N 
Arlington, VA 22207-4101 US</t>
  </si>
  <si>
    <t>4521 25th Rd N</t>
  </si>
  <si>
    <t>22207-4101</t>
  </si>
  <si>
    <t>703-876-3631</t>
  </si>
  <si>
    <t>Carol Cone</t>
  </si>
  <si>
    <t>Director, Communications - General Dynamics Corporation</t>
  </si>
  <si>
    <t>Albritton</t>
  </si>
  <si>
    <t>david.albritton@gm.com</t>
  </si>
  <si>
    <t>davidalbritton88@gmail.com</t>
  </si>
  <si>
    <t>30001 Van Dyke Ave. 
480-210-1Y0 
Detroit, MI 48093-2350 US</t>
  </si>
  <si>
    <t>30001 Van Dyke Ave.</t>
  </si>
  <si>
    <t>480-210-1Y0</t>
  </si>
  <si>
    <t>48093-2350</t>
  </si>
  <si>
    <t>(313) 530-4462</t>
  </si>
  <si>
    <t>703-298-5011 (mobile #2)</t>
  </si>
  <si>
    <t>Vice President &amp; Chief Communications Officer, ITT Exelis</t>
  </si>
  <si>
    <t>Adam</t>
  </si>
  <si>
    <t>Grossberg</t>
  </si>
  <si>
    <t>adamsgrossberg@gmail.com</t>
  </si>
  <si>
    <t>AGrossberg@bausch.com</t>
  </si>
  <si>
    <t>14 Magnolia Lane 
Warren, NJ 07059 US</t>
  </si>
  <si>
    <t>Warren</t>
  </si>
  <si>
    <t>14 Magnolia Lane</t>
  </si>
  <si>
    <t>07059</t>
  </si>
  <si>
    <t>(917) 907-1144</t>
  </si>
  <si>
    <t>Vice President Global Communications and Investor Relations, Bausch + Lomb</t>
  </si>
  <si>
    <t>Nigel</t>
  </si>
  <si>
    <t>Powell</t>
  </si>
  <si>
    <t>nigel.powell@nike.com</t>
  </si>
  <si>
    <t>Nike</t>
  </si>
  <si>
    <t>One Bowerman Drive Jm-4 
Beaverton, OR 97005 US</t>
  </si>
  <si>
    <t>Beaverton</t>
  </si>
  <si>
    <t>One Bowerman Drive Jm-4</t>
  </si>
  <si>
    <t>97005</t>
  </si>
  <si>
    <t>503-740-7630</t>
  </si>
  <si>
    <t>503-671-6758</t>
  </si>
  <si>
    <t>Vice President, Global Communications, Nike, Inc.</t>
  </si>
  <si>
    <t>A. Gregory</t>
  </si>
  <si>
    <t>Donaldson</t>
  </si>
  <si>
    <t>greg.donaldson@heart.org</t>
  </si>
  <si>
    <t>Senior Vice President, Corporate &amp; Marketing Communications</t>
  </si>
  <si>
    <t>The American Heart Association</t>
  </si>
  <si>
    <t>7272 Greenville Ave. 
Dallas, TX 75231 US</t>
  </si>
  <si>
    <t>7272 Greenville Ave.</t>
  </si>
  <si>
    <t>75231</t>
  </si>
  <si>
    <t>(678) 709-8966</t>
  </si>
  <si>
    <t>National Vice President Corporate Communications, American Cancer Society, Inc.</t>
  </si>
  <si>
    <t>Donald A.</t>
  </si>
  <si>
    <t>Baer</t>
  </si>
  <si>
    <t>don.baer@bm.com</t>
  </si>
  <si>
    <t>Worldwide Chair</t>
  </si>
  <si>
    <t>1110 Vermont Avenue, NW 
Suite 1200 
Washington, DC 20005-3544 US</t>
  </si>
  <si>
    <t>1110 Vermont Avenue, NW</t>
  </si>
  <si>
    <t>Suite 1200</t>
  </si>
  <si>
    <t>20005-3544</t>
  </si>
  <si>
    <t>2027792942</t>
  </si>
  <si>
    <t>202-772-1426</t>
  </si>
  <si>
    <t>Worldwide CEO, Burson-Marsteller</t>
  </si>
  <si>
    <t>Chandler</t>
  </si>
  <si>
    <t>wdchandler@alumni.usc.edu</t>
  </si>
  <si>
    <t>william_d_chandler@yahoo.com</t>
  </si>
  <si>
    <t>President, Chandler Public Affairs</t>
  </si>
  <si>
    <t>Chandler Public Affairs</t>
  </si>
  <si>
    <t>114 Walter Hays Dr., 
Palo Alto, CA 94303 US</t>
  </si>
  <si>
    <t>114 Walter Hays Dr.,</t>
  </si>
  <si>
    <t>94303</t>
  </si>
  <si>
    <t>(650) 960-6036</t>
  </si>
  <si>
    <t>VP, Global Communications &amp; Public Affairs, Gap Inc.</t>
  </si>
  <si>
    <t>Devry</t>
  </si>
  <si>
    <t>Boughner Vorwerk</t>
  </si>
  <si>
    <t>devry_boughner@cargill.com</t>
  </si>
  <si>
    <t>Corporate VP, Corporate Affairs</t>
  </si>
  <si>
    <t>Cargill</t>
  </si>
  <si>
    <t>15407 Mcginty Rd W 
MS 50 
Wayzata, MN 55391-2365 US</t>
  </si>
  <si>
    <t>Wayzata</t>
  </si>
  <si>
    <t>15407 Mcginty Rd W</t>
  </si>
  <si>
    <t>MS 50</t>
  </si>
  <si>
    <t>55391-2365</t>
  </si>
  <si>
    <t>(952) 742-2931</t>
  </si>
  <si>
    <t>(703) 217-1936</t>
  </si>
  <si>
    <t>Zak</t>
  </si>
  <si>
    <t>Andersen</t>
  </si>
  <si>
    <t>zak.andersen@bnsf.com</t>
  </si>
  <si>
    <t>VP, Corporate Relations</t>
  </si>
  <si>
    <t>BNSF Railway Company</t>
  </si>
  <si>
    <t>2650 Lou Menk Dr 
2nd Floor 
Fort Worth, TX 76131-2830 US</t>
  </si>
  <si>
    <t>2650 Lou Menk Dr</t>
  </si>
  <si>
    <t>2nd Floor</t>
  </si>
  <si>
    <t>76131-2830</t>
  </si>
  <si>
    <t>817.867.6250</t>
  </si>
  <si>
    <t>202.236.2324</t>
  </si>
  <si>
    <t>VP, Corporate Relations - BNSF Railway Company</t>
  </si>
  <si>
    <t>Tank</t>
  </si>
  <si>
    <t>Stacey_Tank@HomeDepot.com</t>
  </si>
  <si>
    <t>stacey.m.tank@gmail.com</t>
  </si>
  <si>
    <t>VP, Home Services</t>
  </si>
  <si>
    <t>Home Depot</t>
  </si>
  <si>
    <t>2455 Paces Ferry Rd SE Unit (C-17) 
Atlanta, GA 30339-6444 US</t>
  </si>
  <si>
    <t>2455 Paces Ferry Rd SE Unit (C-17)</t>
  </si>
  <si>
    <t>30339-6444</t>
  </si>
  <si>
    <t>(770) 384-2012</t>
  </si>
  <si>
    <t>(678) 982-8156</t>
  </si>
  <si>
    <t>George Jamison</t>
  </si>
  <si>
    <t>Brad Shaw</t>
  </si>
  <si>
    <t>Sean O'Neill</t>
  </si>
  <si>
    <t>VP, Corporate Communications &amp; External Affairs - Home Depot (Page)SVP and Chief Corporate Relations Officer, Heineken USA (Page Up)</t>
  </si>
  <si>
    <t>Anchin</t>
  </si>
  <si>
    <t>matt.anchin@consumer.org</t>
  </si>
  <si>
    <t>Vice President, Chief Communications Officer</t>
  </si>
  <si>
    <t>Consumer Reports</t>
  </si>
  <si>
    <t>101 Truman Avenue 
Yonkers, NY 10703 US</t>
  </si>
  <si>
    <t>101 Truman Avenue</t>
  </si>
  <si>
    <t>10703</t>
  </si>
  <si>
    <t>914.378.2493</t>
  </si>
  <si>
    <t>646-620-9315</t>
  </si>
  <si>
    <t>Vice President, Chief Communications Officer, Consumer Reports</t>
  </si>
  <si>
    <t>Jean</t>
  </si>
  <si>
    <t>jallen@heidrick.com</t>
  </si>
  <si>
    <t>Heidrick &amp; Struggles</t>
  </si>
  <si>
    <t>1114 Avenue of the Americas 
New York, NY 10036 US</t>
  </si>
  <si>
    <t>1114 Avenue of the Americas</t>
  </si>
  <si>
    <t>(212) 699-3159</t>
  </si>
  <si>
    <t>Partner, Co-Managing Director, NY Office, Heidrick &amp; Struggles</t>
  </si>
  <si>
    <t>Spender</t>
  </si>
  <si>
    <t>andrewspender@me.com</t>
  </si>
  <si>
    <t>andrew.spender@gartner.com</t>
  </si>
  <si>
    <t>Group Vice President, Corporate Communications</t>
  </si>
  <si>
    <t>Gartner</t>
  </si>
  <si>
    <t>56 Top Gallant Road 
Stamford, CT 06904 US</t>
  </si>
  <si>
    <t>56 Top Gallant Road</t>
  </si>
  <si>
    <t>06904</t>
  </si>
  <si>
    <t>(203) 316-3286</t>
  </si>
  <si>
    <t>Group Vice President, Brand, Public Relations &amp; Marketing Communications</t>
  </si>
  <si>
    <t>Ahern</t>
  </si>
  <si>
    <t>FGAhern@sardverb.com</t>
  </si>
  <si>
    <t>Advisory Board Member</t>
  </si>
  <si>
    <t>1735 K Street; NW 
Washington, DC 20006 US</t>
  </si>
  <si>
    <t>1735 K Street; NW</t>
  </si>
  <si>
    <t>20006</t>
  </si>
  <si>
    <t>(917) 952-7739</t>
  </si>
  <si>
    <t>Executive Vice President for Corporate Communications &amp; Government, FINRA</t>
  </si>
  <si>
    <t>Kari</t>
  </si>
  <si>
    <t>Bjorhus</t>
  </si>
  <si>
    <t>kari.bjorhus@ecolab.com</t>
  </si>
  <si>
    <t>Ecolab</t>
  </si>
  <si>
    <t>370 Wabasha Street North 
Saint Paul, MN 55102 US</t>
  </si>
  <si>
    <t>Saint Paul</t>
  </si>
  <si>
    <t>370 Wabasha Street North</t>
  </si>
  <si>
    <t>55102</t>
  </si>
  <si>
    <t>(651) 250-2576</t>
  </si>
  <si>
    <t>(651) 330-0198</t>
  </si>
  <si>
    <t>Linda Thrasher</t>
  </si>
  <si>
    <t>Vice President, Global Communications,Ecolab</t>
  </si>
  <si>
    <t>Felicia</t>
  </si>
  <si>
    <t>feliciacollins2012@hotmail.com</t>
  </si>
  <si>
    <t>felicia.collins@tyson.com</t>
  </si>
  <si>
    <t>SVP Communications</t>
  </si>
  <si>
    <t>Aspen Dental</t>
  </si>
  <si>
    <t>2200 Don Tyson Pkwy 
Springdale, AR 72762 US</t>
  </si>
  <si>
    <t>Springdale</t>
  </si>
  <si>
    <t>2200 Don Tyson Pkwy</t>
  </si>
  <si>
    <t>72762</t>
  </si>
  <si>
    <t>AR</t>
  </si>
  <si>
    <t>Arkansas</t>
  </si>
  <si>
    <t>714-257-4027</t>
  </si>
  <si>
    <t>479-290-3695</t>
  </si>
  <si>
    <t>Robert McAdam</t>
  </si>
  <si>
    <t>Vice President, Corporate Communications, Ventura Foods</t>
  </si>
  <si>
    <t>Kylberg</t>
  </si>
  <si>
    <t>rkylberg@arrow.com</t>
  </si>
  <si>
    <t>Vice President, Corporate Marketing and Communications</t>
  </si>
  <si>
    <t>Arrow Electronics</t>
  </si>
  <si>
    <t>9201 E. Dry Creek Rd. 
Centennial, CO 80112 US</t>
  </si>
  <si>
    <t>Centennial</t>
  </si>
  <si>
    <t>9201 E. Dry Creek Rd.</t>
  </si>
  <si>
    <t>80112</t>
  </si>
  <si>
    <t>(303) 824-4184</t>
  </si>
  <si>
    <t>Vice President, Corporate Communications, Arrow Electronics</t>
  </si>
  <si>
    <t>Lanesey</t>
  </si>
  <si>
    <t>rob_lanesey@intuit.com</t>
  </si>
  <si>
    <t>Intuit, Inc.</t>
  </si>
  <si>
    <t>2700 Coast Ave. 
Mountain View, CA 94043 US</t>
  </si>
  <si>
    <t>2700 Coast Ave.</t>
  </si>
  <si>
    <t>94043</t>
  </si>
  <si>
    <t>650-944-3230</t>
  </si>
  <si>
    <t>Rob Flaherty</t>
  </si>
  <si>
    <t>Vice President, Corporate Communications, Intuit Inc.</t>
  </si>
  <si>
    <t>Marybeth</t>
  </si>
  <si>
    <t>Thorsgaard</t>
  </si>
  <si>
    <t>marybeth.thorsgaard@pentair.com</t>
  </si>
  <si>
    <t>Pentair</t>
  </si>
  <si>
    <t>5500 Wayzata Boulevard 
Suite 800 
Minneapolis, MN 55416 US</t>
  </si>
  <si>
    <t>5500 Wayzata Boulevard</t>
  </si>
  <si>
    <t>763-656-5568</t>
  </si>
  <si>
    <t>763-545-1730</t>
  </si>
  <si>
    <t>Vice President, Corporate Communications, Pentair</t>
  </si>
  <si>
    <t>Brandi</t>
  </si>
  <si>
    <t>brandikrobinson@verizon.net</t>
  </si>
  <si>
    <t>21823 30th Dr SE 
Bothell, WA 98021-3907 US</t>
  </si>
  <si>
    <t>Bothell</t>
  </si>
  <si>
    <t>21823 30th Dr SE</t>
  </si>
  <si>
    <t>98021-3907</t>
  </si>
  <si>
    <t>(425) 527-2910</t>
  </si>
  <si>
    <t>(678) 478-8509</t>
  </si>
  <si>
    <t>James Weiss</t>
  </si>
  <si>
    <t>Senior Vice President, Corporate Communications - Seattle GeneticsSenior Vice President, Corporate Communications - Seattle Genetics</t>
  </si>
  <si>
    <t>Chamberlin</t>
  </si>
  <si>
    <t>david.chamberlin@pnc.com</t>
  </si>
  <si>
    <t>CMO</t>
  </si>
  <si>
    <t>SonicWall</t>
  </si>
  <si>
    <t>In Staff Review</t>
  </si>
  <si>
    <t>Dallas US</t>
  </si>
  <si>
    <t>(412) 762-8033</t>
  </si>
  <si>
    <t>EVP, Chief Communications Officer -  PNC Financial Services Group</t>
  </si>
  <si>
    <t>Scot</t>
  </si>
  <si>
    <t>Hoffman</t>
  </si>
  <si>
    <t>Scot.Hoffman@dodgeandcox.com</t>
  </si>
  <si>
    <t>sehoffman1@gmail.com</t>
  </si>
  <si>
    <t>Dodge &amp; Cox</t>
  </si>
  <si>
    <t>555 California St 
40th Floor 
San Francisco, CA 94104-1503 US</t>
  </si>
  <si>
    <t>555 California St</t>
  </si>
  <si>
    <t>40th Floor</t>
  </si>
  <si>
    <t>94104-1503</t>
  </si>
  <si>
    <t>(415) 273-7641</t>
  </si>
  <si>
    <t>(646) 373-7128</t>
  </si>
  <si>
    <t>Jennifer Prosek</t>
  </si>
  <si>
    <t>Mark Bain</t>
  </si>
  <si>
    <t>Vice President; Global Communications (head Of Corporate &amp; International Communications), Prudential Financial, Inc.</t>
  </si>
  <si>
    <t>Cardillo</t>
  </si>
  <si>
    <t>kristen.cardillo@bd.com</t>
  </si>
  <si>
    <t>Kcardillo@gmail.com</t>
  </si>
  <si>
    <t>Becton Dickinson</t>
  </si>
  <si>
    <t>1 Becton Dr 
Franklin Lakes, NJ 07417-1815 US</t>
  </si>
  <si>
    <t>Franklin Lakes</t>
  </si>
  <si>
    <t>1 Becton Dr</t>
  </si>
  <si>
    <t>07417-1815</t>
  </si>
  <si>
    <t>201-847-5657</t>
  </si>
  <si>
    <t>858-617-2317</t>
  </si>
  <si>
    <t>James S. Mazzola</t>
  </si>
  <si>
    <t>Vice President, Corporate Communication - Becton Dickinson &amp; Company</t>
  </si>
  <si>
    <t>Sheila</t>
  </si>
  <si>
    <t>Weidman</t>
  </si>
  <si>
    <t>sweidman@gapac.com</t>
  </si>
  <si>
    <t>Senior Vice President, Communications, Government &amp; Public Affairs</t>
  </si>
  <si>
    <t>Georgia-Pacific LLC</t>
  </si>
  <si>
    <t>133 Peachtree Street, NE 
Atlanta, GA 30303 US</t>
  </si>
  <si>
    <t>133 Peachtree Street, NE</t>
  </si>
  <si>
    <t>30303</t>
  </si>
  <si>
    <t>(404) 652-6322</t>
  </si>
  <si>
    <t>Bob Jimenez</t>
  </si>
  <si>
    <t>Senior Vice President, Communications, Government &amp; Public Affairs, Georgia-Pacific LLC</t>
  </si>
  <si>
    <t>DarlÃ n</t>
  </si>
  <si>
    <t>Darlan</t>
  </si>
  <si>
    <t>Monterisi</t>
  </si>
  <si>
    <t>darlan.monterisi@ca.com</t>
  </si>
  <si>
    <t>SVP of Corporate Communications</t>
  </si>
  <si>
    <t>CA Technologies</t>
  </si>
  <si>
    <t>520 Madison Ave Fl 
New York, NY 10022-4213 US</t>
  </si>
  <si>
    <t>520 Madison Ave Fl</t>
  </si>
  <si>
    <t>10022-4213</t>
  </si>
  <si>
    <t>1 646 826 6071</t>
  </si>
  <si>
    <t>Colleen</t>
  </si>
  <si>
    <t>Colleen.Ryan@rescue.org</t>
  </si>
  <si>
    <t>International Rescue Committee</t>
  </si>
  <si>
    <t>122 East 42nd Street 
11th Floor 
New York, NY 10168 US</t>
  </si>
  <si>
    <t>122 East 42nd Street</t>
  </si>
  <si>
    <t>10168</t>
  </si>
  <si>
    <t>+ 1 212 551 3000</t>
  </si>
  <si>
    <t>+ 1 512 695 3610</t>
  </si>
  <si>
    <t>Michael J. O'Neill</t>
  </si>
  <si>
    <t>Vice President, Global Communications, International Rescue Society</t>
  </si>
  <si>
    <t>Mary Lou</t>
  </si>
  <si>
    <t>Ambrus</t>
  </si>
  <si>
    <t>marylou.ambrus@pfizer.com</t>
  </si>
  <si>
    <t>mlambrus@gmail.com</t>
  </si>
  <si>
    <t>SVP Communications, Policy, External Affairs and Communication</t>
  </si>
  <si>
    <t>Pfizer</t>
  </si>
  <si>
    <t>235 E 42nd St 
New York, NY 10017-5703 US</t>
  </si>
  <si>
    <t>235 E 42nd St</t>
  </si>
  <si>
    <t>10017-5703</t>
  </si>
  <si>
    <t>212-733-5604</t>
  </si>
  <si>
    <t>SVP Communications, Policy, External Affairs and Communication, Pfizer, Inc</t>
  </si>
  <si>
    <t>Walsh</t>
  </si>
  <si>
    <t>ed.walsh@philips.com</t>
  </si>
  <si>
    <t>edogui@hotmail.co.uk</t>
  </si>
  <si>
    <t>SVP and Head of Global Integrated Communications</t>
  </si>
  <si>
    <t>Royal Philips</t>
  </si>
  <si>
    <t>Amstelplein 2 
19th Floor 
Amsterdam, NH 1096bc NL</t>
  </si>
  <si>
    <t>Amsterdam</t>
  </si>
  <si>
    <t>Amstelplein 2</t>
  </si>
  <si>
    <t>19th Floor</t>
  </si>
  <si>
    <t>1096bc</t>
  </si>
  <si>
    <t>31646634936</t>
  </si>
  <si>
    <t>+31 6 12411301</t>
  </si>
  <si>
    <t>SVP and Head of Global Integrated Communications, Royal Philips</t>
  </si>
  <si>
    <t>Sherinian</t>
  </si>
  <si>
    <t>sherinian@aol.com</t>
  </si>
  <si>
    <t>VP of Global Communications</t>
  </si>
  <si>
    <t>Philip Morris International</t>
  </si>
  <si>
    <t>Paris, FR</t>
  </si>
  <si>
    <t>Paris</t>
  </si>
  <si>
    <t>FR</t>
  </si>
  <si>
    <t>France</t>
  </si>
  <si>
    <t>(202) 403-9525</t>
  </si>
  <si>
    <t>Vice President, Communications and Public Relations, United Nations Foundation</t>
  </si>
  <si>
    <t>paul@1532.com.au</t>
  </si>
  <si>
    <t>1532 Strategic Communications Counsel</t>
  </si>
  <si>
    <t>Level 10; 833 Collins St 
833 Collins Street 
Docklands, 3008 AU</t>
  </si>
  <si>
    <t>Docklands</t>
  </si>
  <si>
    <t>AU</t>
  </si>
  <si>
    <t>Australia</t>
  </si>
  <si>
    <t>Level 10; 833 Collins St</t>
  </si>
  <si>
    <t>833 Collins Street</t>
  </si>
  <si>
    <t>3008</t>
  </si>
  <si>
    <t>Australia/NZ</t>
  </si>
  <si>
    <t>+61 (0)434 070101</t>
  </si>
  <si>
    <t>(038) 654-9999</t>
  </si>
  <si>
    <t>Group General Manager, Corporate Communications, ANZ Banking Group Ltd.</t>
  </si>
  <si>
    <t>Palombi</t>
  </si>
  <si>
    <t>david.palombi@cvshealth.com</t>
  </si>
  <si>
    <t>drp2058@gmail.com</t>
  </si>
  <si>
    <t>Senior Vice President &amp; Chief Communications Officer</t>
  </si>
  <si>
    <t>1 CVS Drive 
Woonsocket, RI 02895 US</t>
  </si>
  <si>
    <t>1 CVS Drive</t>
  </si>
  <si>
    <t>02895</t>
  </si>
  <si>
    <t>401.770.9071</t>
  </si>
  <si>
    <t>401.258.2743</t>
  </si>
  <si>
    <t>Bruce Haynes</t>
  </si>
  <si>
    <t>Senior Vice President, Communications, WellPoint</t>
  </si>
  <si>
    <t>stephen.thomas@aia.com</t>
  </si>
  <si>
    <t>Group Head of Corporate Communications</t>
  </si>
  <si>
    <t>AIA Group</t>
  </si>
  <si>
    <t>8/F, AIA Building, 1 Stubbs Rd 
Central, HK</t>
  </si>
  <si>
    <t>Central</t>
  </si>
  <si>
    <t>HK</t>
  </si>
  <si>
    <t>HONG KONG</t>
  </si>
  <si>
    <t>8/F, AIA Building, 1 Stubbs Rd</t>
  </si>
  <si>
    <t>852.2832.6178</t>
  </si>
  <si>
    <t>(852) 6317 7866</t>
  </si>
  <si>
    <t>Group Head of Corporate Communications, AIA Group</t>
  </si>
  <si>
    <t>Wilkinson</t>
  </si>
  <si>
    <t>jimw@trailrunnerint.com</t>
  </si>
  <si>
    <t>jrwmarathon@gmail.com</t>
  </si>
  <si>
    <t>Chairman &amp; CEO</t>
  </si>
  <si>
    <t>Trailrunner International</t>
  </si>
  <si>
    <t>11035 The Strand 
Truckee, CA 96161-1267 US</t>
  </si>
  <si>
    <t>Truckee</t>
  </si>
  <si>
    <t>11035 The Strand</t>
  </si>
  <si>
    <t>96161-1267</t>
  </si>
  <si>
    <t>(415) 613-1789</t>
  </si>
  <si>
    <t>Executive Vice President, Communications, PepsiCo</t>
  </si>
  <si>
    <t>Lippe</t>
  </si>
  <si>
    <t>mlippe@lippetaylor.com</t>
  </si>
  <si>
    <t>Lippe Taylor</t>
  </si>
  <si>
    <t>215 Park Ave S Fl 16, 16th Flo 
New York, NY 10003 US</t>
  </si>
  <si>
    <t>215 Park Ave S Fl 16, 16th Flo</t>
  </si>
  <si>
    <t>2125984400</t>
  </si>
  <si>
    <t>William F. Doescher</t>
  </si>
  <si>
    <t>CEO, Lippe Taylor</t>
  </si>
  <si>
    <t>Daryl</t>
  </si>
  <si>
    <t>McCullough</t>
  </si>
  <si>
    <t>daryl.mccullough@citizenrelations.com</t>
  </si>
  <si>
    <t>Global Chairman</t>
  </si>
  <si>
    <t>Citizen Relations &amp; Vision7 International</t>
  </si>
  <si>
    <t>5510 Lincoln Blvd Ste 110 
Los Angeles, CA 90094-2035 US</t>
  </si>
  <si>
    <t>5510 Lincoln Blvd Ste 110</t>
  </si>
  <si>
    <t>90094-2035</t>
  </si>
  <si>
    <t>(213) 996-3800</t>
  </si>
  <si>
    <t>(213) 219-0994</t>
  </si>
  <si>
    <t>Laura Kane</t>
  </si>
  <si>
    <t>Paul J. Gennaro</t>
  </si>
  <si>
    <t>Chief Executive Officer, Citizen Paine; Citizen Relations</t>
  </si>
  <si>
    <t>Mitchell</t>
  </si>
  <si>
    <t>elise.mitchell@mitchcommgroup.com</t>
  </si>
  <si>
    <t>CEO, Mitchell, and CEO, Dentsu Public Relations Network</t>
  </si>
  <si>
    <t>2 N College Ave 
Fayetteville, AR 72701-5309 US</t>
  </si>
  <si>
    <t>Fayetteville</t>
  </si>
  <si>
    <t>2 N College Ave</t>
  </si>
  <si>
    <t>72701-5309</t>
  </si>
  <si>
    <t>(479) 443-4673</t>
  </si>
  <si>
    <t>CEO, Mitchell Communications Group and CEO, Dentsu Public Relations Network</t>
  </si>
  <si>
    <t>van Bergen</t>
  </si>
  <si>
    <t>karen.vanbergen@omnicomprgroup.com</t>
  </si>
  <si>
    <t>Chief Executive  Officer</t>
  </si>
  <si>
    <t>Omnicom Public Relations Group</t>
  </si>
  <si>
    <t>437 Madison Avenue 
New York, NY 10022 US</t>
  </si>
  <si>
    <t>437 Madison Avenue</t>
  </si>
  <si>
    <t>212-415-3095</t>
  </si>
  <si>
    <t>646-265-9314</t>
  </si>
  <si>
    <t>Chief Executive Officer, Porter Novelli</t>
  </si>
  <si>
    <t>Clark</t>
  </si>
  <si>
    <t>rob.clark@medtronic.com</t>
  </si>
  <si>
    <t>Vice President, Global Communications &amp; Corporate Marketing</t>
  </si>
  <si>
    <t>710 Medtronic Pkwy 
Minneapolis, MN 55432-5603 US</t>
  </si>
  <si>
    <t>710 Medtronic Pkwy</t>
  </si>
  <si>
    <t>55432-5603</t>
  </si>
  <si>
    <t>(763) 505-2682</t>
  </si>
  <si>
    <t>(763) 505-3321</t>
  </si>
  <si>
    <t>Kirsten Gorsuch</t>
  </si>
  <si>
    <t>Vice President, Global Corporate Communications, Medtronic Inc.</t>
  </si>
  <si>
    <t>Gedaka</t>
  </si>
  <si>
    <t>ken.gedaka@fmc.com</t>
  </si>
  <si>
    <t>Vice President, Communications, Public Affairs &amp; Gov't Affairs</t>
  </si>
  <si>
    <t>FMC</t>
  </si>
  <si>
    <t>2929 Walnut Street 
Philadelphia, PA 19104 US</t>
  </si>
  <si>
    <t>2929 Walnut Street</t>
  </si>
  <si>
    <t>19104</t>
  </si>
  <si>
    <t>215-299-6518</t>
  </si>
  <si>
    <t>215-299-6150</t>
  </si>
  <si>
    <t>Catherine Maxey</t>
  </si>
  <si>
    <t>Luke Lambert</t>
  </si>
  <si>
    <t>Vice President, Communications and Public Affairs, FMC Corporation</t>
  </si>
  <si>
    <t>McAndrew</t>
  </si>
  <si>
    <t>Kelly.McAndrew@xyleminc.com</t>
  </si>
  <si>
    <t>kellymcandrew11@gmail.com</t>
  </si>
  <si>
    <t>VP, Global Affairs</t>
  </si>
  <si>
    <t>Xylem</t>
  </si>
  <si>
    <t>1 International Dr. 
Rye Brook, NY 10573 US</t>
  </si>
  <si>
    <t>Rye Brook</t>
  </si>
  <si>
    <t>1 International Dr.</t>
  </si>
  <si>
    <t>10573</t>
  </si>
  <si>
    <t>914-323-5969</t>
  </si>
  <si>
    <t>Schoenfeld</t>
  </si>
  <si>
    <t>michael.schoenfeld@duke.edu</t>
  </si>
  <si>
    <t>mwittman@duke.edu</t>
  </si>
  <si>
    <t>Vice President for Public Affairs and Government Relations</t>
  </si>
  <si>
    <t>Duke University</t>
  </si>
  <si>
    <t>PO Box 90028 
Durham, NC 27708-0028 US</t>
  </si>
  <si>
    <t>Durham</t>
  </si>
  <si>
    <t>PO Box 90028</t>
  </si>
  <si>
    <t>27708-0028</t>
  </si>
  <si>
    <t>(919) 681-3788</t>
  </si>
  <si>
    <t>(919) 451-1238</t>
  </si>
  <si>
    <t>Vice President for Public Affairs and Government Relations, Duke University</t>
  </si>
  <si>
    <t>Swagler</t>
  </si>
  <si>
    <t>rick.swagler@regions.com</t>
  </si>
  <si>
    <t>Executive Vice President, Director of External Affairs</t>
  </si>
  <si>
    <t>Regions Financial</t>
  </si>
  <si>
    <t>1900 Fifth Avenue North 
Sixth Floor 
Birmingham, AL 35203 US</t>
  </si>
  <si>
    <t>Birmingham</t>
  </si>
  <si>
    <t>1900 Fifth Avenue North</t>
  </si>
  <si>
    <t>Sixth Floor</t>
  </si>
  <si>
    <t>35203</t>
  </si>
  <si>
    <t>(205) 801-0105</t>
  </si>
  <si>
    <t>Executive Vice President, Director of External Affairs, Regions Bank</t>
  </si>
  <si>
    <t>Sue</t>
  </si>
  <si>
    <t>Jablonski</t>
  </si>
  <si>
    <t>sue.jablonski@ohiohealth.com</t>
  </si>
  <si>
    <t>OhioHealth</t>
  </si>
  <si>
    <t>180 E Broad Street 
Columbus, OH 43215 US</t>
  </si>
  <si>
    <t>180 E Broad Street</t>
  </si>
  <si>
    <t>614.544.4420</t>
  </si>
  <si>
    <t>614-353-6372</t>
  </si>
  <si>
    <t>Senior Vice President and Chief Communications Officer, OhioHealth</t>
  </si>
  <si>
    <t>Cheryl</t>
  </si>
  <si>
    <t>Heinonen</t>
  </si>
  <si>
    <t>Cheryl.heinonen@macys.com</t>
  </si>
  <si>
    <t>Executive Vice President, Corporate Communications</t>
  </si>
  <si>
    <t>Macy's</t>
  </si>
  <si>
    <t>151 W 34th St 
New York, NY 10001-2101 US</t>
  </si>
  <si>
    <t>151 W 34th St</t>
  </si>
  <si>
    <t>10001-2101</t>
  </si>
  <si>
    <t>2124941634</t>
  </si>
  <si>
    <t>Group Vice President, Global Corporate Relations and Chief Communications Officer</t>
  </si>
  <si>
    <t>Monteiro</t>
  </si>
  <si>
    <t>chrismonteiro@kpmg.com</t>
  </si>
  <si>
    <t>chrismonteiro715@gmail.com</t>
  </si>
  <si>
    <t>KPMG</t>
  </si>
  <si>
    <t>715 Mill Hill Road 
Purchase, NY 10577 US</t>
  </si>
  <si>
    <t>Purchase</t>
  </si>
  <si>
    <t>715 Mill Hill Road</t>
  </si>
  <si>
    <t>10577</t>
  </si>
  <si>
    <t>(914) 589-5480</t>
  </si>
  <si>
    <t>(203) 767-3725</t>
  </si>
  <si>
    <t>Group Executive, Worldwide Communications, MasterCard</t>
  </si>
  <si>
    <t>Michele</t>
  </si>
  <si>
    <t>Mazur</t>
  </si>
  <si>
    <t>michele.mazur@grainger.com</t>
  </si>
  <si>
    <t>Senior Director, Global Communications</t>
  </si>
  <si>
    <t>100 Grainger Way 
Lake Forest, IL 60045 US</t>
  </si>
  <si>
    <t>100 Grainger Way</t>
  </si>
  <si>
    <t>(847) 535-0755</t>
  </si>
  <si>
    <t>(773) 485-0573</t>
  </si>
  <si>
    <t>Tim Blair</t>
  </si>
  <si>
    <t>External Communications Leader, Grant Thornton LLP</t>
  </si>
  <si>
    <t>Lorrie</t>
  </si>
  <si>
    <t>Hecker</t>
  </si>
  <si>
    <t>lhecker@hess.com</t>
  </si>
  <si>
    <t>lahecker@yahoo.com</t>
  </si>
  <si>
    <t>Hess</t>
  </si>
  <si>
    <t>1185 Avenue Of the Americas 
40th Floor 
New York, NY 10036 US</t>
  </si>
  <si>
    <t>1185 Avenue Of the Americas</t>
  </si>
  <si>
    <t>(212) 536-8260</t>
  </si>
  <si>
    <t>(732) 439-3081</t>
  </si>
  <si>
    <t>Director; Global E&amp;P Communications, Hess Corporation</t>
  </si>
  <si>
    <t>Neal</t>
  </si>
  <si>
    <t>nmc@nei.org</t>
  </si>
  <si>
    <t>Senior VP, External Affairs</t>
  </si>
  <si>
    <t>Nuclear Energy Institute</t>
  </si>
  <si>
    <t>1201 F Street NW 
Suite 1100 
Washington, DC 20004 US</t>
  </si>
  <si>
    <t>1201 F Street NW</t>
  </si>
  <si>
    <t>Suite 1100</t>
  </si>
  <si>
    <t>202.739.8000</t>
  </si>
  <si>
    <t>asolomon@macfound.org</t>
  </si>
  <si>
    <t>John D. and Catherine T. MacArthur Foundation</t>
  </si>
  <si>
    <t>140 South Dearborn Street, 12th Floor 
Chicago, IL 60603 US</t>
  </si>
  <si>
    <t>140 South Dearborn Street, 12th Floor</t>
  </si>
  <si>
    <t>60603</t>
  </si>
  <si>
    <t>312.917.0313</t>
  </si>
  <si>
    <t>202-841-9049</t>
  </si>
  <si>
    <t>Kate James</t>
  </si>
  <si>
    <t>VP, Public Affairs, MacArthur Foundation</t>
  </si>
  <si>
    <t>Courtney</t>
  </si>
  <si>
    <t>Reynolds</t>
  </si>
  <si>
    <t>courtneyreynolds@northwesternmutual.com</t>
  </si>
  <si>
    <t>crkreynolds@yahoo.com</t>
  </si>
  <si>
    <t>Vice President - Communications &amp; Corporate Affairs</t>
  </si>
  <si>
    <t>Northwestern Mutual</t>
  </si>
  <si>
    <t>720 East Wisconsin Avenue 
Milwaukee, WI 53202 US</t>
  </si>
  <si>
    <t>720 East Wisconsin Avenue</t>
  </si>
  <si>
    <t>53202</t>
  </si>
  <si>
    <t>(414) 665-8387</t>
  </si>
  <si>
    <t>Vice President Communications and Corporate Affairs, Northwestern Mutual</t>
  </si>
  <si>
    <t>B.J.</t>
  </si>
  <si>
    <t>bj.talley@te.com</t>
  </si>
  <si>
    <t>bjtalley2@gmail.com</t>
  </si>
  <si>
    <t>Senior Director, Communications</t>
  </si>
  <si>
    <t>1050 Westlakes Dr 
Berwyn, PA 19312-2400 US</t>
  </si>
  <si>
    <t>1050 Westlakes Dr</t>
  </si>
  <si>
    <t>19312-2400</t>
  </si>
  <si>
    <t>610.893.9553</t>
  </si>
  <si>
    <t>703.727.5043</t>
  </si>
  <si>
    <t>Director Of Corporate Communications</t>
  </si>
  <si>
    <t>Erin</t>
  </si>
  <si>
    <t>Passan</t>
  </si>
  <si>
    <t>erin.freeman@janus.com</t>
  </si>
  <si>
    <t>erin.passan@aol.com</t>
  </si>
  <si>
    <t>Senior Vice President, Head of Corporate Communications</t>
  </si>
  <si>
    <t>Janus Capital Group, Inc.</t>
  </si>
  <si>
    <t>151 Detroit St 
Denver, CO 80206-4805 US</t>
  </si>
  <si>
    <t>151 Detroit St</t>
  </si>
  <si>
    <t>80206-4805</t>
  </si>
  <si>
    <t>(303) 394-7681</t>
  </si>
  <si>
    <t>(949) 922-2112</t>
  </si>
  <si>
    <t>Daniel I. Tarman</t>
  </si>
  <si>
    <t>Chief Communications Officer, Farmers Insurance Group</t>
  </si>
  <si>
    <t>Brian</t>
  </si>
  <si>
    <t>Lott</t>
  </si>
  <si>
    <t>blott@mubadala.ae</t>
  </si>
  <si>
    <t>Mubadala Investment Company</t>
  </si>
  <si>
    <t>P.O. Box 45005 
Abu Dhabi, AE</t>
  </si>
  <si>
    <t>Abu Dhabi</t>
  </si>
  <si>
    <t>P.O. Box 45005</t>
  </si>
  <si>
    <t>+971 2 413 0152</t>
  </si>
  <si>
    <t>+971 557007666</t>
  </si>
  <si>
    <t>ED, Group Comms.</t>
  </si>
  <si>
    <t>Frizzell</t>
  </si>
  <si>
    <t>rfrizzell@carnival.com</t>
  </si>
  <si>
    <t>Carnival Corporation &amp; PLC</t>
  </si>
  <si>
    <t>3655 NW 87 Avenue 
Miami, FL 33178 US</t>
  </si>
  <si>
    <t>Miami</t>
  </si>
  <si>
    <t>3655 NW 87 Avenue</t>
  </si>
  <si>
    <t>33178</t>
  </si>
  <si>
    <t>305-599-2600</t>
  </si>
  <si>
    <t>305.406.8656</t>
  </si>
  <si>
    <t>Gerace</t>
  </si>
  <si>
    <t>james.gerace@verizon.com</t>
  </si>
  <si>
    <t>Verizon</t>
  </si>
  <si>
    <t>1 Verizon Way 
VC44E216 
Basking Ridge, NJ 07920-1025 US</t>
  </si>
  <si>
    <t>Basking Ridge</t>
  </si>
  <si>
    <t>1 Verizon Way</t>
  </si>
  <si>
    <t>VC44E216</t>
  </si>
  <si>
    <t>07920-1025</t>
  </si>
  <si>
    <t>212-395-2355</t>
  </si>
  <si>
    <t>908-321-8140</t>
  </si>
  <si>
    <t>Chief Communications Officer, Verizon</t>
  </si>
  <si>
    <t>Procter &amp; Gamble</t>
  </si>
  <si>
    <t>1 P&amp;G Plaza 
Cincinnati, OH 45202 US</t>
  </si>
  <si>
    <t>Cincinnati</t>
  </si>
  <si>
    <t>1 P&amp;G Plaza</t>
  </si>
  <si>
    <t>45202</t>
  </si>
  <si>
    <t>Collamore</t>
  </si>
  <si>
    <t>TCollamore@USChamber.com</t>
  </si>
  <si>
    <t>EVP, Communications &amp; Strategy &amp; Counselor to the President</t>
  </si>
  <si>
    <t>United States Chamber of Commerce</t>
  </si>
  <si>
    <t>1615 H Street NW 
Washington, DC 20062 US</t>
  </si>
  <si>
    <t>1615 H Street NW</t>
  </si>
  <si>
    <t>20062</t>
  </si>
  <si>
    <t>(202) 463-5686</t>
  </si>
  <si>
    <t>SVP, Communications &amp; Strategy &amp; Counselor to the President, United States Chamber of Commerce</t>
  </si>
  <si>
    <t>Suzy</t>
  </si>
  <si>
    <t>DeFrancis</t>
  </si>
  <si>
    <t>suzy.defrancis@redcross.org</t>
  </si>
  <si>
    <t>suzydefrancis@gmail.com</t>
  </si>
  <si>
    <t>Chief Public Affairs Officer</t>
  </si>
  <si>
    <t>American Red Cross</t>
  </si>
  <si>
    <t>430 17th Street, NW 
Washington, DC 20006 US</t>
  </si>
  <si>
    <t>430 17th Street, NW</t>
  </si>
  <si>
    <t>202-303-5486</t>
  </si>
  <si>
    <t>Chief Public Affairs Officer, American Red Cross</t>
  </si>
  <si>
    <t>Shivinsky</t>
  </si>
  <si>
    <t>shivinss6166@gmail.com</t>
  </si>
  <si>
    <t>50 Beale St 
San Francisco, CA 94105-1813 US</t>
  </si>
  <si>
    <t>50 Beale St</t>
  </si>
  <si>
    <t>94105-1813</t>
  </si>
  <si>
    <t>(415) 229-5447</t>
  </si>
  <si>
    <t>Vice President, Corporate Communication, Blue Shield Of California</t>
  </si>
  <si>
    <t>Bark</t>
  </si>
  <si>
    <t>kathleen.bark@itt.com</t>
  </si>
  <si>
    <t>ITT</t>
  </si>
  <si>
    <t>1133 Westchester Ave 
White Plains, NY 10604-3516 US</t>
  </si>
  <si>
    <t>White Plains</t>
  </si>
  <si>
    <t>1133 Westchester Ave</t>
  </si>
  <si>
    <t>10604-3516</t>
  </si>
  <si>
    <t>914-629-7679</t>
  </si>
  <si>
    <t>914-588-9941</t>
  </si>
  <si>
    <t>914-641-2103</t>
  </si>
  <si>
    <t>Director, External Affairs, ITT Corporation</t>
  </si>
  <si>
    <t>Brad</t>
  </si>
  <si>
    <t>Staples</t>
  </si>
  <si>
    <t>bstaples@apcoworldwide.com</t>
  </si>
  <si>
    <t>90 Long Acre 
London, Wc2e 9ra GB</t>
  </si>
  <si>
    <t>90 Long Acre</t>
  </si>
  <si>
    <t>Wc2e 9ra</t>
  </si>
  <si>
    <t>202.569.2059</t>
  </si>
  <si>
    <t>CEO, APCO WorldwidePresident, International and Chair, Global Development, APCO, Brussels Belgium (Page Up)</t>
  </si>
  <si>
    <t>Sarah</t>
  </si>
  <si>
    <t>sarah.clark@mitchcommgroup.com</t>
  </si>
  <si>
    <t>sarahjeanclark@yahoo.com</t>
  </si>
  <si>
    <t>(479) 531-7284</t>
  </si>
  <si>
    <t>Elise Mitchell</t>
  </si>
  <si>
    <t>Brian Besanceney</t>
  </si>
  <si>
    <t>CEO, Mitchell Communications Group</t>
  </si>
  <si>
    <t>Darcy</t>
  </si>
  <si>
    <t>Keller</t>
  </si>
  <si>
    <t>darcyday@gmail.com</t>
  </si>
  <si>
    <t>1901 Piedmont Avenue 
Austin, TX 78757 US</t>
  </si>
  <si>
    <t>1901 Piedmont Avenue</t>
  </si>
  <si>
    <t>78757</t>
  </si>
  <si>
    <t>(347) 406-0047</t>
  </si>
  <si>
    <t>347.406.0047; US: +1 917 551 5096</t>
  </si>
  <si>
    <t>Dominic Fry</t>
  </si>
  <si>
    <t>Global Director of Communications; Financial Times Group</t>
  </si>
  <si>
    <t>Mallino</t>
  </si>
  <si>
    <t>sue.mallino@suntrust.com</t>
  </si>
  <si>
    <t>sue.mallino@yahoo.com</t>
  </si>
  <si>
    <t>SunTrust Bank</t>
  </si>
  <si>
    <t>303 Peachtree Street, 29th Flo 
Suite 800 
Atlanta, GA 30308 US</t>
  </si>
  <si>
    <t>303 Peachtree Street, 29th Flo</t>
  </si>
  <si>
    <t>30308</t>
  </si>
  <si>
    <t>404-813-0463</t>
  </si>
  <si>
    <t>Chief Communications Officer; SunTrust Banks, Inc.</t>
  </si>
  <si>
    <t>Sheil</t>
  </si>
  <si>
    <t>SHEILE@ccf.org</t>
  </si>
  <si>
    <t>Executive Director, Corporate Communications</t>
  </si>
  <si>
    <t>The Cleveland Clinic</t>
  </si>
  <si>
    <t>9500 Euclid Avenue 
NA-4 
Cleveland, OH 44195 US</t>
  </si>
  <si>
    <t>9500 Euclid Avenue</t>
  </si>
  <si>
    <t>NA-4</t>
  </si>
  <si>
    <t>44195</t>
  </si>
  <si>
    <t>(216) 444-8927</t>
  </si>
  <si>
    <t>Chief Communications Officer; The Cleveland Clinic</t>
  </si>
  <si>
    <t>Marike</t>
  </si>
  <si>
    <t>Westra</t>
  </si>
  <si>
    <t>m.westra@cofraholding.com</t>
  </si>
  <si>
    <t>Cofra Amsterdam C.V.</t>
  </si>
  <si>
    <t>Postbus 7870 
Amsterdam, 1008 NL</t>
  </si>
  <si>
    <t>Postbus 7870</t>
  </si>
  <si>
    <t>1008</t>
  </si>
  <si>
    <t>+31 20 621 3769</t>
  </si>
  <si>
    <t>+31 6 2138 1250</t>
  </si>
  <si>
    <t>Senior Vice President, Group Communications; Royal Ahold</t>
  </si>
  <si>
    <t>Rooney</t>
  </si>
  <si>
    <t>collj@me.com</t>
  </si>
  <si>
    <t>VP Global Communications</t>
  </si>
  <si>
    <t>130 Decatur Road 
West Chester, PA 19380 US</t>
  </si>
  <si>
    <t>130 Decatur Road</t>
  </si>
  <si>
    <t>19380</t>
  </si>
  <si>
    <t>1-267-438-8611</t>
  </si>
  <si>
    <t>Fitch</t>
  </si>
  <si>
    <t>fitchl@saic.com</t>
  </si>
  <si>
    <t>SAIC</t>
  </si>
  <si>
    <t>12010 Sunset Hills Rd 
Reston, VA 20190 US</t>
  </si>
  <si>
    <t>12010 Sunset Hills Rd</t>
  </si>
  <si>
    <t>20190</t>
  </si>
  <si>
    <t>703-676-6340</t>
  </si>
  <si>
    <t>240-205-2748</t>
  </si>
  <si>
    <t>Jessica Pantages Nielsen</t>
  </si>
  <si>
    <t>Debra</t>
  </si>
  <si>
    <t>Ceffalio</t>
  </si>
  <si>
    <t>debra.ceffalio@usfoods.com</t>
  </si>
  <si>
    <t>dceffalio@hotmail.com</t>
  </si>
  <si>
    <t>US Foods</t>
  </si>
  <si>
    <t>9399 W Higgins Rd Ste 8000 
Rosemont, IL 60018-6900 US</t>
  </si>
  <si>
    <t>Rosemont</t>
  </si>
  <si>
    <t>9399 W Higgins Rd Ste 8000</t>
  </si>
  <si>
    <t>60018-6900</t>
  </si>
  <si>
    <t>(847) 720-1652</t>
  </si>
  <si>
    <t>Laura Brown</t>
  </si>
  <si>
    <t>Senior Director, Corporate Communications, US Foods</t>
  </si>
  <si>
    <t>Mary Lynn</t>
  </si>
  <si>
    <t>Carver</t>
  </si>
  <si>
    <t>marylynn.carver@genmills.com</t>
  </si>
  <si>
    <t>mlcarver1@gmail.com</t>
  </si>
  <si>
    <t>CCO and VP Global Corporate Communications</t>
  </si>
  <si>
    <t>General Mills</t>
  </si>
  <si>
    <t>Number One General Mills Blvd 
Minneapolis, MN 55426 US</t>
  </si>
  <si>
    <t>Number One General Mills Blvd</t>
  </si>
  <si>
    <t>55426</t>
  </si>
  <si>
    <t>410-443-1853</t>
  </si>
  <si>
    <t>763-764-8436</t>
  </si>
  <si>
    <t>SVP Communications &amp; Public Affairs, University of Maryland Medical System (UMMS)</t>
  </si>
  <si>
    <t>Elicker</t>
  </si>
  <si>
    <t>john.elicker@bms.com</t>
  </si>
  <si>
    <t>Senior Vice President, Public Affairs and Investor Relations</t>
  </si>
  <si>
    <t>Bristol-Myers Squibb</t>
  </si>
  <si>
    <t>1131 Grove Road 
West Chester, PA 19380 US</t>
  </si>
  <si>
    <t>1131 Grove Road</t>
  </si>
  <si>
    <t>609-252-4611</t>
  </si>
  <si>
    <t>Senior Vice President, Public Affairs and Investor Relations,  Bristol Myers Squibb</t>
  </si>
  <si>
    <t>Liliana</t>
  </si>
  <si>
    <t>Esposito</t>
  </si>
  <si>
    <t>liliana.esposito@wendys.com</t>
  </si>
  <si>
    <t>liliana_esposito@hotmail.com</t>
  </si>
  <si>
    <t>The Wendy's Company</t>
  </si>
  <si>
    <t>1 Dave Thomas Blvd. 
43017 
Dublin, OH 43017 US</t>
  </si>
  <si>
    <t>Dublin</t>
  </si>
  <si>
    <t>1 Dave Thomas Blvd.</t>
  </si>
  <si>
    <t>43017</t>
  </si>
  <si>
    <t>614-764-8499</t>
  </si>
  <si>
    <t>214-907-2716</t>
  </si>
  <si>
    <t>VP, Corporate Communications &amp; Public Affairs, Dean Foods Company</t>
  </si>
  <si>
    <t>Lucht</t>
  </si>
  <si>
    <t>peter.lucht@citizensbank.com</t>
  </si>
  <si>
    <t>pklucht@hotmail.com</t>
  </si>
  <si>
    <t>SVP, Media Relations and CEO Communications</t>
  </si>
  <si>
    <t>Citizens Financial Group</t>
  </si>
  <si>
    <t>770 Legacy Pl   
Dedham, MA 02026-6837 US</t>
  </si>
  <si>
    <t>Dedham</t>
  </si>
  <si>
    <t>770 Legacy Pl</t>
  </si>
  <si>
    <t>02026-6837</t>
  </si>
  <si>
    <t>(781) 655-2289</t>
  </si>
  <si>
    <t>(617) 517-6150</t>
  </si>
  <si>
    <t>(617) 515-9150</t>
  </si>
  <si>
    <t>SVP, Media Relations &amp; CEO Communications - Citizen's Financial Group</t>
  </si>
  <si>
    <t>Anders</t>
  </si>
  <si>
    <t>Schroll</t>
  </si>
  <si>
    <t>ASCH@Lundbeck.com</t>
  </si>
  <si>
    <t>Vice President, Corporate Communications and Public Affairs</t>
  </si>
  <si>
    <t>Ottiliavej 9 
Valby, Copenhagen, 2500 DK</t>
  </si>
  <si>
    <t>Valby, Copenhagen</t>
  </si>
  <si>
    <t>DK</t>
  </si>
  <si>
    <t>Denmark</t>
  </si>
  <si>
    <t>Ottiliavej 9</t>
  </si>
  <si>
    <t>2500</t>
  </si>
  <si>
    <t>(453) 630-1311</t>
  </si>
  <si>
    <t>(453) 083-2081</t>
  </si>
  <si>
    <t>Molly</t>
  </si>
  <si>
    <t>Keveney</t>
  </si>
  <si>
    <t>mkeveney@clifbar.com</t>
  </si>
  <si>
    <t>Clif Bar &amp; Company</t>
  </si>
  <si>
    <t>1451 66th Street 
Emeryville, CA 94608 US</t>
  </si>
  <si>
    <t>Emeryville</t>
  </si>
  <si>
    <t>1451 66th Street</t>
  </si>
  <si>
    <t>94608</t>
  </si>
  <si>
    <t>(303) 709-8820</t>
  </si>
  <si>
    <t>Vice President, Corporate Communications and Community Affairs - Whitewave Foods</t>
  </si>
  <si>
    <t>Silvan</t>
  </si>
  <si>
    <t>jsilvan@globalstrategygroup.com</t>
  </si>
  <si>
    <t>Founding Partner and CEO</t>
  </si>
  <si>
    <t>Global Strategy Group</t>
  </si>
  <si>
    <t>215 Park Avenue South, 15th floor 
New York, NY 10003 US</t>
  </si>
  <si>
    <t>215 Park Avenue South, 15th floor</t>
  </si>
  <si>
    <t>212.260.8813</t>
  </si>
  <si>
    <t>917.434.2107</t>
  </si>
  <si>
    <t>Founding Partner and CEO - Global Strategy Group</t>
  </si>
  <si>
    <t>Desiree</t>
  </si>
  <si>
    <t>Fish</t>
  </si>
  <si>
    <t>dfish@tripadvisor.com</t>
  </si>
  <si>
    <t>TripAdvisor, Inc.</t>
  </si>
  <si>
    <t>330 Hudson St   
New York, NY 10013-1046 US</t>
  </si>
  <si>
    <t>330 Hudson St</t>
  </si>
  <si>
    <t>10013-1046</t>
  </si>
  <si>
    <t>(917) 968-7988</t>
  </si>
  <si>
    <t>Mark Weiner</t>
  </si>
  <si>
    <t>Vice President, Global Communications - TripAdvisor Inc.</t>
  </si>
  <si>
    <t>Smooch</t>
  </si>
  <si>
    <t>Repovich</t>
  </si>
  <si>
    <t>sreynolds@zrgpartners.com</t>
  </si>
  <si>
    <t>smoochrepovichreynolds@gmail.com</t>
  </si>
  <si>
    <t>Managing Director, Global Investor Relations &amp; Chief Communications Officer Practice Group</t>
  </si>
  <si>
    <t>ZRG Partners, LLC.</t>
  </si>
  <si>
    <t>1666 Greenfield Ave Ste 403 
Los Angeles, CA 90025 US</t>
  </si>
  <si>
    <t>1666 Greenfield Ave Ste 403</t>
  </si>
  <si>
    <t>90025</t>
  </si>
  <si>
    <t>(626) 252-4004</t>
  </si>
  <si>
    <t>AnnaMaria</t>
  </si>
  <si>
    <t>DeSalva</t>
  </si>
  <si>
    <t>amdesalva@gmail.com</t>
  </si>
  <si>
    <t>37 Chesterfield Rd 
Stamford, CT 06902 US</t>
  </si>
  <si>
    <t>37 Chesterfield Rd</t>
  </si>
  <si>
    <t>06902</t>
  </si>
  <si>
    <t>(646) 387-8993</t>
  </si>
  <si>
    <t>Vice President, Corporate Communications - Dupont</t>
  </si>
  <si>
    <t>Davis</t>
  </si>
  <si>
    <t>jj.davis@tyson.com</t>
  </si>
  <si>
    <t>jennifer_j_davis@dell.com</t>
  </si>
  <si>
    <t>Tyson Foods</t>
  </si>
  <si>
    <t>2200 W Don Tyson Pkwy   
PO Box 2020 
Springdale, AR 72762-6901 US</t>
  </si>
  <si>
    <t>2200 W Don Tyson Pkwy</t>
  </si>
  <si>
    <t>PO Box 2020</t>
  </si>
  <si>
    <t>72762-6901</t>
  </si>
  <si>
    <t>(479) 236-2377</t>
  </si>
  <si>
    <t>(512) 426-5471</t>
  </si>
  <si>
    <t>Seema Kathuria</t>
  </si>
  <si>
    <t>Christa Carone</t>
  </si>
  <si>
    <t>Seth</t>
  </si>
  <si>
    <t>Oster</t>
  </si>
  <si>
    <t>seth.oster@gmail.com</t>
  </si>
  <si>
    <t>oster_s@unitedtalent.com</t>
  </si>
  <si>
    <t>Global Head, Corporate Communications</t>
  </si>
  <si>
    <t>United Talent Agency (UTA)</t>
  </si>
  <si>
    <t>9336 CIVIC Center Drive 
Beverly Hills, CA 90210 US</t>
  </si>
  <si>
    <t>Beverly Hills</t>
  </si>
  <si>
    <t>9336 CIVIC Center Drive</t>
  </si>
  <si>
    <t>90210</t>
  </si>
  <si>
    <t>(310) 860-3702</t>
  </si>
  <si>
    <t>(213) 926-2449</t>
  </si>
  <si>
    <t>Michael Mand</t>
  </si>
  <si>
    <t>Managing Director and Chief Communications Officer - KPMG LLP</t>
  </si>
  <si>
    <t>paula.davis@harman.com</t>
  </si>
  <si>
    <t>VP, Corporate Affairs and Communications</t>
  </si>
  <si>
    <t>Harman</t>
  </si>
  <si>
    <t>400 Atlantic Street 
Stamford, CT 06901 US</t>
  </si>
  <si>
    <t>400 Atlantic Street</t>
  </si>
  <si>
    <t>06901</t>
  </si>
  <si>
    <t>203-328-3964</t>
  </si>
  <si>
    <t>VP, Corporate Affairs and Communications - Harman International</t>
  </si>
  <si>
    <t>Patrick</t>
  </si>
  <si>
    <t>patrick.fitzgerald@fedex.com</t>
  </si>
  <si>
    <t>SVP, Integrated Marketing &amp; Communications</t>
  </si>
  <si>
    <t>FedEx</t>
  </si>
  <si>
    <t>942 S. Shady Grove Road 
Memphis, TN 38120 US</t>
  </si>
  <si>
    <t>942 S. Shady Grove Road</t>
  </si>
  <si>
    <t>38120</t>
  </si>
  <si>
    <t>901.818.7300</t>
  </si>
  <si>
    <t>Steve_john@mckinsey.com</t>
  </si>
  <si>
    <t>Director, Global Communications</t>
  </si>
  <si>
    <t>McKinsey &amp; Company</t>
  </si>
  <si>
    <t>1 Jermyn Street 
London, SW1Y 4UH GB</t>
  </si>
  <si>
    <t>1 Jermyn Street</t>
  </si>
  <si>
    <t>SW1Y 4UH</t>
  </si>
  <si>
    <t>+44.(0)2079615410</t>
  </si>
  <si>
    <t>7941908861</t>
  </si>
  <si>
    <t>Michael Stewart</t>
  </si>
  <si>
    <t>Global Director of Communications - McKinsey &amp; Company</t>
  </si>
  <si>
    <t>Phil</t>
  </si>
  <si>
    <t>Philip</t>
  </si>
  <si>
    <t>Thomson</t>
  </si>
  <si>
    <t>philip.c.thomson@gsk.com</t>
  </si>
  <si>
    <t>SVP, Communications &amp; Government Affairs</t>
  </si>
  <si>
    <t>GSK</t>
  </si>
  <si>
    <t>980 Great West Road 
Brentford, TW8 9GS GB</t>
  </si>
  <si>
    <t>Brentford</t>
  </si>
  <si>
    <t>980 Great West Road</t>
  </si>
  <si>
    <t>TW8 9GS</t>
  </si>
  <si>
    <t>+44 20 8047 2662</t>
  </si>
  <si>
    <t>Susan Gilchrist</t>
  </si>
  <si>
    <t>SVP, Global Communications - GlaxoSmithKline</t>
  </si>
  <si>
    <t>Trissel</t>
  </si>
  <si>
    <t>etrissel@joelefrank.com</t>
  </si>
  <si>
    <t>Joele Frank, Wilkinson Brimmer Katcher</t>
  </si>
  <si>
    <t>622 3rd Ave 
36th Floor 
New York, NY 10017-6707 US</t>
  </si>
  <si>
    <t>622 3rd Ave</t>
  </si>
  <si>
    <t>36th Floor</t>
  </si>
  <si>
    <t>10017-6707</t>
  </si>
  <si>
    <t>Vice President, Communications - Warburg Pincus</t>
  </si>
  <si>
    <t>Britt</t>
  </si>
  <si>
    <t>Zarling</t>
  </si>
  <si>
    <t>britt.zarling@fiserv.com</t>
  </si>
  <si>
    <t>Fiserv</t>
  </si>
  <si>
    <t>2900 Westside Pkwy 
Alpharetta, GA 30004-7429 US</t>
  </si>
  <si>
    <t>Alpharetta</t>
  </si>
  <si>
    <t>2900 Westside Pkwy</t>
  </si>
  <si>
    <t>30004-7429</t>
  </si>
  <si>
    <t>414.526.3107</t>
  </si>
  <si>
    <t>Peter L. Tosches</t>
  </si>
  <si>
    <t>VP, Corporate Communications - Fiserv, Inc.</t>
  </si>
  <si>
    <t>Claire</t>
  </si>
  <si>
    <t>Holmes</t>
  </si>
  <si>
    <t>claire.holmes@ucop.edu</t>
  </si>
  <si>
    <t>cholmes952@aol.com</t>
  </si>
  <si>
    <t>Senior Vice President, Public Affairs, UC Office of the President</t>
  </si>
  <si>
    <t>UNIVERSITY OF SOUTHERN CALIFORNIA</t>
  </si>
  <si>
    <t>921 Hastings Drive 
Suite 12301 
Concord, CA 94518 US</t>
  </si>
  <si>
    <t>Concord</t>
  </si>
  <si>
    <t>921 Hastings Drive</t>
  </si>
  <si>
    <t>Suite 12301</t>
  </si>
  <si>
    <t>94518</t>
  </si>
  <si>
    <t>510-987-9195</t>
  </si>
  <si>
    <t>Associate Vice Chancellor, Communications, Marketing and Public Affairs - University of California, Berkeley</t>
  </si>
  <si>
    <t>Bryan</t>
  </si>
  <si>
    <t>Reber</t>
  </si>
  <si>
    <t>reber@uga.edu</t>
  </si>
  <si>
    <t>Professor of Public Relations &amp; Head of Department of Advertising and Public Relations</t>
  </si>
  <si>
    <t>195 Tamarack Dr 
Athens, GA 30605-4514 US</t>
  </si>
  <si>
    <t>195 Tamarack Dr</t>
  </si>
  <si>
    <t>30605-4514</t>
  </si>
  <si>
    <t>(706) 543-6499</t>
  </si>
  <si>
    <t>(706) 542-3178</t>
  </si>
  <si>
    <t>(706) 247-4153</t>
  </si>
  <si>
    <t>Dennis L. Wilcox</t>
  </si>
  <si>
    <t>Professor of Public Relations - University of Georgia</t>
  </si>
  <si>
    <t>W. Timothy</t>
  </si>
  <si>
    <t>Coombs</t>
  </si>
  <si>
    <t>wtcoombs@hotmail.com</t>
  </si>
  <si>
    <t>Professor, Department of Communications</t>
  </si>
  <si>
    <t>Texas A&amp;M University</t>
  </si>
  <si>
    <t>2602 Chillingham Ct 
College Station, TX 77845-2906 US</t>
  </si>
  <si>
    <t>College Station</t>
  </si>
  <si>
    <t>2602 Chillingham Ct</t>
  </si>
  <si>
    <t>77845-2906</t>
  </si>
  <si>
    <t>217-549-2664</t>
  </si>
  <si>
    <t>Shannon A. Bowen</t>
  </si>
  <si>
    <t>Professor, Nicholson School of Communications - University of Central Florida</t>
  </si>
  <si>
    <t>Krishnamurthy</t>
  </si>
  <si>
    <t>Sriramesh</t>
  </si>
  <si>
    <t>KSriramesh@Purdue.edu</t>
  </si>
  <si>
    <t>ksriramesh@purdue.edu</t>
  </si>
  <si>
    <t>Professor &amp; University Faculty Scholar</t>
  </si>
  <si>
    <t>Purdue University</t>
  </si>
  <si>
    <t>100 N. University St Brng 2114 
Brng 2114 
West Lafayette, IN 47907 US</t>
  </si>
  <si>
    <t>West Lafayette</t>
  </si>
  <si>
    <t>100 N. University St Brng 2114</t>
  </si>
  <si>
    <t>Brng 2114</t>
  </si>
  <si>
    <t>47907</t>
  </si>
  <si>
    <t>765-775-6808</t>
  </si>
  <si>
    <t>Professor &amp; University Faculty Scholar - Purdue University - Brian Lamb School of Communications</t>
  </si>
  <si>
    <t>maureentaylor@utk.edu</t>
  </si>
  <si>
    <t>mtaylor@ou.edu</t>
  </si>
  <si>
    <t>Professor &amp; Gaylord Family Chair of Strategic Communications</t>
  </si>
  <si>
    <t>University Of Tennessee</t>
  </si>
  <si>
    <t>8216 Pimbrook Lane 
Knoxville, TN 37923 US</t>
  </si>
  <si>
    <t>8216 Pimbrook Lane</t>
  </si>
  <si>
    <t>37923</t>
  </si>
  <si>
    <t>(865) 333-5272</t>
  </si>
  <si>
    <t>(405) 485-2423</t>
  </si>
  <si>
    <t>Professor &amp; Gaylord Family Chair of Strategic Communications - University of Oklahoma - Gaylord College of Journalism &amp; Mass Communication</t>
  </si>
  <si>
    <t>Chris Winans</t>
  </si>
  <si>
    <t>Founder</t>
  </si>
  <si>
    <t>Orest</t>
  </si>
  <si>
    <t>Holubec</t>
  </si>
  <si>
    <t>orest.holubec@providence.org</t>
  </si>
  <si>
    <t>ohholubec@aol.com</t>
  </si>
  <si>
    <t>SVP, Svp, National Communication and External Affairs</t>
  </si>
  <si>
    <t>Providence Health &amp; Services ( Providence St. Joseph Health)</t>
  </si>
  <si>
    <t>1801 Lind Ave SW # 9016 
Renton, WA 98057-3368 US</t>
  </si>
  <si>
    <t>Renton</t>
  </si>
  <si>
    <t>1801 Lind Ave SW # 9016</t>
  </si>
  <si>
    <t>98057-3368</t>
  </si>
  <si>
    <t>425-525-3377</t>
  </si>
  <si>
    <t>614-578-1875</t>
  </si>
  <si>
    <t>Senior Vice President, Marketing &amp; Communications - Providence Health &amp; Services</t>
  </si>
  <si>
    <t>Christof</t>
  </si>
  <si>
    <t>Ehrhart</t>
  </si>
  <si>
    <t>christof.ehrhart@dpdhl.com</t>
  </si>
  <si>
    <t>christof.ehrhart@t-online.dfe</t>
  </si>
  <si>
    <t>Deutsche Post DHL</t>
  </si>
  <si>
    <t>Charles de Gaulle StraÃŸe 20 
Bonn, 53113 DE</t>
  </si>
  <si>
    <t>Bonn</t>
  </si>
  <si>
    <t>Charles de Gaulle StraÃŸe 20</t>
  </si>
  <si>
    <t>53113</t>
  </si>
  <si>
    <t>+49 2281829900</t>
  </si>
  <si>
    <t>Emilio Galli-Zugaro</t>
  </si>
  <si>
    <t>Head of Corporate Communications &amp; Responsibility - Deutsche Post GHL</t>
  </si>
  <si>
    <t>Jason</t>
  </si>
  <si>
    <t>Schechter</t>
  </si>
  <si>
    <t>jschechter12@bloomberg.net</t>
  </si>
  <si>
    <t>schechtj@gmail.com</t>
  </si>
  <si>
    <t>Bloomberg, LP</t>
  </si>
  <si>
    <t>731 Lexington Ave 
New York, NY 10022-1331 US</t>
  </si>
  <si>
    <t>731 Lexington Ave</t>
  </si>
  <si>
    <t>10022-1331</t>
  </si>
  <si>
    <t>(212) 617-7750</t>
  </si>
  <si>
    <t>Chief Communications Officer - Bloomberg, LP</t>
  </si>
  <si>
    <t>Christine</t>
  </si>
  <si>
    <t>Woolsey</t>
  </si>
  <si>
    <t>christine.woolsey@sclhs.net</t>
  </si>
  <si>
    <t>woolseycd@gmail.com</t>
  </si>
  <si>
    <t>SVP, Chief Communications &amp; Marketing Officer</t>
  </si>
  <si>
    <t>SCL Health</t>
  </si>
  <si>
    <t>500 Eldorado Blvd. 
Suite 100D 
Broomfield, CO 80021 US</t>
  </si>
  <si>
    <t>Broomfield</t>
  </si>
  <si>
    <t>500 Eldorado Blvd.</t>
  </si>
  <si>
    <t>Suite 100D</t>
  </si>
  <si>
    <t>80021</t>
  </si>
  <si>
    <t>303-813-5065</t>
  </si>
  <si>
    <t>SVP, Chief Communications &amp; Marketing Officer, SCL Health</t>
  </si>
  <si>
    <t>Abrahams</t>
  </si>
  <si>
    <t>paul.abrahams@relx.com</t>
  </si>
  <si>
    <t>RELX Group</t>
  </si>
  <si>
    <t>Grand Buildings, 1-3 Strand 
London, Wc2n 5jr GB</t>
  </si>
  <si>
    <t>Grand Buildings, 1-3 Strand</t>
  </si>
  <si>
    <t>Wc2n 5jr</t>
  </si>
  <si>
    <t>(207) 166-5711</t>
  </si>
  <si>
    <t>Group Head of Corporate Communications - Reed Elsevier Group plc</t>
  </si>
  <si>
    <t>Willi</t>
  </si>
  <si>
    <t>michael.willi@novartis.com</t>
  </si>
  <si>
    <t>Group Head of Communications</t>
  </si>
  <si>
    <t>Novartis</t>
  </si>
  <si>
    <t>Novartis International Ag 
Basel, 4002 CH</t>
  </si>
  <si>
    <t>Basel</t>
  </si>
  <si>
    <t>Novartis International Ag</t>
  </si>
  <si>
    <t>4002</t>
  </si>
  <si>
    <t>41613242202</t>
  </si>
  <si>
    <t>Michele Galen</t>
  </si>
  <si>
    <t>Group Head of Communications - Novartis International AG</t>
  </si>
  <si>
    <t>Roll</t>
  </si>
  <si>
    <t>oroll@cisco.com</t>
  </si>
  <si>
    <t>300 East Tasman Drive 
San Jose, CA 95134 US</t>
  </si>
  <si>
    <t>300 East Tasman Drive</t>
  </si>
  <si>
    <t>95134</t>
  </si>
  <si>
    <t>408-526-7983</t>
  </si>
  <si>
    <t>+1 6504274376</t>
  </si>
  <si>
    <t>6507590819</t>
  </si>
  <si>
    <t>Alexander Jutkowitz</t>
  </si>
  <si>
    <t>VP, Corporate Communications - VMWare</t>
  </si>
  <si>
    <t>seattlejimolson@gmail.com</t>
  </si>
  <si>
    <t>Steward Health Care</t>
  </si>
  <si>
    <t>233 S. Wacker Drive 
10th Floor 
Chicago, IL 60606 US</t>
  </si>
  <si>
    <t>233 S. Wacker Drive</t>
  </si>
  <si>
    <t>10th Floor</t>
  </si>
  <si>
    <t>(312) 219-0647</t>
  </si>
  <si>
    <t>Corey DuBrowa</t>
  </si>
  <si>
    <t>Page Up: VP, Global Corporate Communications - Starbucks Coffee CompanySVP, Corporate Communications - United Airlines</t>
  </si>
  <si>
    <t>Amanda</t>
  </si>
  <si>
    <t>McKendree</t>
  </si>
  <si>
    <t>amckendree@nd.edu</t>
  </si>
  <si>
    <t>Director, Fanning Centre</t>
  </si>
  <si>
    <t>126 Mendoza College Of Business 
Notre Dame, IN 46556-5646 US</t>
  </si>
  <si>
    <t>126 Mendoza College Of Business</t>
  </si>
  <si>
    <t>46556-5646</t>
  </si>
  <si>
    <t>(412) 901-4736</t>
  </si>
  <si>
    <t>Elizabeth A. Powell</t>
  </si>
  <si>
    <t>Banner</t>
  </si>
  <si>
    <t>jon.banner@pepsico.com</t>
  </si>
  <si>
    <t>Executive Vice President, Global Communications</t>
  </si>
  <si>
    <t>PepsiCo, Inc.</t>
  </si>
  <si>
    <t>700 Anderson Hill Road 
Purchase, NY 10577 US</t>
  </si>
  <si>
    <t>700 Anderson Hill Road</t>
  </si>
  <si>
    <t>914-253-2822</t>
  </si>
  <si>
    <t>212-203-5568</t>
  </si>
  <si>
    <t>Executive Vice President, Global Communications - PepsiCo, Inc.</t>
  </si>
  <si>
    <t>Tina</t>
  </si>
  <si>
    <t>McCorkindale</t>
  </si>
  <si>
    <t>tina@instituteforpr.org</t>
  </si>
  <si>
    <t>tinamccorkindale@gmail.com</t>
  </si>
  <si>
    <t>President &amp; CEO</t>
  </si>
  <si>
    <t>2118 N 65th St 
Seattle, WA 98103-5406 US</t>
  </si>
  <si>
    <t>Seattle</t>
  </si>
  <si>
    <t>2118 N 65th St</t>
  </si>
  <si>
    <t>98103-5406</t>
  </si>
  <si>
    <t>(323) 240-7822</t>
  </si>
  <si>
    <t>Assistant Professor of Communications - Appalachian State University</t>
  </si>
  <si>
    <t>Marcia</t>
  </si>
  <si>
    <t>DiStaso</t>
  </si>
  <si>
    <t>mdistaso@ufl.edu</t>
  </si>
  <si>
    <t>Associate Professor &amp; Chair of the Department of Public Relations</t>
  </si>
  <si>
    <t>PO Box 118400 
Gainesville, FL 32611 US</t>
  </si>
  <si>
    <t>PO Box 118400</t>
  </si>
  <si>
    <t>32611</t>
  </si>
  <si>
    <t>352-273-1220</t>
  </si>
  <si>
    <t>813.215.6543</t>
  </si>
  <si>
    <t>Associate Professor of Public Relations - Penn State University</t>
  </si>
  <si>
    <t>Dickey</t>
  </si>
  <si>
    <t>Karol</t>
  </si>
  <si>
    <t>karol_kathryn_d@cat.com</t>
  </si>
  <si>
    <t>VP, Global Government and Corporate Affairs</t>
  </si>
  <si>
    <t>Caterpillar</t>
  </si>
  <si>
    <t>1425 K St NW Ste 400 
Washington, DC 20005-3685 US</t>
  </si>
  <si>
    <t>1425 K St NW Ste 400</t>
  </si>
  <si>
    <t>20005-3685</t>
  </si>
  <si>
    <t>202-898-3216</t>
  </si>
  <si>
    <t>202-466-0661</t>
  </si>
  <si>
    <t>VP, Global Government and Corporate Affairs - Caterpillar</t>
  </si>
  <si>
    <t>davis.amy@mayo.edu</t>
  </si>
  <si>
    <t>Division Chair of Communications</t>
  </si>
  <si>
    <t>Mayo Clinic</t>
  </si>
  <si>
    <t>200 First Street SW 
Rochester, MN 55905 US</t>
  </si>
  <si>
    <t>200 First Street SW</t>
  </si>
  <si>
    <t>55905</t>
  </si>
  <si>
    <t>(507) 538-1089</t>
  </si>
  <si>
    <t>Division Chair of Communications, Mayo Clinic</t>
  </si>
  <si>
    <t>Elder</t>
  </si>
  <si>
    <t>Nancy.Elder@Mattel.com</t>
  </si>
  <si>
    <t>EVP &amp; Chief Communications Officer</t>
  </si>
  <si>
    <t>Mattel, Inc.</t>
  </si>
  <si>
    <t>333 Continental Blvd., 
M1-0925 
El Segundo, CA 90245 US</t>
  </si>
  <si>
    <t>El Segundo</t>
  </si>
  <si>
    <t>333 Continental Blvd.,</t>
  </si>
  <si>
    <t>M1-0925</t>
  </si>
  <si>
    <t>90245</t>
  </si>
  <si>
    <t>(718) 709-2397</t>
  </si>
  <si>
    <t>(310) 592-3015</t>
  </si>
  <si>
    <t>Vice President, Communications - JetBlue</t>
  </si>
  <si>
    <t>Samuels</t>
  </si>
  <si>
    <t>gary.d.samuels@questdiagnostics.com</t>
  </si>
  <si>
    <t>Quest Diagnostics</t>
  </si>
  <si>
    <t>500 Plaza Drive 
Secaucus, NJ 07094 US</t>
  </si>
  <si>
    <t>Secaucus</t>
  </si>
  <si>
    <t>500 Plaza Drive</t>
  </si>
  <si>
    <t>07094</t>
  </si>
  <si>
    <t>973.520.2906</t>
  </si>
  <si>
    <t>917-885-0130</t>
  </si>
  <si>
    <t>VP, Corporate Communications, Quest Diagnostics</t>
  </si>
  <si>
    <t>althomp@rei.com</t>
  </si>
  <si>
    <t>thompalex@gmail.com</t>
  </si>
  <si>
    <t>VP, Brand Stewardship &amp; Impact</t>
  </si>
  <si>
    <t>Recreational Equipment, Inc.</t>
  </si>
  <si>
    <t>6750 S 228th St 
Kent, WA 98032-4803 US</t>
  </si>
  <si>
    <t>Kent</t>
  </si>
  <si>
    <t>6750 S 228th St</t>
  </si>
  <si>
    <t>98032-4803</t>
  </si>
  <si>
    <t>253.437.8748</t>
  </si>
  <si>
    <t>253.395.3780</t>
  </si>
  <si>
    <t>VP, Communications and Community Affairs - Recreational Equipment, Inc.</t>
  </si>
  <si>
    <t>Gerrard</t>
  </si>
  <si>
    <t>paul.gerrard@bcbsa.com</t>
  </si>
  <si>
    <t>Vice President, Strategic Communications</t>
  </si>
  <si>
    <t>225 North Michigan Avenue 
Chicago, IL 60601-7680 US</t>
  </si>
  <si>
    <t>225 North Michigan Avenue</t>
  </si>
  <si>
    <t>60601-7680</t>
  </si>
  <si>
    <t>(312) 330-5779</t>
  </si>
  <si>
    <t>Sharon Wamble-King</t>
  </si>
  <si>
    <t>Vice President, Strategic Communications - BlueCross BlueShield Association</t>
  </si>
  <si>
    <t>Frances</t>
  </si>
  <si>
    <t>Resheske</t>
  </si>
  <si>
    <t>resheskef@coned.com</t>
  </si>
  <si>
    <t>SVP, Public Affairs</t>
  </si>
  <si>
    <t>Consolidated Edison</t>
  </si>
  <si>
    <t>4 Irving Place 
Room 1605-S 
New York, NY 10003 US</t>
  </si>
  <si>
    <t>4 Irving Place</t>
  </si>
  <si>
    <t>Room 1605-S</t>
  </si>
  <si>
    <t>212.460.3882</t>
  </si>
  <si>
    <t>Michael F. Maslansky</t>
  </si>
  <si>
    <t>John Hatfield</t>
  </si>
  <si>
    <t>Michael B. Goodman</t>
  </si>
  <si>
    <t>SVP, Public Affairs - Consolidated Edison</t>
  </si>
  <si>
    <t>Scott</t>
  </si>
  <si>
    <t>Allison</t>
  </si>
  <si>
    <t>scott@allisonpr.com</t>
  </si>
  <si>
    <t>Chairman + CEO</t>
  </si>
  <si>
    <t>Allison+Partners</t>
  </si>
  <si>
    <t>40 Gold St 
San Francisco, CA 94133-5153 US</t>
  </si>
  <si>
    <t>40 Gold St</t>
  </si>
  <si>
    <t>94133-5153</t>
  </si>
  <si>
    <t>415.277.4900</t>
  </si>
  <si>
    <t>925.934.0821</t>
  </si>
  <si>
    <t>Chairman + CEO, Allison+Partners</t>
  </si>
  <si>
    <t>Janella</t>
  </si>
  <si>
    <t>Escobar</t>
  </si>
  <si>
    <t>janella.escobar@crackerbarrel.com</t>
  </si>
  <si>
    <t>Director, Corporate Communications</t>
  </si>
  <si>
    <t>Cracker Barrel Old Country Store</t>
  </si>
  <si>
    <t>305 S Hartmann Dr 
Lebanon, TN 37087-4960 US</t>
  </si>
  <si>
    <t>Lebanon</t>
  </si>
  <si>
    <t>305 S Hartmann Dr</t>
  </si>
  <si>
    <t>37087-4960</t>
  </si>
  <si>
    <t>615.235.4618</t>
  </si>
  <si>
    <t>615-443-9322</t>
  </si>
  <si>
    <t>Director, Head of Communications - Cracker Barrel Old Country Store, Inc.</t>
  </si>
  <si>
    <t>Corn</t>
  </si>
  <si>
    <t>amy.corn@globalpay.com</t>
  </si>
  <si>
    <t>awcorn@bellsouth.com</t>
  </si>
  <si>
    <t>SVP Marketing and Corporate Communications</t>
  </si>
  <si>
    <t>Global Payments</t>
  </si>
  <si>
    <t>3550 Lenox Rd NE 
Atlanta, GA 30326 US</t>
  </si>
  <si>
    <t>3550 Lenox Rd NE</t>
  </si>
  <si>
    <t>30326</t>
  </si>
  <si>
    <t>(404)926-9746</t>
  </si>
  <si>
    <t>770.715.0024</t>
  </si>
  <si>
    <t>Judy Wicks</t>
  </si>
  <si>
    <t>SVP Marketing and Corporate Communications - Global Payments Inc.</t>
  </si>
  <si>
    <t>Cudmore</t>
  </si>
  <si>
    <t>tony.cudmore@bhpbilliton.com</t>
  </si>
  <si>
    <t>Group Sustainability &amp; Public Policy Officer</t>
  </si>
  <si>
    <t>BHP Billiton</t>
  </si>
  <si>
    <t>171 Collins St. 
Melbourne, VIC, 3000 AU</t>
  </si>
  <si>
    <t>171 Collins St.</t>
  </si>
  <si>
    <t>VIC, 3000</t>
  </si>
  <si>
    <t>+61 396092064</t>
  </si>
  <si>
    <t>+61 3 9609 3251</t>
  </si>
  <si>
    <t>Suzanne M. McCarron</t>
  </si>
  <si>
    <t>President, Corporate Affairs - BHP Billiton</t>
  </si>
  <si>
    <t>Michelle</t>
  </si>
  <si>
    <t>michelle.jones@ch2m.com</t>
  </si>
  <si>
    <t>SVP - Chief Communications Officer</t>
  </si>
  <si>
    <t>CH2M</t>
  </si>
  <si>
    <t>9191 South Jamaica Street 
Englewood, CO 80112 US</t>
  </si>
  <si>
    <t>Englewood</t>
  </si>
  <si>
    <t>9191 South Jamaica Street</t>
  </si>
  <si>
    <t>Gary Samuels</t>
  </si>
  <si>
    <t>Vice President Global Marketing &amp; Corporate Communications - Jacobs</t>
  </si>
  <si>
    <t>Klein</t>
  </si>
  <si>
    <t>Mark.Klein@DignityHealth.org</t>
  </si>
  <si>
    <t>SVP, Corporate Communications, Public Affairs and External Relations</t>
  </si>
  <si>
    <t>Dignity Health</t>
  </si>
  <si>
    <t>185 Berry St Ste 300 
San Francisco, CA 94107-1773 US</t>
  </si>
  <si>
    <t>185 Berry St Ste 300</t>
  </si>
  <si>
    <t>94107-1773</t>
  </si>
  <si>
    <t>(415) 438-5585</t>
  </si>
  <si>
    <t>SVP, Corporate Communications, PublicAffairs and External Relations - Dignity Health</t>
  </si>
  <si>
    <t>Marta</t>
  </si>
  <si>
    <t>Newhart</t>
  </si>
  <si>
    <t>marta.newhart@yahoo.com</t>
  </si>
  <si>
    <t>Carpenter Technology</t>
  </si>
  <si>
    <t>1936 Mapleton Ave 
Boulder, CO 80304-4266 US</t>
  </si>
  <si>
    <t>Boulder</t>
  </si>
  <si>
    <t>1936 Mapleton Ave</t>
  </si>
  <si>
    <t>80304-4266</t>
  </si>
  <si>
    <t>(562) 537-0272</t>
  </si>
  <si>
    <t>Global VP - Johnson Controls</t>
  </si>
  <si>
    <t>Zeiger</t>
  </si>
  <si>
    <t>rzeiger@rccl.com</t>
  </si>
  <si>
    <t>VP, Chief Communications Officer</t>
  </si>
  <si>
    <t>Royal Caribbean Cruises, Ltd.</t>
  </si>
  <si>
    <t>1050 Caribbean Way 
6th Floor 
Miami, FL 33132-2028 US</t>
  </si>
  <si>
    <t>1050 Caribbean Way</t>
  </si>
  <si>
    <t>33132-2028</t>
  </si>
  <si>
    <t>305.539.6012</t>
  </si>
  <si>
    <t>Vice President and Global Chief Communications Officer - Royal Caribbean Cruises, Ltd.</t>
  </si>
  <si>
    <t>Diana</t>
  </si>
  <si>
    <t>Knott</t>
  </si>
  <si>
    <t>Martinelli</t>
  </si>
  <si>
    <t>diana.martinelli@mail.wvu.edu</t>
  </si>
  <si>
    <t>martinellidiana@gmail.com</t>
  </si>
  <si>
    <t>Associate Dean and Widmeyer Professor, Reed College Of Media</t>
  </si>
  <si>
    <t>West Virginia University</t>
  </si>
  <si>
    <t>1511 University Avenue 
PO Box 6010 
Morgantown, WV 26506-6010 US</t>
  </si>
  <si>
    <t>Morgantown</t>
  </si>
  <si>
    <t>1511 University Avenue</t>
  </si>
  <si>
    <t>PO Box 6010</t>
  </si>
  <si>
    <t>26506-6010</t>
  </si>
  <si>
    <t>WV</t>
  </si>
  <si>
    <t>West Virginia</t>
  </si>
  <si>
    <t>304-293-6561</t>
  </si>
  <si>
    <t>Associate Dean, Associate Professor, Widmeyer Professor in Public Relations - West Virginia University College of Media</t>
  </si>
  <si>
    <t>Sturchio</t>
  </si>
  <si>
    <t>jeff.sturchio@rabinmartin.com</t>
  </si>
  <si>
    <t>jeffreysturchio@optonline.net</t>
  </si>
  <si>
    <t>Rabin Martin</t>
  </si>
  <si>
    <t>104 West 40th Street, 3rd Floo 
#4 
New York, NY 10018 US</t>
  </si>
  <si>
    <t>104 West 40th Street, 3rd Floo</t>
  </si>
  <si>
    <t>#4</t>
  </si>
  <si>
    <t>10018</t>
  </si>
  <si>
    <t>212-365-7517</t>
  </si>
  <si>
    <t>Robin Hogen</t>
  </si>
  <si>
    <t>Adele Donohue</t>
  </si>
  <si>
    <t>President &amp; CEO - Rabin Martin</t>
  </si>
  <si>
    <t>Lokman</t>
  </si>
  <si>
    <t>llokman@psu.edu</t>
  </si>
  <si>
    <t>Vice President of Strategic Communications</t>
  </si>
  <si>
    <t>309 Old Main 
University Park, PA 16802 US</t>
  </si>
  <si>
    <t>309 Old Main</t>
  </si>
  <si>
    <t>(814) 863-4785</t>
  </si>
  <si>
    <t>(814) 863-1028</t>
  </si>
  <si>
    <t>(310) 413-1955</t>
  </si>
  <si>
    <t>Vice President for Strategic Communications  - Pennsylvania State University</t>
  </si>
  <si>
    <t>SW1Y 4PD</t>
  </si>
  <si>
    <t>Rosemary</t>
  </si>
  <si>
    <t>Mercedes</t>
  </si>
  <si>
    <t>rmercedes@univision.net</t>
  </si>
  <si>
    <t>Univision Communications Inc.</t>
  </si>
  <si>
    <t>605 Third Ave 
New York, NY 10158 US</t>
  </si>
  <si>
    <t>605 Third Ave</t>
  </si>
  <si>
    <t>10158</t>
  </si>
  <si>
    <t>(212) 455-5335</t>
  </si>
  <si>
    <t>(646) 725-2126</t>
  </si>
  <si>
    <t>Selcher</t>
  </si>
  <si>
    <t>mselcher@linkedin.com</t>
  </si>
  <si>
    <t>VP of Brand, Communications &amp; Social Impact</t>
  </si>
  <si>
    <t>LinkedIn</t>
  </si>
  <si>
    <t>1000 W Maude Ave 
Sunnyvale, CA 94085-2810 US</t>
  </si>
  <si>
    <t>Sunnyvale</t>
  </si>
  <si>
    <t>1000 W Maude Ave</t>
  </si>
  <si>
    <t>94085-2810</t>
  </si>
  <si>
    <t>(650) 567-0977</t>
  </si>
  <si>
    <t>Kathy Bloomgarden</t>
  </si>
  <si>
    <t>Blair Christie</t>
  </si>
  <si>
    <t>Billie</t>
  </si>
  <si>
    <t>Cole</t>
  </si>
  <si>
    <t>billie.cole@rakuten.com</t>
  </si>
  <si>
    <t>Vice General Manager, Corporate Communications</t>
  </si>
  <si>
    <t>Rakuten, Inc.</t>
  </si>
  <si>
    <t>1-14-1 Tamagawa 
Tokyo, Setagaya-ku 158-0094 JP</t>
  </si>
  <si>
    <t>Tokyo</t>
  </si>
  <si>
    <t>JP</t>
  </si>
  <si>
    <t>Japan</t>
  </si>
  <si>
    <t>1-14-1 Tamagawa</t>
  </si>
  <si>
    <t>Setagaya-ku 158-0094</t>
  </si>
  <si>
    <t>+81.50.5817.1104</t>
  </si>
  <si>
    <t>Jin Montesano</t>
  </si>
  <si>
    <t>Haruhiko</t>
  </si>
  <si>
    <t>Hirate</t>
  </si>
  <si>
    <t>Haruhiko.hirate@takeda.com</t>
  </si>
  <si>
    <t>haruhikohirate@aol.com</t>
  </si>
  <si>
    <t>Corporate Officer, Corporate Communications and Public Affairs Officer</t>
  </si>
  <si>
    <t>Takeda Pharmaceutical</t>
  </si>
  <si>
    <t>12-10, Nihonbash 2-Chome, Chuo-ku, 
Tokyo, 103-8668 JP</t>
  </si>
  <si>
    <t>12-10, Nihonbash 2-Chome, Chuo-ku,</t>
  </si>
  <si>
    <t>103-8668</t>
  </si>
  <si>
    <t>+81 - 3.3278.2172</t>
  </si>
  <si>
    <t>81332782037</t>
  </si>
  <si>
    <t>+81 3 3278 2741</t>
  </si>
  <si>
    <t>Akiko Ryu Innes-Taylor</t>
  </si>
  <si>
    <t>Jeffrey Kuhlman</t>
  </si>
  <si>
    <t>Corporate Officer, SVP,Corporate Communications and Public Affairs Officer</t>
  </si>
  <si>
    <t>Montesano</t>
  </si>
  <si>
    <t>jin.montesano@lixil.com</t>
  </si>
  <si>
    <t>LIXIL Group Corporation</t>
  </si>
  <si>
    <t>36F Kasumigaseki Building, 3-2-5 Kasumigaseki 
Chiyoda-ku, Tokyo, 100-6036 JP</t>
  </si>
  <si>
    <t>Chiyoda-ku, Tokyo</t>
  </si>
  <si>
    <t>36F Kasumigaseki Building, 3-2-5 Kasumigaseki</t>
  </si>
  <si>
    <t>100-6036</t>
  </si>
  <si>
    <t>8.1804749574e+11</t>
  </si>
  <si>
    <t>81362688801</t>
  </si>
  <si>
    <t>Chief Public Affairs Officer - LIXIL Group Corporation</t>
  </si>
  <si>
    <t>Sam</t>
  </si>
  <si>
    <t>Chris Monteiro</t>
  </si>
  <si>
    <t>Bergen</t>
  </si>
  <si>
    <t>lori.bergen@colorado.edu</t>
  </si>
  <si>
    <t>lori.Bergen@gmail.com</t>
  </si>
  <si>
    <t>Dean, College Of Media, Communication and Information; James E. de Castro Chair in Global Media</t>
  </si>
  <si>
    <t>University of Colorado</t>
  </si>
  <si>
    <t>CMCI, Ucb 478 
Boulder, CO 80309 US</t>
  </si>
  <si>
    <t>CMCI, Ucb 478</t>
  </si>
  <si>
    <t>80309</t>
  </si>
  <si>
    <t>(414) 378-2431</t>
  </si>
  <si>
    <t>(303) 492-4364</t>
  </si>
  <si>
    <t>Dean, J. William and Mary Diederich College of Communication - Marquette University</t>
  </si>
  <si>
    <t>Vilma</t>
  </si>
  <si>
    <t>Luoma-aho</t>
  </si>
  <si>
    <t>vilma.luoma-aho@jyu.fi</t>
  </si>
  <si>
    <t>Full Professor of Organisational Communication &amp; PR, Department of Communication, JYU</t>
  </si>
  <si>
    <t>University of Jyvaskyla</t>
  </si>
  <si>
    <t>Viitaniementie 30 B 
Jyvaskyla, 40720 FI</t>
  </si>
  <si>
    <t>Jyvaskyla</t>
  </si>
  <si>
    <t>FI</t>
  </si>
  <si>
    <t>Finland</t>
  </si>
  <si>
    <t>Viitaniementie 30 B</t>
  </si>
  <si>
    <t>40720</t>
  </si>
  <si>
    <t>+35 840 805 3098</t>
  </si>
  <si>
    <t>+35 840 585 5043</t>
  </si>
  <si>
    <t>Adrian</t>
  </si>
  <si>
    <t>Monck</t>
  </si>
  <si>
    <t>amonck@weforum.org</t>
  </si>
  <si>
    <t>Adrian.monck@weforum.org</t>
  </si>
  <si>
    <t>Managing Director, Head of Public and Social Engagement</t>
  </si>
  <si>
    <t>World Economic Forum</t>
  </si>
  <si>
    <t>91-93 Rte de La Capite 
Cologny, 1223 CH</t>
  </si>
  <si>
    <t>Cologny</t>
  </si>
  <si>
    <t>91-93 Rte de La Capite</t>
  </si>
  <si>
    <t>1223</t>
  </si>
  <si>
    <t>41228691210</t>
  </si>
  <si>
    <t>Managing Director, Head of Public Engagement - World Economic Forum</t>
  </si>
  <si>
    <t>Carole</t>
  </si>
  <si>
    <t>Casto</t>
  </si>
  <si>
    <t>carole.casto@cummins.com</t>
  </si>
  <si>
    <t>Vice President, Marketing &amp; Communications</t>
  </si>
  <si>
    <t>Cummins</t>
  </si>
  <si>
    <t>One American Square, Ste 1800 
Indianapolis, IN 46282 US</t>
  </si>
  <si>
    <t>Indianapolis</t>
  </si>
  <si>
    <t>One American Square, Ste 1800</t>
  </si>
  <si>
    <t>46282</t>
  </si>
  <si>
    <t>3176102480</t>
  </si>
  <si>
    <t>3174179425</t>
  </si>
  <si>
    <t>Joanne Bischmann</t>
  </si>
  <si>
    <t>Executive Director, Corporate Communications - Cummins</t>
  </si>
  <si>
    <t>Joel</t>
  </si>
  <si>
    <t>Curran</t>
  </si>
  <si>
    <t>joel.curran@unc.edu</t>
  </si>
  <si>
    <t>Vice Chancellor of Communications and Public Affair</t>
  </si>
  <si>
    <t>UNC-Chapel Hill</t>
  </si>
  <si>
    <t>101 McCauley St Rm 103, Whiteh 
Chapel Hill, NC 27599 US</t>
  </si>
  <si>
    <t>101 McCauley St Rm 103, Whiteh</t>
  </si>
  <si>
    <t>27599</t>
  </si>
  <si>
    <t>919-962-4515</t>
  </si>
  <si>
    <t>919-962-2011</t>
  </si>
  <si>
    <t>Vice Chancellor for Communications and Public Affairs - University of North Carolina, Chapel Hill</t>
  </si>
  <si>
    <t>Jerilan</t>
  </si>
  <si>
    <t>Greene</t>
  </si>
  <si>
    <t>jerilan.greene@yum.com</t>
  </si>
  <si>
    <t>Global Chief Communications Officer</t>
  </si>
  <si>
    <t>Yum! Brands</t>
  </si>
  <si>
    <t>1441 Gardiner Lane 
Louisville, KY 40213 US</t>
  </si>
  <si>
    <t>1441 Gardiner Lane</t>
  </si>
  <si>
    <t>40213</t>
  </si>
  <si>
    <t>502 8742875</t>
  </si>
  <si>
    <t>5026407151</t>
  </si>
  <si>
    <t>Emery</t>
  </si>
  <si>
    <t>aemery@celestica.com</t>
  </si>
  <si>
    <t>adamemery72@gmail.com</t>
  </si>
  <si>
    <t>Vice President, Head of Brand and Communications</t>
  </si>
  <si>
    <t>Celestica Inc.</t>
  </si>
  <si>
    <t>844 Don Mills Rd. 
North York, ON M3C 1V7 CA</t>
  </si>
  <si>
    <t>North York</t>
  </si>
  <si>
    <t>844 Don Mills Rd.</t>
  </si>
  <si>
    <t>M3C 1V7</t>
  </si>
  <si>
    <t>416-448-5800</t>
  </si>
  <si>
    <t>4165185131</t>
  </si>
  <si>
    <t>William Hughes</t>
  </si>
  <si>
    <t>Vice President, Corporate Communications - Blackberry</t>
  </si>
  <si>
    <t>Alepian</t>
  </si>
  <si>
    <t>Ronald.Alepian@td.com</t>
  </si>
  <si>
    <t>Head of Corporate and Public Affairs and Chief Communications Officer</t>
  </si>
  <si>
    <t>TD Bank Group</t>
  </si>
  <si>
    <t>66 Wellington St W 15th floor 
Toronto, ON M5J 2W4 CA</t>
  </si>
  <si>
    <t>Toronto</t>
  </si>
  <si>
    <t>66 Wellington St W 15th floor</t>
  </si>
  <si>
    <t>M5J 2W4</t>
  </si>
  <si>
    <t>+1.416.518.6517</t>
  </si>
  <si>
    <t>SVP &amp; Chief Communications Officer - CA Technologies</t>
  </si>
  <si>
    <t>Anderson</t>
  </si>
  <si>
    <t>Tanderson@slack-corp.com</t>
  </si>
  <si>
    <t>Slack</t>
  </si>
  <si>
    <t>Slack Technologies 
155 5th Street, 6th Floor 
San Francisco, CA 94103-2919 US</t>
  </si>
  <si>
    <t>Slack Technologies</t>
  </si>
  <si>
    <t>155 5th Street, 6th Floor</t>
  </si>
  <si>
    <t>94103-2919</t>
  </si>
  <si>
    <t>408.221.8725</t>
  </si>
  <si>
    <t>9167475673</t>
  </si>
  <si>
    <t>Christopher Graves</t>
  </si>
  <si>
    <t>Vice President, Global Marketing and Communications; GM, Global Corporate Communications, INTEL</t>
  </si>
  <si>
    <t>Anita</t>
  </si>
  <si>
    <t>Liskey</t>
  </si>
  <si>
    <t>anita.liskey@cmegroup.com</t>
  </si>
  <si>
    <t>anitaliskey@yahoo.com</t>
  </si>
  <si>
    <t>Managing Director, Corporate Marketing &amp; Communications</t>
  </si>
  <si>
    <t>CME Group</t>
  </si>
  <si>
    <t>20 S. Wacker Drive 
Chicago, IL 60606 US</t>
  </si>
  <si>
    <t>20 S. Wacker Drive</t>
  </si>
  <si>
    <t>(312) 466-4613</t>
  </si>
  <si>
    <t>(312) 735-8012</t>
  </si>
  <si>
    <t>Managing Director, Corporate Marketing &amp; Communications - CME Group</t>
  </si>
  <si>
    <t>Colin</t>
  </si>
  <si>
    <t>McConnell</t>
  </si>
  <si>
    <t>colin.mcconnell@prudential.com</t>
  </si>
  <si>
    <t>Chief Brand Officer</t>
  </si>
  <si>
    <t>Prudential Financial</t>
  </si>
  <si>
    <t>100 Mulberry Street 
Newark, NJ 07102 US</t>
  </si>
  <si>
    <t>Newark</t>
  </si>
  <si>
    <t>100 Mulberry Street</t>
  </si>
  <si>
    <t>07102</t>
  </si>
  <si>
    <t>973-802-7332</t>
  </si>
  <si>
    <t>Chief Brand Officer, Prudential Financial</t>
  </si>
  <si>
    <t>Novak</t>
  </si>
  <si>
    <t>dnovak@qti.qualcomm.com</t>
  </si>
  <si>
    <t>VP, Global Marketing, PR and Communications</t>
  </si>
  <si>
    <t>Qualcomm</t>
  </si>
  <si>
    <t>5775 Morehouse Drive 
San Diego, CA 92121-1714 US</t>
  </si>
  <si>
    <t>San Diego</t>
  </si>
  <si>
    <t>5775 Morehouse Drive</t>
  </si>
  <si>
    <t>92121-1714</t>
  </si>
  <si>
    <t>858-845-4100</t>
  </si>
  <si>
    <t>858.587.1121</t>
  </si>
  <si>
    <t>VP, Global Marketing, PR and Communications - Qualcomm Tech</t>
  </si>
  <si>
    <t>Bey-Ling</t>
  </si>
  <si>
    <t>Sha</t>
  </si>
  <si>
    <t>bsha@mail.sdsu.edu</t>
  </si>
  <si>
    <t>Professor and Director</t>
  </si>
  <si>
    <t>San Diego State University</t>
  </si>
  <si>
    <t>San Diego State University 
5500 Campanile Dr. 
San Diego, CA 92182-4561 US</t>
  </si>
  <si>
    <t>5500 Campanile Dr.</t>
  </si>
  <si>
    <t>92182-4561</t>
  </si>
  <si>
    <t>(619) 594-0641</t>
  </si>
  <si>
    <t>(713) 201-4218</t>
  </si>
  <si>
    <t>Rochelle Ford</t>
  </si>
  <si>
    <t>Professor and Interim Director, School of Journalism &amp; Media Studies - San Diego State University</t>
  </si>
  <si>
    <t>Katerina</t>
  </si>
  <si>
    <t>Tsetsura</t>
  </si>
  <si>
    <t>tsetsura@ou.edu</t>
  </si>
  <si>
    <t>Associate Professor (tenured) &amp; Gaylord Family Professor</t>
  </si>
  <si>
    <t>395 W Lindsey St 
Norman, OK 73019-4201 US</t>
  </si>
  <si>
    <t>Norman</t>
  </si>
  <si>
    <t>395 W Lindsey St</t>
  </si>
  <si>
    <t>73019-4201</t>
  </si>
  <si>
    <t>405-325-2722</t>
  </si>
  <si>
    <t>(405) 325-4184</t>
  </si>
  <si>
    <t>Associate Professor (tenured) &amp; Gaylord Family Professor - University of Oklahoma</t>
  </si>
  <si>
    <t>Martha</t>
  </si>
  <si>
    <t>Boudreau</t>
  </si>
  <si>
    <t>mboudreau@aarp.org</t>
  </si>
  <si>
    <t>Executive Vice President &amp; Chief Communications and Marketing Officer</t>
  </si>
  <si>
    <t>601 E Street, NW 
Washington, DC 20049 US</t>
  </si>
  <si>
    <t>601 E Street, NW</t>
  </si>
  <si>
    <t>20049</t>
  </si>
  <si>
    <t>202-434-2621</t>
  </si>
  <si>
    <t>202-445-9110</t>
  </si>
  <si>
    <t>Executive Vice President &amp; Chief Communications and Marketing Officer - AARP</t>
  </si>
  <si>
    <t>Miguel</t>
  </si>
  <si>
    <t>Veiga-Pestana</t>
  </si>
  <si>
    <t>miguel.veiga-pestana@rb.com</t>
  </si>
  <si>
    <t>miguel.v.pestana@gmail.com</t>
  </si>
  <si>
    <t>SVP Global Corporate Affairs and Sustainability</t>
  </si>
  <si>
    <t>Reckitt Benckiser</t>
  </si>
  <si>
    <t>Rb, Turner House, 103 Bath Rd 
Slough, Sl1 3UH GB</t>
  </si>
  <si>
    <t>Slough</t>
  </si>
  <si>
    <t>Rb, Turner House, 103 Bath Rd</t>
  </si>
  <si>
    <t>Sl1 3UH</t>
  </si>
  <si>
    <t>+44(0)1753446393</t>
  </si>
  <si>
    <t>(206) 218-8132</t>
  </si>
  <si>
    <t>Chief Communications Officer - Bill &amp; Melinda Gates Foundation</t>
  </si>
  <si>
    <t>Robin</t>
  </si>
  <si>
    <t>Boon</t>
  </si>
  <si>
    <t>Aegon N.V. Aegonplein 
50 2591 TV 
The Hague, 2595tv NL</t>
  </si>
  <si>
    <t>The Hague</t>
  </si>
  <si>
    <t>Aegon N.V. Aegonplein</t>
  </si>
  <si>
    <t>50 2591 TV</t>
  </si>
  <si>
    <t>2595tv</t>
  </si>
  <si>
    <t>+31 70 344 8344</t>
  </si>
  <si>
    <t>Hans Koeleman</t>
  </si>
  <si>
    <t>Corporate Communications Director - AEGON</t>
  </si>
  <si>
    <t>Roela</t>
  </si>
  <si>
    <t>Santos</t>
  </si>
  <si>
    <t>roela.santos@engilitycorp.com</t>
  </si>
  <si>
    <t>roelasantos@gmail.com</t>
  </si>
  <si>
    <t>4803 Stonecroft Blvd 
Chantilly, VA 20151 US</t>
  </si>
  <si>
    <t>Chantilly</t>
  </si>
  <si>
    <t>4803 Stonecroft Blvd</t>
  </si>
  <si>
    <t>20151</t>
  </si>
  <si>
    <t>(703) 984-6246</t>
  </si>
  <si>
    <t>(310) 293-6686</t>
  </si>
  <si>
    <t>Charlene A. Wheeless</t>
  </si>
  <si>
    <t>VP Communications, Engility</t>
  </si>
  <si>
    <t>Doidge</t>
  </si>
  <si>
    <t>jennifer.doidge@russellreynolds.com</t>
  </si>
  <si>
    <t>jweilbach@sbcglobal.net</t>
  </si>
  <si>
    <t>101 California St 
#4200 
San Francisco, CA 94111 US</t>
  </si>
  <si>
    <t>101 California St</t>
  </si>
  <si>
    <t>#4200</t>
  </si>
  <si>
    <t>94111</t>
  </si>
  <si>
    <t>(415) 640-6245</t>
  </si>
  <si>
    <t>(925) 299-1966</t>
  </si>
  <si>
    <t>(925) 353-4961</t>
  </si>
  <si>
    <t>Doug Michelman</t>
  </si>
  <si>
    <t>Geduldig</t>
  </si>
  <si>
    <t>courtney.geduldig@spglobal.com</t>
  </si>
  <si>
    <t>Executive Vice President of Public Affairs</t>
  </si>
  <si>
    <t>S&amp;P Global</t>
  </si>
  <si>
    <t>1200 G Street NW 
Washington, DC 20005 US</t>
  </si>
  <si>
    <t>1200 G Street NW</t>
  </si>
  <si>
    <t>(202) 383-2071</t>
  </si>
  <si>
    <t>(202) 383-2426</t>
  </si>
  <si>
    <t>(202) 997-6733</t>
  </si>
  <si>
    <t>EVP Public Affairs - McGraw Hill Financial</t>
  </si>
  <si>
    <t>Himle</t>
  </si>
  <si>
    <t>Karen.Himle@Thrivent.com</t>
  </si>
  <si>
    <t>Vice President, Corporate Affairs</t>
  </si>
  <si>
    <t>Thrivent Financial</t>
  </si>
  <si>
    <t>625 4th Ave S 
Minneapolis, MN 55415-1624 US</t>
  </si>
  <si>
    <t>625 4th Ave S</t>
  </si>
  <si>
    <t>55415-1624</t>
  </si>
  <si>
    <t>6128444454</t>
  </si>
  <si>
    <t>612-340-4030</t>
  </si>
  <si>
    <t>Vice President, Corporate Affairs - Thrivent Financial</t>
  </si>
  <si>
    <t>McLaughlin</t>
  </si>
  <si>
    <t>mclaughlin_grant@bah.com</t>
  </si>
  <si>
    <t>grantmc@me.com</t>
  </si>
  <si>
    <t>Vice President, Chief Marketing and Communications Officer</t>
  </si>
  <si>
    <t>Booz Allen Hamilton</t>
  </si>
  <si>
    <t>901 15th Street NW 
Washington, DC 20005 US</t>
  </si>
  <si>
    <t>901 15th Street NW</t>
  </si>
  <si>
    <t>7039172055</t>
  </si>
  <si>
    <t>202-421-5095</t>
  </si>
  <si>
    <t>VP - Booz Allen</t>
  </si>
  <si>
    <t>Peacock</t>
  </si>
  <si>
    <t>matt@mattpeacock.com</t>
  </si>
  <si>
    <t>matt.peacock@vodafone.com</t>
  </si>
  <si>
    <t>Group Director of Corporate Affairs</t>
  </si>
  <si>
    <t>Vodafone Group</t>
  </si>
  <si>
    <t>One Kingdom St, Paddington 
London, WU2 6BY GB</t>
  </si>
  <si>
    <t>One Kingdom St, Paddington</t>
  </si>
  <si>
    <t>WU2 6BY</t>
  </si>
  <si>
    <t>4.4777033011e+11</t>
  </si>
  <si>
    <t>Group Communications Director - Vodafone</t>
  </si>
  <si>
    <t>Tinson</t>
  </si>
  <si>
    <t>dtinson@ea.com</t>
  </si>
  <si>
    <t>SVP, Global Communications Group</t>
  </si>
  <si>
    <t>Electronic Arts</t>
  </si>
  <si>
    <t>209 Redwood Shores Pkwy 
Redwood City, CA 94065-1175 US</t>
  </si>
  <si>
    <t>209 Redwood Shores Pkwy</t>
  </si>
  <si>
    <t>94065-1175</t>
  </si>
  <si>
    <t>650-628-5189</t>
  </si>
  <si>
    <t>SVP, Global Communications - Electronic Arts</t>
  </si>
  <si>
    <t>Pierre</t>
  </si>
  <si>
    <t>Goad</t>
  </si>
  <si>
    <t>pierre.goad@hsbc.com</t>
  </si>
  <si>
    <t>pierre@goad.com</t>
  </si>
  <si>
    <t>Group General Manager, Group Head of HR and Communications</t>
  </si>
  <si>
    <t>HSBC Holdings</t>
  </si>
  <si>
    <t>8 Canada Square 
Canary Wharf 
London, E14 5hq GB</t>
  </si>
  <si>
    <t>8 Canada Square</t>
  </si>
  <si>
    <t>Canary Wharf</t>
  </si>
  <si>
    <t>E14 5hq</t>
  </si>
  <si>
    <t>4.4207992159e+11</t>
  </si>
  <si>
    <t>+44 (0)207 992 1593</t>
  </si>
  <si>
    <t>+44 (0)7795 541 510</t>
  </si>
  <si>
    <t>Group General Manager, Group Head of HR and Communications - HSBC</t>
  </si>
  <si>
    <t>Giles</t>
  </si>
  <si>
    <t>Fraser</t>
  </si>
  <si>
    <t>giles.fraser@brands2life.com</t>
  </si>
  <si>
    <t>giles.fraser@gmail.com</t>
  </si>
  <si>
    <t>Co-Founder</t>
  </si>
  <si>
    <t>Brands2Life</t>
  </si>
  <si>
    <t>111 Buckingham Palace Road 
4th Floor 
London, SW1W 0SR GB</t>
  </si>
  <si>
    <t>111 Buckingham Palace Road</t>
  </si>
  <si>
    <t>SW1W 0SR</t>
  </si>
  <si>
    <t>+440 207 592 1206</t>
  </si>
  <si>
    <t>(207) 592-1206</t>
  </si>
  <si>
    <t>Sabrina Horn</t>
  </si>
  <si>
    <t>Seng</t>
  </si>
  <si>
    <t>jjs@spectrumscience.com</t>
  </si>
  <si>
    <t>Founder and Chair</t>
  </si>
  <si>
    <t>Spectrum Science Communications</t>
  </si>
  <si>
    <t>2001 Pennsylvania Avenue 
N.W. Second Floor 
Washington, DC 20006 US</t>
  </si>
  <si>
    <t>2001 Pennsylvania Avenue</t>
  </si>
  <si>
    <t>N.W. Second Floor</t>
  </si>
  <si>
    <t>202-955-6222</t>
  </si>
  <si>
    <t>Founder and CEO, Spectrum Science Communications</t>
  </si>
  <si>
    <t>Streeter</t>
  </si>
  <si>
    <t>estreeter@nam.org</t>
  </si>
  <si>
    <t>Senior Vp, Communications</t>
  </si>
  <si>
    <t>733 10th St Nw, Suite 700 
NW Suite 700 
Washington, DC 20001 US</t>
  </si>
  <si>
    <t>733 10th St Nw, Suite 700</t>
  </si>
  <si>
    <t>NW Suite 700</t>
  </si>
  <si>
    <t>20001</t>
  </si>
  <si>
    <t>(202) 637-3186</t>
  </si>
  <si>
    <t>Thomas J. Collamore</t>
  </si>
  <si>
    <t>SVP of Communications, National Association of Manufacturers</t>
  </si>
  <si>
    <t>Weindruch</t>
  </si>
  <si>
    <t>bweindruch@historyfactory.com</t>
  </si>
  <si>
    <t>Founder and CEO</t>
  </si>
  <si>
    <t>The History Factory</t>
  </si>
  <si>
    <t>1233 20th St. NW, Suite 725, Suite 500, 
Washington, DC 20036 US</t>
  </si>
  <si>
    <t>1233 20th St. NW, Suite 725, Suite 500,</t>
  </si>
  <si>
    <t>20036</t>
  </si>
  <si>
    <t>(202) 431-5903</t>
  </si>
  <si>
    <t>(703) 631-0500</t>
  </si>
  <si>
    <t>Founder and CEO - The History Factory</t>
  </si>
  <si>
    <t>Joe</t>
  </si>
  <si>
    <t>Carberry</t>
  </si>
  <si>
    <t>joe.carberry@schwab.com</t>
  </si>
  <si>
    <t>Senior Vice President, Corporate Communication</t>
  </si>
  <si>
    <t>211 Main Street 
16th Fl #301 
San Francisco, CA 94105 US</t>
  </si>
  <si>
    <t>16th Fl #301</t>
  </si>
  <si>
    <t>(415) 667-1677</t>
  </si>
  <si>
    <t>(415) 730-7919</t>
  </si>
  <si>
    <t>Senior Vice President, Corporate Communication - Charles Schwab &amp; Co. Inc.</t>
  </si>
  <si>
    <t>Lynam</t>
  </si>
  <si>
    <t>tlynam@northwell.edu</t>
  </si>
  <si>
    <t>Vice President and Chief Public Relations Office</t>
  </si>
  <si>
    <t>Northwell Health</t>
  </si>
  <si>
    <t>2000 Marcus Ave 
New Hyde Park, NY 11042 US</t>
  </si>
  <si>
    <t>New Hyde Park</t>
  </si>
  <si>
    <t>2000 Marcus Ave</t>
  </si>
  <si>
    <t>11042</t>
  </si>
  <si>
    <t>516-321-6702</t>
  </si>
  <si>
    <t>Vice President and Chief Public Relations Office - North Shore LIJ</t>
  </si>
  <si>
    <t>McGovern</t>
  </si>
  <si>
    <t>patrick.mcgovern@Chubb.com</t>
  </si>
  <si>
    <t>Chubb</t>
  </si>
  <si>
    <t>1133 Avenue of the Americas 
New York, NY 10036 US</t>
  </si>
  <si>
    <t>1133 Avenue of the Americas</t>
  </si>
  <si>
    <t>212-827-4428</t>
  </si>
  <si>
    <t>Mark E. Greenberg</t>
  </si>
  <si>
    <t>Chief Communications Officer - ACE Group</t>
  </si>
  <si>
    <t>Clabo</t>
  </si>
  <si>
    <t>howard@wavekilo.com</t>
  </si>
  <si>
    <t>Howard.Clabo@hpe.com</t>
  </si>
  <si>
    <t>3000 Hanover St 
Palo Alto, CA 94304-1112 US</t>
  </si>
  <si>
    <t>650-798-9087/650-857-2919</t>
  </si>
  <si>
    <t>(650) 258-5764</t>
  </si>
  <si>
    <t>Senior Vice President, Global Communications -Hewlett Packard</t>
  </si>
  <si>
    <t>Pittsburgh</t>
  </si>
  <si>
    <t>Dustee</t>
  </si>
  <si>
    <t>Jenkins</t>
  </si>
  <si>
    <t>dustee@spotify.com</t>
  </si>
  <si>
    <t>Global Head of Communications and Public Relations</t>
  </si>
  <si>
    <t>Spotify Technology SA</t>
  </si>
  <si>
    <t>16175 Crosby Cove Road 
Wayzata, MN 55391 US</t>
  </si>
  <si>
    <t>16175 Crosby Cove Road</t>
  </si>
  <si>
    <t>55391</t>
  </si>
  <si>
    <t>(612) 761-9537</t>
  </si>
  <si>
    <t>Vice President, Communications - Target</t>
  </si>
  <si>
    <t>Dailah</t>
  </si>
  <si>
    <t>Nihot</t>
  </si>
  <si>
    <t>dailah.nihot@nn-group.com</t>
  </si>
  <si>
    <t>Managing Director of Corporate Relations</t>
  </si>
  <si>
    <t>NN Group</t>
  </si>
  <si>
    <t>Schenkkade 65, 
The Hague, 2595 As NL</t>
  </si>
  <si>
    <t>Schenkkade 65,</t>
  </si>
  <si>
    <t>2595 As</t>
  </si>
  <si>
    <t>31643012779</t>
  </si>
  <si>
    <t>+31 65 24 66870</t>
  </si>
  <si>
    <t>Managing Director of Corporate Communication - NN Group</t>
  </si>
  <si>
    <t>Sabia</t>
  </si>
  <si>
    <t>Schwarzer</t>
  </si>
  <si>
    <t>sabia.schwarzer@allianz.com</t>
  </si>
  <si>
    <t>Head of Group Communications</t>
  </si>
  <si>
    <t>Allianz</t>
  </si>
  <si>
    <t>Koeninginstrasse 28 
MÃ¼nchen, 80802 DE</t>
  </si>
  <si>
    <t>Koeninginstrasse 28</t>
  </si>
  <si>
    <t>80802</t>
  </si>
  <si>
    <t>49.89.3800 2586</t>
  </si>
  <si>
    <t>Head of Group Communications - Allianz</t>
  </si>
  <si>
    <t>Reesa</t>
  </si>
  <si>
    <t>Staten</t>
  </si>
  <si>
    <t>Reesa.Staten@roberthalf.com</t>
  </si>
  <si>
    <t>Robert Half International</t>
  </si>
  <si>
    <t>2884 Sand Hill Rd 
Menlo Park, CA 94025-7072 US</t>
  </si>
  <si>
    <t>Menlo Park</t>
  </si>
  <si>
    <t>2884 Sand Hill Rd</t>
  </si>
  <si>
    <t>94025-7072</t>
  </si>
  <si>
    <t>650-743-8803</t>
  </si>
  <si>
    <t>SVP Communications - Robert Half</t>
  </si>
  <si>
    <t>Watkins</t>
  </si>
  <si>
    <t>Wawatkins@hormel.com</t>
  </si>
  <si>
    <t>Hormel Foods</t>
  </si>
  <si>
    <t>1 Hormel Pl 
Austin, MN 55912-3673 US</t>
  </si>
  <si>
    <t>1 Hormel Pl</t>
  </si>
  <si>
    <t>55912-3673</t>
  </si>
  <si>
    <t>(507) 437-5355</t>
  </si>
  <si>
    <t>Vice President, Corporate Communications - Hormel</t>
  </si>
  <si>
    <t>Madan</t>
  </si>
  <si>
    <t>Bahal</t>
  </si>
  <si>
    <t>madan@adfactorspr.com</t>
  </si>
  <si>
    <t>Managing Director</t>
  </si>
  <si>
    <t>Adfactors PR</t>
  </si>
  <si>
    <t>Adfactors PR, Lower Parel 
Mumbai, 400013 IN</t>
  </si>
  <si>
    <t>Adfactors PR, Lower Parel</t>
  </si>
  <si>
    <t>400013</t>
  </si>
  <si>
    <t>+91 9820020258</t>
  </si>
  <si>
    <t>(982) 002-0258</t>
  </si>
  <si>
    <t>Managing Director - Adfactors</t>
  </si>
  <si>
    <t>m.henderson@wellcome.ac.uk</t>
  </si>
  <si>
    <t>Head of Communications</t>
  </si>
  <si>
    <t>215 Euston Road 
Gibbs Building 
London, NWI 2BE GB</t>
  </si>
  <si>
    <t>215 Euston Road</t>
  </si>
  <si>
    <t>Gibbs Building</t>
  </si>
  <si>
    <t>NWI 2BE</t>
  </si>
  <si>
    <t>+44 20 7611 8540</t>
  </si>
  <si>
    <t>Neill Coleman</t>
  </si>
  <si>
    <t>Head of Communications - Wellcome Trust</t>
  </si>
  <si>
    <t>Helle</t>
  </si>
  <si>
    <t>Kryger Aggerholm</t>
  </si>
  <si>
    <t>hag@bcom.au.dk</t>
  </si>
  <si>
    <t>Associate Professor Director of Study Programs within Corporate Communications</t>
  </si>
  <si>
    <t>Aarhus University</t>
  </si>
  <si>
    <t>Jens Chr. Skous Vej 4 
Ã…rhus C, 8000 DK</t>
  </si>
  <si>
    <t>Ã…rhus C</t>
  </si>
  <si>
    <t>Jens Chr. Skous Vej 4</t>
  </si>
  <si>
    <t>8000</t>
  </si>
  <si>
    <t>+45 2625 9002</t>
  </si>
  <si>
    <t>+45 8716 4879</t>
  </si>
  <si>
    <t>Associate Professor Director of Study Programs within Corporate Communications - Aarhus University</t>
  </si>
  <si>
    <t>Wim</t>
  </si>
  <si>
    <t>Willem</t>
  </si>
  <si>
    <t>Johannes Lambertus</t>
  </si>
  <si>
    <t>Elving</t>
  </si>
  <si>
    <t>wimelv@xs4all.nl</t>
  </si>
  <si>
    <t>Professor of Sustainable Communication</t>
  </si>
  <si>
    <t>Hanze University of Applied Sciences</t>
  </si>
  <si>
    <t>Parklaan 67 
Bilthoven, 3722 Bd NL</t>
  </si>
  <si>
    <t>Bilthoven</t>
  </si>
  <si>
    <t>Parklaan 67</t>
  </si>
  <si>
    <t>3722 Bd</t>
  </si>
  <si>
    <t>3.1063958331e+11</t>
  </si>
  <si>
    <t>Assistant Professor of Communication - University of Amsterdam</t>
  </si>
  <si>
    <t>Sabine</t>
  </si>
  <si>
    <t>Einwiller</t>
  </si>
  <si>
    <t>sabine.einwiller@univie.ac.at</t>
  </si>
  <si>
    <t>Professor of Public Relations Research</t>
  </si>
  <si>
    <t>University of Vienna</t>
  </si>
  <si>
    <t>Brigittenauer Laende 36 
Vienna, 1200 AT</t>
  </si>
  <si>
    <t>Vienna</t>
  </si>
  <si>
    <t>AT</t>
  </si>
  <si>
    <t>Austria</t>
  </si>
  <si>
    <t>Brigittenauer Laende 36</t>
  </si>
  <si>
    <t>1200</t>
  </si>
  <si>
    <t>1.143677613e+13</t>
  </si>
  <si>
    <t>+49 178 142 3198</t>
  </si>
  <si>
    <t>Professor of Public Relations Research - University of Vienna</t>
  </si>
  <si>
    <t>Gus</t>
  </si>
  <si>
    <t>Augustine</t>
  </si>
  <si>
    <t>Pang</t>
  </si>
  <si>
    <t>guspang2018@gmail.com</t>
  </si>
  <si>
    <t>augustine@smu.edu.sg</t>
  </si>
  <si>
    <t>Professor of Corporate Communications (Practice)</t>
  </si>
  <si>
    <t>Singapore Management University, Lee Kong Chian School of Business</t>
  </si>
  <si>
    <t>50 Stamford Road 
Singapore, 178899 SG</t>
  </si>
  <si>
    <t>Singapore</t>
  </si>
  <si>
    <t>SG</t>
  </si>
  <si>
    <t>50 Stamford Road</t>
  </si>
  <si>
    <t>178899</t>
  </si>
  <si>
    <t>-92365437</t>
  </si>
  <si>
    <t>Program Director, Master of Mass Communication Wee Kim Wee School of Communication</t>
  </si>
  <si>
    <t>Arthur</t>
  </si>
  <si>
    <t>Hodges</t>
  </si>
  <si>
    <t>ahodges@cobank.com</t>
  </si>
  <si>
    <t>CoBank</t>
  </si>
  <si>
    <t>6340 South Fiddlers Green Circ 
Greenwood Village, CO 80111 US</t>
  </si>
  <si>
    <t>Greenwood Village</t>
  </si>
  <si>
    <t>6340 South Fiddlers Green Circ</t>
  </si>
  <si>
    <t>80111</t>
  </si>
  <si>
    <t>303-740-4061</t>
  </si>
  <si>
    <t>+1.720.255.6597</t>
  </si>
  <si>
    <t>Richard Kylberg</t>
  </si>
  <si>
    <t>Senior Vice President  Corporate Communications - CoBank</t>
  </si>
  <si>
    <t>Darcie</t>
  </si>
  <si>
    <t>Brossart</t>
  </si>
  <si>
    <t>DBrossart@republicservices.com</t>
  </si>
  <si>
    <t>Republic Services</t>
  </si>
  <si>
    <t>18500 N. Allied Way 
Phoenix, AZ 85054 US</t>
  </si>
  <si>
    <t>18500 N. Allied Way</t>
  </si>
  <si>
    <t>85054</t>
  </si>
  <si>
    <t>480-718-6565</t>
  </si>
  <si>
    <t>214-405-1629</t>
  </si>
  <si>
    <t>SVP, Corporate Communications - Republic Services</t>
  </si>
  <si>
    <t>Reidar</t>
  </si>
  <si>
    <t>Gjaerum</t>
  </si>
  <si>
    <t>rgja@statoil.com</t>
  </si>
  <si>
    <t>SVP Corporate Communications</t>
  </si>
  <si>
    <t>Equinor (formerly Statoil)</t>
  </si>
  <si>
    <t>Martin Linges vei 33 
1330 Fornebu, NO</t>
  </si>
  <si>
    <t>1330 Fornebu</t>
  </si>
  <si>
    <t>NO</t>
  </si>
  <si>
    <t>Norway</t>
  </si>
  <si>
    <t>Martin Linges vei 33</t>
  </si>
  <si>
    <t>+47 51 99 00 00</t>
  </si>
  <si>
    <t>+47 908 55 101</t>
  </si>
  <si>
    <t>Gooch</t>
  </si>
  <si>
    <t>Anthony.GOOCH@oecd.org</t>
  </si>
  <si>
    <t>agooch@usc.edu</t>
  </si>
  <si>
    <t>Director of Public Affairs &amp; Communications</t>
  </si>
  <si>
    <t>Organisation for Economic Co-operation and Development (OECD)</t>
  </si>
  <si>
    <t>Page (Government)</t>
  </si>
  <si>
    <t>Govt</t>
  </si>
  <si>
    <t>Government CCO</t>
  </si>
  <si>
    <t>2, Rue AndrÃ© Pascal 
Paris, 75775 FR</t>
  </si>
  <si>
    <t>2, Rue AndrÃ© Pascal</t>
  </si>
  <si>
    <t>75775</t>
  </si>
  <si>
    <t>+33 1 45 24 82 00</t>
  </si>
  <si>
    <t>33611261643</t>
  </si>
  <si>
    <t>Herbert Heitmann</t>
  </si>
  <si>
    <t>Bennett</t>
  </si>
  <si>
    <t>michael.bennett@honeywell.com</t>
  </si>
  <si>
    <t>Vice President of Corporate Communications</t>
  </si>
  <si>
    <t>Honeywell International</t>
  </si>
  <si>
    <t>115 Tabor Rd 
Morris Plains, NJ 07950 US</t>
  </si>
  <si>
    <t>Morris Plains</t>
  </si>
  <si>
    <t>115 Tabor Rd</t>
  </si>
  <si>
    <t>07950</t>
  </si>
  <si>
    <t>(973) 455-2753</t>
  </si>
  <si>
    <t>Carter</t>
  </si>
  <si>
    <t>heather.carter@lpl.com</t>
  </si>
  <si>
    <t>EVP, Chief Communication Officer</t>
  </si>
  <si>
    <t>1055 LPL Way 
Fort Mill, SC 29715 US</t>
  </si>
  <si>
    <t>Fort Mill</t>
  </si>
  <si>
    <t>1055 LPL Way</t>
  </si>
  <si>
    <t>29715</t>
  </si>
  <si>
    <t>(704) 733-3822</t>
  </si>
  <si>
    <t>(704) 756-1629</t>
  </si>
  <si>
    <t>EVP, Corporate Communication</t>
  </si>
  <si>
    <t>Jerri</t>
  </si>
  <si>
    <t>Fuller</t>
  </si>
  <si>
    <t>Dickseski</t>
  </si>
  <si>
    <t>jerri.dickseski@hii-co.com</t>
  </si>
  <si>
    <t>Executive Vice President, Communications</t>
  </si>
  <si>
    <t>Huntington Ingalls Industries</t>
  </si>
  <si>
    <t>4101 Washington Avenue 
Newport News, VA 23607 US</t>
  </si>
  <si>
    <t>Newport News</t>
  </si>
  <si>
    <t>4101 Washington Avenue</t>
  </si>
  <si>
    <t>23607</t>
  </si>
  <si>
    <t>757-380-2341</t>
  </si>
  <si>
    <t>Corporate VP, Communications</t>
  </si>
  <si>
    <t>Ben</t>
  </si>
  <si>
    <t>Dillon</t>
  </si>
  <si>
    <t>ben.dillon@nblenergy.com</t>
  </si>
  <si>
    <t>Vice President, Communications and Government Relations</t>
  </si>
  <si>
    <t>Noble Energy</t>
  </si>
  <si>
    <t>1001 Noble Energy Way 
Houston, TX 77070-1435 US</t>
  </si>
  <si>
    <t>1001 Noble Energy Way</t>
  </si>
  <si>
    <t>77070-1435</t>
  </si>
  <si>
    <t>2818766227</t>
  </si>
  <si>
    <t>diana.m.martin@baesystems.com</t>
  </si>
  <si>
    <t>BAE Systems</t>
  </si>
  <si>
    <t>65 Spit Brook Road 
MS NHQO1-765 
Nashua, NH 03061 US</t>
  </si>
  <si>
    <t>Nashua</t>
  </si>
  <si>
    <t>65 Spit Brook Road</t>
  </si>
  <si>
    <t>MS NHQO1-765</t>
  </si>
  <si>
    <t>03061</t>
  </si>
  <si>
    <t>603-885-2817</t>
  </si>
  <si>
    <t>Bret Gallaway</t>
  </si>
  <si>
    <t>Global Head of Corporate Communications</t>
  </si>
  <si>
    <t>Diane</t>
  </si>
  <si>
    <t>Pelkey</t>
  </si>
  <si>
    <t>dpelkey@underarmour.com</t>
  </si>
  <si>
    <t>SVP Global Communications, Events and Entertainment</t>
  </si>
  <si>
    <t>Under Armour</t>
  </si>
  <si>
    <t>22 Sagewood Ct 
Sparks Glencoe, MD 21152-9304 US</t>
  </si>
  <si>
    <t>Sparks Glencoe</t>
  </si>
  <si>
    <t>22 Sagewood Ct</t>
  </si>
  <si>
    <t>21152-9304</t>
  </si>
  <si>
    <t>(617) 256-4541</t>
  </si>
  <si>
    <t>(410) 246-5927</t>
  </si>
  <si>
    <t>Sandor</t>
  </si>
  <si>
    <t>david.sandor@emory.edu</t>
  </si>
  <si>
    <t>dbsandor@yahoo.com</t>
  </si>
  <si>
    <t>Senior Vice President of Communications and Public Affairs</t>
  </si>
  <si>
    <t>Emory University</t>
  </si>
  <si>
    <t>201 Dowman Dr., 
Atlanta, GA 30322 US</t>
  </si>
  <si>
    <t>201 Dowman Dr.,</t>
  </si>
  <si>
    <t>30322</t>
  </si>
  <si>
    <t>(312) 504-8655</t>
  </si>
  <si>
    <t>Paul Gerrard</t>
  </si>
  <si>
    <t>Vice President, Corporate Communication</t>
  </si>
  <si>
    <t>Roy</t>
  </si>
  <si>
    <t>Vaughn</t>
  </si>
  <si>
    <t>roy_vaughn@bcbst.com</t>
  </si>
  <si>
    <t>BlueCross BlueShield of Tennessee</t>
  </si>
  <si>
    <t>1 Cameron Hill Cir 
Chattanooga, TN 37402-9815 US</t>
  </si>
  <si>
    <t>Chattanooga</t>
  </si>
  <si>
    <t>1 Cameron Hill Cir</t>
  </si>
  <si>
    <t>37402-9815</t>
  </si>
  <si>
    <t>423-535-8364</t>
  </si>
  <si>
    <t>Wilke</t>
  </si>
  <si>
    <t>alexander.wilke@thyssenkrupp.com</t>
  </si>
  <si>
    <t>ThyssenKrupp Group</t>
  </si>
  <si>
    <t>Thyssenkrupp Allee 1 
Essen, 45143 DE</t>
  </si>
  <si>
    <t>Essen</t>
  </si>
  <si>
    <t>Thyssenkrupp Allee 1</t>
  </si>
  <si>
    <t>45143</t>
  </si>
  <si>
    <t>+49 201 844536043</t>
  </si>
  <si>
    <t>Ernst Primosch</t>
  </si>
  <si>
    <t>Stephanie</t>
  </si>
  <si>
    <t>Moritz</t>
  </si>
  <si>
    <t>moritzs@ada.org</t>
  </si>
  <si>
    <t>Chief Communications Officer, Marketing &amp; Communications</t>
  </si>
  <si>
    <t>American Dental Association</t>
  </si>
  <si>
    <t>211 E Chicago Ave 
Chicago, IL 60611-2637 US</t>
  </si>
  <si>
    <t>211 E Chicago Ave</t>
  </si>
  <si>
    <t>60611-2637</t>
  </si>
  <si>
    <t>312-440-7739</t>
  </si>
  <si>
    <t>Kerr</t>
  </si>
  <si>
    <t>sk@kerrstrategies.com</t>
  </si>
  <si>
    <t>stacyrose@gmail.com</t>
  </si>
  <si>
    <t>Founder and Principal</t>
  </si>
  <si>
    <t>Kerr Strategies</t>
  </si>
  <si>
    <t>9633 Weathered Oak Court 
Bethesda, MD 20817 US</t>
  </si>
  <si>
    <t>9633 Weathered Oak Court</t>
  </si>
  <si>
    <t>20817</t>
  </si>
  <si>
    <t>2023596854</t>
  </si>
  <si>
    <t>Bruce Harrison</t>
  </si>
  <si>
    <t>AVP for Strategic Communications Official</t>
  </si>
  <si>
    <t>Kiker</t>
  </si>
  <si>
    <t>dkiker@cuna.com</t>
  </si>
  <si>
    <t>dkiker@yahoo.com</t>
  </si>
  <si>
    <t>Chief Strategic Communications Officer</t>
  </si>
  <si>
    <t>Credit Union National Association</t>
  </si>
  <si>
    <t>601 Pennsylvania Avenue, NW Suite 600 
Washington, DC 20004 US</t>
  </si>
  <si>
    <t>601 Pennsylvania Avenue, NW Suite 600</t>
  </si>
  <si>
    <t>202-508-3626</t>
  </si>
  <si>
    <t>Jon Pepper</t>
  </si>
  <si>
    <t>Feldner</t>
  </si>
  <si>
    <t>sarah.feldner@mu.edu</t>
  </si>
  <si>
    <t>Associate Dean For Graduate Studies &amp; Research</t>
  </si>
  <si>
    <t>Marquette University</t>
  </si>
  <si>
    <t>PO Box 1881 
Milwaukee, WI 53201-1881 US</t>
  </si>
  <si>
    <t>PO Box 1881</t>
  </si>
  <si>
    <t>53201-1881</t>
  </si>
  <si>
    <t>(414) 288-3491</t>
  </si>
  <si>
    <t>John A. Bernaden</t>
  </si>
  <si>
    <t>Associate Dean for Graduate Studies and Research</t>
  </si>
  <si>
    <t>Dejan</t>
  </si>
  <si>
    <t>Vercic</t>
  </si>
  <si>
    <t>dejan.vercic@fdv.uni-lj.si</t>
  </si>
  <si>
    <t>Professor &amp; Head of Centre for Marketing and Public Relations</t>
  </si>
  <si>
    <t>University of Ljubljana</t>
  </si>
  <si>
    <t>Faculty of Social Sciences, University of Ljubljana, Kardeljeva pl. 5, 1000 
Ljubljana, SI</t>
  </si>
  <si>
    <t>Ljubljana</t>
  </si>
  <si>
    <t>SI</t>
  </si>
  <si>
    <t>Slovenia</t>
  </si>
  <si>
    <t>Faculty of Social Sciences, University of Ljubljana, Kardeljeva pl. 5, 1000</t>
  </si>
  <si>
    <t>+386 4 16 88 146</t>
  </si>
  <si>
    <t>+386 1 58 05 208</t>
  </si>
  <si>
    <t>James E. Grunig</t>
  </si>
  <si>
    <t>Sachs</t>
  </si>
  <si>
    <t>sachs@prologis.com</t>
  </si>
  <si>
    <t>melissa.i.sachs@gmail.com</t>
  </si>
  <si>
    <t>Vice President, Head of Global Communications</t>
  </si>
  <si>
    <t>Prologis</t>
  </si>
  <si>
    <t>pier 1 
Bay 1 
San Franciso, CA 94111 US</t>
  </si>
  <si>
    <t>San Franciso</t>
  </si>
  <si>
    <t>pier 1</t>
  </si>
  <si>
    <t>Bay 1</t>
  </si>
  <si>
    <t>+1 (415) 733-9597</t>
  </si>
  <si>
    <t>(917) 847-2968</t>
  </si>
  <si>
    <t>VP Corporate Communications - DCT Industrial Trust Inc</t>
  </si>
  <si>
    <t>McMahon</t>
  </si>
  <si>
    <t>steve.mcmahon@purplestrategies.com</t>
  </si>
  <si>
    <t>Purple Strategies</t>
  </si>
  <si>
    <t>815 Slaters Ln   
Alexandria, VA 22314-1219 US</t>
  </si>
  <si>
    <t>815 Slaters Ln</t>
  </si>
  <si>
    <t>22314-1219</t>
  </si>
  <si>
    <t>(703) 548-7877</t>
  </si>
  <si>
    <t>Josephine Martin</t>
  </si>
  <si>
    <t>CEO - Purple Strategies</t>
  </si>
  <si>
    <t>Jessica</t>
  </si>
  <si>
    <t>Adelman</t>
  </si>
  <si>
    <t>jessica.adelman@kroger.com</t>
  </si>
  <si>
    <t>Group Vice President, Corporate Affairs</t>
  </si>
  <si>
    <t>The Kroger Co.</t>
  </si>
  <si>
    <t>1014 Vine Street 
Cincinnati, OH 45202 US</t>
  </si>
  <si>
    <t>1014 Vine Street</t>
  </si>
  <si>
    <t>513.762.1591</t>
  </si>
  <si>
    <t>513-762-4944</t>
  </si>
  <si>
    <t>Lynn Marmer</t>
  </si>
  <si>
    <t>Biwer</t>
  </si>
  <si>
    <t>Molly.Biwer@hallmark.com</t>
  </si>
  <si>
    <t>Senior Vice President, Public Affairs &amp; Communications</t>
  </si>
  <si>
    <t>Hallmark Cards, Inc.</t>
  </si>
  <si>
    <t>2501 Mcgee St 
Kansas City, MO 64108-2615 US</t>
  </si>
  <si>
    <t>Kansas City</t>
  </si>
  <si>
    <t>2501 Mcgee St</t>
  </si>
  <si>
    <t>64108-2615</t>
  </si>
  <si>
    <t>+1 (816) 274-3910</t>
  </si>
  <si>
    <t>+1 (816) 510-9985</t>
  </si>
  <si>
    <t>Stephen D. Doyal</t>
  </si>
  <si>
    <t>Elise Eberwein</t>
  </si>
  <si>
    <t>Britten</t>
  </si>
  <si>
    <t>adrian.britten@msamlin.com</t>
  </si>
  <si>
    <t>90-96 Victoria Road 
Chelmsford, CM1 1QU GB</t>
  </si>
  <si>
    <t>Chelmsford</t>
  </si>
  <si>
    <t>90-96 Victoria Road</t>
  </si>
  <si>
    <t>CM1 1QU</t>
  </si>
  <si>
    <t>+44 (0) 207 746 1248</t>
  </si>
  <si>
    <t>Jurek</t>
  </si>
  <si>
    <t>jurek@inlandgroup.com</t>
  </si>
  <si>
    <t>President and Chief Marketing Officer</t>
  </si>
  <si>
    <t>The Inland Real Estate Group of Companies, Inc.</t>
  </si>
  <si>
    <t>2901 Butterfield Road 
Oak Brook, IL 60523 US</t>
  </si>
  <si>
    <t>Oak Brook</t>
  </si>
  <si>
    <t>2901 Butterfield Road</t>
  </si>
  <si>
    <t>60523</t>
  </si>
  <si>
    <t>630-596-4822</t>
  </si>
  <si>
    <t>Jeff Leshay</t>
  </si>
  <si>
    <t>Franz</t>
  </si>
  <si>
    <t>Paasche</t>
  </si>
  <si>
    <t>FPAASCHE@PAYPAL.COM</t>
  </si>
  <si>
    <t>Senior Vice President, Corporate Affairs &amp; Communications</t>
  </si>
  <si>
    <t>PayPal</t>
  </si>
  <si>
    <t>2211 N 1st St 
San Jose, CA 95131-2021 US</t>
  </si>
  <si>
    <t>2211 N 1st St</t>
  </si>
  <si>
    <t>95131-2021</t>
  </si>
  <si>
    <t>408.967.9016</t>
  </si>
  <si>
    <t>6465544730</t>
  </si>
  <si>
    <t>Saunders</t>
  </si>
  <si>
    <t>John.saunders@fleishman.com</t>
  </si>
  <si>
    <t>200 N Broadway 
Saint Louis, MO 63102-2730 US</t>
  </si>
  <si>
    <t>200 N Broadway</t>
  </si>
  <si>
    <t>63102-2730</t>
  </si>
  <si>
    <t>(314) 982-9100</t>
  </si>
  <si>
    <t>Tisch</t>
  </si>
  <si>
    <t>dtisch@argylepr.com</t>
  </si>
  <si>
    <t>Argyle Public Relationships</t>
  </si>
  <si>
    <t>175 Bloor Street East 
South Tower, Suite 1007 
Toronto, ON M4W 3R8 CA</t>
  </si>
  <si>
    <t>175 Bloor Street East</t>
  </si>
  <si>
    <t>South Tower, Suite 1007</t>
  </si>
  <si>
    <t>M4W 3R8</t>
  </si>
  <si>
    <t>461-968-7311 ext. 223</t>
  </si>
  <si>
    <t>Neil Parmenter</t>
  </si>
  <si>
    <t>Janice</t>
  </si>
  <si>
    <t>Janice.D.Walker2@usps.gov</t>
  </si>
  <si>
    <t>VP of Corporate Communications</t>
  </si>
  <si>
    <t>USPS</t>
  </si>
  <si>
    <t>475 Lenfant Plz SW Rm 1P830 
Washington, DC 20260-0004 US</t>
  </si>
  <si>
    <t>475 Lenfant Plz SW Rm 1P830</t>
  </si>
  <si>
    <t>20260-0004</t>
  </si>
  <si>
    <t>202-268-2143</t>
  </si>
  <si>
    <t>Gregory</t>
  </si>
  <si>
    <t>a.gregory@hud.ac.uk</t>
  </si>
  <si>
    <t>agregory135@htinternet.com</t>
  </si>
  <si>
    <t>University Of Huddersfield</t>
  </si>
  <si>
    <t>Firth Street 
Huddesfield, Hd1 3eh GB</t>
  </si>
  <si>
    <t>Huddesfield</t>
  </si>
  <si>
    <t>Firth Street</t>
  </si>
  <si>
    <t>Hd1 3eh</t>
  </si>
  <si>
    <t>+44(0)1484 47399</t>
  </si>
  <si>
    <t>Rebecca</t>
  </si>
  <si>
    <t>Heino</t>
  </si>
  <si>
    <t>rh2765@columbia.edu</t>
  </si>
  <si>
    <t>Senior Lecturer and Executive Director</t>
  </si>
  <si>
    <t>Columbia University</t>
  </si>
  <si>
    <t>105 W 29th St, Apt. 36b 
New York, NY 10001 US</t>
  </si>
  <si>
    <t>105 W 29th St, Apt. 36b</t>
  </si>
  <si>
    <t>10001</t>
  </si>
  <si>
    <t>310-210-5756</t>
  </si>
  <si>
    <t>212-854-2124</t>
  </si>
  <si>
    <t>Executive Director &amp; Faculty of Communication, School of Continuing Education</t>
  </si>
  <si>
    <t>Brett</t>
  </si>
  <si>
    <t>Ludwig</t>
  </si>
  <si>
    <t>ludwig8877@gmail.com</t>
  </si>
  <si>
    <t>bludwig@wlgore.com</t>
  </si>
  <si>
    <t>Head of Global Communications/Enterprise Communications Leader</t>
  </si>
  <si>
    <t>W.L. Gore &amp; Associates</t>
  </si>
  <si>
    <t>1901 Barksdale Rd   
Newark, DE 19711-2542 US</t>
  </si>
  <si>
    <t>1901 Barksdale Rd</t>
  </si>
  <si>
    <t>19711-2542</t>
  </si>
  <si>
    <t>Delaware</t>
  </si>
  <si>
    <t>(215) 970-0153</t>
  </si>
  <si>
    <t>Vice President Global Communications - Cardinal Health</t>
  </si>
  <si>
    <t>Penhall</t>
  </si>
  <si>
    <t>colleenpenhall@hotmail.com</t>
  </si>
  <si>
    <t>Lowe's Home Improvement</t>
  </si>
  <si>
    <t>1000 Lowe's Blvd. 
Mooresville, NC 28117 US</t>
  </si>
  <si>
    <t>Mooresville</t>
  </si>
  <si>
    <t>1000 Lowe's Blvd.</t>
  </si>
  <si>
    <t>28117</t>
  </si>
  <si>
    <t>(704) 758-2958</t>
  </si>
  <si>
    <t>Chris Ahearn</t>
  </si>
  <si>
    <t>Adashek</t>
  </si>
  <si>
    <t>jadashek@mail.nissan.co.jp</t>
  </si>
  <si>
    <t>Alliance Global Vice President, Communications</t>
  </si>
  <si>
    <t>Renault–Nissan–Mitsubishi Alliance</t>
  </si>
  <si>
    <t>1-1-1 Takashima Nishi-ku, Kanagawa Prefecture 
Yokohama, 220-8686 JP</t>
  </si>
  <si>
    <t>Yokohama</t>
  </si>
  <si>
    <t>1-1-1 Takashima Nishi-ku, Kanagawa Prefecture</t>
  </si>
  <si>
    <t>220-8686</t>
  </si>
  <si>
    <t>81455235603</t>
  </si>
  <si>
    <t>Mark Hass</t>
  </si>
  <si>
    <t>Antonio B. Cervone</t>
  </si>
  <si>
    <t>Tiffin</t>
  </si>
  <si>
    <t>tiffinjernstedt@pvh.com</t>
  </si>
  <si>
    <t>SVP of Communications</t>
  </si>
  <si>
    <t>PVH</t>
  </si>
  <si>
    <t>200 Madison Ave 
New York, NY 10016-3903 US</t>
  </si>
  <si>
    <t>200 Madison Ave</t>
  </si>
  <si>
    <t>10016-3903</t>
  </si>
  <si>
    <t>917.612.0030</t>
  </si>
  <si>
    <t>Bridget Coffing</t>
  </si>
  <si>
    <t>Kirstie</t>
  </si>
  <si>
    <t>Foster</t>
  </si>
  <si>
    <t>kirstie.foster@bluecrossmn.com</t>
  </si>
  <si>
    <t>Vice President, Communications and Social Responsibility</t>
  </si>
  <si>
    <t>Blue Cross &amp; Blue Shield of Minnesota</t>
  </si>
  <si>
    <t>1750 Yankee Doodle Rd   
Saint Paul, MN 55121-1613 US</t>
  </si>
  <si>
    <t>1750 Yankee Doodle Rd</t>
  </si>
  <si>
    <t>55121-1613</t>
  </si>
  <si>
    <t>(651) 662-8849</t>
  </si>
  <si>
    <t>Bannister</t>
  </si>
  <si>
    <t>Brian.Bannister@KPMG.co.uk</t>
  </si>
  <si>
    <t>brian_bannister@hotmail.com</t>
  </si>
  <si>
    <t>Global Head of Communication</t>
  </si>
  <si>
    <t>15 Canada Square 
London, GB</t>
  </si>
  <si>
    <t>15 Canada Square</t>
  </si>
  <si>
    <t>+44 207 694 2601</t>
  </si>
  <si>
    <t>020 7694 2601</t>
  </si>
  <si>
    <t>Bottle</t>
  </si>
  <si>
    <t>lisa.bottle@fluor.com</t>
  </si>
  <si>
    <t>Fluor Corporation</t>
  </si>
  <si>
    <t>6700 Las Colinas Boulevard 
Irving, TX 75039 US</t>
  </si>
  <si>
    <t>6700 Las Colinas Boulevard</t>
  </si>
  <si>
    <t>75039</t>
  </si>
  <si>
    <t>(469) 398-7624</t>
  </si>
  <si>
    <t>Catherine Blades</t>
  </si>
  <si>
    <t>2980 Fairview Park Drive 
Falls Church, VA 22042 US</t>
  </si>
  <si>
    <t>Falls Church</t>
  </si>
  <si>
    <t>2980 Fairview Park Drive</t>
  </si>
  <si>
    <t>22042</t>
  </si>
  <si>
    <t>Fagan</t>
  </si>
  <si>
    <t>faganoey@yahoo.com</t>
  </si>
  <si>
    <t>Bluebird Bio</t>
  </si>
  <si>
    <t>60 Binney St 
Cambridge, MA 02142-1512 US</t>
  </si>
  <si>
    <t>Cambridge</t>
  </si>
  <si>
    <t>60 Binney St</t>
  </si>
  <si>
    <t>02142-1512</t>
  </si>
  <si>
    <t>201-572-9581</t>
  </si>
  <si>
    <t>William Price</t>
  </si>
  <si>
    <t>Nina</t>
  </si>
  <si>
    <t>Nornholm</t>
  </si>
  <si>
    <t>nina.nornholm@eqt.se</t>
  </si>
  <si>
    <t>EQT</t>
  </si>
  <si>
    <t>Hovslagargatan 4 P.O. Box 16409 
Stockholm, 103 27 SE</t>
  </si>
  <si>
    <t>Stockholm</t>
  </si>
  <si>
    <t>SE</t>
  </si>
  <si>
    <t>Sweden</t>
  </si>
  <si>
    <t>Hovslagargatan 4 P.O. Box 16409</t>
  </si>
  <si>
    <t>103 27</t>
  </si>
  <si>
    <t>+46 7 085 50 356</t>
  </si>
  <si>
    <t>+46 8 506 55 356</t>
  </si>
  <si>
    <t>Six</t>
  </si>
  <si>
    <t>rob.six@averydennison.com</t>
  </si>
  <si>
    <t>Vice President, Global Corporate Communications</t>
  </si>
  <si>
    <t>Avery Dennison</t>
  </si>
  <si>
    <t>207 N Goode Ave Ste 500 # 5 
Glendale, CA 91203-1301 US</t>
  </si>
  <si>
    <t>Glendale</t>
  </si>
  <si>
    <t>207 N Goode Ave Ste 500 # 5</t>
  </si>
  <si>
    <t>91203-1301</t>
  </si>
  <si>
    <t>6263042361</t>
  </si>
  <si>
    <t>6263042000</t>
  </si>
  <si>
    <t>Christian</t>
  </si>
  <si>
    <t>Stenrud</t>
  </si>
  <si>
    <t>christian.stenrud@cigna.com</t>
  </si>
  <si>
    <t>Vice President, Global Business Communications</t>
  </si>
  <si>
    <t>Cigna</t>
  </si>
  <si>
    <t>900 Cottage Grove Rd # b4mkt 
Bloomfield, CT 06002-2920 US</t>
  </si>
  <si>
    <t>Bloomfield</t>
  </si>
  <si>
    <t>900 Cottage Grove Rd # b4mkt</t>
  </si>
  <si>
    <t>06002-2920</t>
  </si>
  <si>
    <t>925-408-4793</t>
  </si>
  <si>
    <t>(860) 226-1255</t>
  </si>
  <si>
    <t>(860) 491-8821</t>
  </si>
  <si>
    <t>Cameron</t>
  </si>
  <si>
    <t>Blanchard</t>
  </si>
  <si>
    <t>Cameron_Blanchard@condenast.com</t>
  </si>
  <si>
    <t>Condé Nast</t>
  </si>
  <si>
    <t>1 World Trade Ctr 
New York, NY 10007-0089 US</t>
  </si>
  <si>
    <t>1 World Trade Ctr</t>
  </si>
  <si>
    <t>10007-0089</t>
  </si>
  <si>
    <t>2122865208</t>
  </si>
  <si>
    <t>EVP of Corporate Communications</t>
  </si>
  <si>
    <t>Finn</t>
  </si>
  <si>
    <t>peter@finnpartners.com</t>
  </si>
  <si>
    <t>Founding Managing Partner &amp; CEO</t>
  </si>
  <si>
    <t>301 E 57th St Apt 3402 
New York, NY 10022-5997 US</t>
  </si>
  <si>
    <t>301 E 57th St Apt 3402</t>
  </si>
  <si>
    <t>10022-5997</t>
  </si>
  <si>
    <t>(212) 593-6428</t>
  </si>
  <si>
    <t>Jill S. Gabbe</t>
  </si>
  <si>
    <t>Founding Partner</t>
  </si>
  <si>
    <t>Jose</t>
  </si>
  <si>
    <t>Llorente</t>
  </si>
  <si>
    <t>jallorente@llorenteycuenca.com</t>
  </si>
  <si>
    <t>Founding Partner and Chairman</t>
  </si>
  <si>
    <t>Llorente &amp; Cuenca</t>
  </si>
  <si>
    <t>Lagasca, 88, - planta 3 
Madrid, 28001 ES</t>
  </si>
  <si>
    <t>Madrid</t>
  </si>
  <si>
    <t>Lagasca, 88, - planta 3</t>
  </si>
  <si>
    <t>28001</t>
  </si>
  <si>
    <t>+34 91 563 77 22</t>
  </si>
  <si>
    <t>MacAfee</t>
  </si>
  <si>
    <t>Brad.macafee@porternovelli.com</t>
  </si>
  <si>
    <t>Porter Novelli</t>
  </si>
  <si>
    <t>195 Broadway 
New York, NY 10007 US</t>
  </si>
  <si>
    <t>195 Broadway</t>
  </si>
  <si>
    <t>10007</t>
  </si>
  <si>
    <t>212-601-8110</t>
  </si>
  <si>
    <t>212-601-8000</t>
  </si>
  <si>
    <t>Karen van Bergen</t>
  </si>
  <si>
    <t>Stuart</t>
  </si>
  <si>
    <t>stuart.smith@ogilvy.com</t>
  </si>
  <si>
    <t>Ogilvy PR</t>
  </si>
  <si>
    <t>130 Barrow St Apt 504 
New York, NY 10014-0896 US</t>
  </si>
  <si>
    <t>130 Barrow St Apt 504</t>
  </si>
  <si>
    <t>10014-0896</t>
  </si>
  <si>
    <t>212-259-5212</t>
  </si>
  <si>
    <t>347-216-5285</t>
  </si>
  <si>
    <t>Donald A. Baer</t>
  </si>
  <si>
    <t>Farnaz</t>
  </si>
  <si>
    <t>Khadem</t>
  </si>
  <si>
    <t>fkhadem@caltech.edu</t>
  </si>
  <si>
    <t>Caltech</t>
  </si>
  <si>
    <t>1200 E California Blvd # 12-71 
Pasadena, CA 91125-0001 US</t>
  </si>
  <si>
    <t>Pasadena</t>
  </si>
  <si>
    <t>1200 E California Blvd # 12-71</t>
  </si>
  <si>
    <t>91125-0001</t>
  </si>
  <si>
    <t>626.395.8371</t>
  </si>
  <si>
    <t>(626) 395-8371</t>
  </si>
  <si>
    <t>626.395.2240</t>
  </si>
  <si>
    <t>Josie</t>
  </si>
  <si>
    <t>Josephine</t>
  </si>
  <si>
    <t>Josephine.Martin@pharma.com</t>
  </si>
  <si>
    <t>Purdue Pharma</t>
  </si>
  <si>
    <t>(203) 588-7303</t>
  </si>
  <si>
    <t>(202) 257-4063</t>
  </si>
  <si>
    <t>Suzanne C. DeFrancis</t>
  </si>
  <si>
    <t>Skolfield</t>
  </si>
  <si>
    <t>mskolfield@pewtrusts.org</t>
  </si>
  <si>
    <t>Senior Vice President, Communications</t>
  </si>
  <si>
    <t>The Pew Charitable Trusts</t>
  </si>
  <si>
    <t>901 E Street, NW, 10th floor 
Washington, DC 20004-2037 US</t>
  </si>
  <si>
    <t>901 E Street, NW, 10th floor</t>
  </si>
  <si>
    <t>20004-2037</t>
  </si>
  <si>
    <t>202.540.6548</t>
  </si>
  <si>
    <t>Andrew Solomon</t>
  </si>
  <si>
    <t>Stauderman</t>
  </si>
  <si>
    <t>elizabeth.stauderman@rochester.edu</t>
  </si>
  <si>
    <t>Vice President for Communications</t>
  </si>
  <si>
    <t>University Of Rochester</t>
  </si>
  <si>
    <t>247 Wallis Hall, Box 270033 
Rochester, NY 14627-0033 US</t>
  </si>
  <si>
    <t>247 Wallis Hall, Box 270033</t>
  </si>
  <si>
    <t>14627-0033</t>
  </si>
  <si>
    <t>2034948289</t>
  </si>
  <si>
    <t>(585) 275-4118</t>
  </si>
  <si>
    <t>Boulanger</t>
  </si>
  <si>
    <t>jboulanger@brt.org</t>
  </si>
  <si>
    <t>Senior Vice President</t>
  </si>
  <si>
    <t>Business Roundtable</t>
  </si>
  <si>
    <t>300 New Jersey Avenue, Nw, Sui 
Washington, DC 20001 US</t>
  </si>
  <si>
    <t>300 New Jersey Avenue, Nw, Sui</t>
  </si>
  <si>
    <t>2024963270</t>
  </si>
  <si>
    <t>Terry Anderson</t>
  </si>
  <si>
    <t>laura.m.anderson@intel.com</t>
  </si>
  <si>
    <t>Vice President and General Manager of Global Communications</t>
  </si>
  <si>
    <t>2200 Mission College Blvd 
Mailstop RNB-4-147 
Santa Clara, CA 95054 US</t>
  </si>
  <si>
    <t>2200 Mission College Blvd</t>
  </si>
  <si>
    <t>Mailstop RNB-4-147</t>
  </si>
  <si>
    <t>95054</t>
  </si>
  <si>
    <t>(480) 213-8464</t>
  </si>
  <si>
    <t>Head of Global Communications and Events, Intel</t>
  </si>
  <si>
    <t>J. Christopher</t>
  </si>
  <si>
    <t>Wyse</t>
  </si>
  <si>
    <t>christopher.wyse@kcc.com</t>
  </si>
  <si>
    <t>Kimberly-Clark</t>
  </si>
  <si>
    <t>351 Phelps Drive 
Irving, TX 75038 US</t>
  </si>
  <si>
    <t>351 Phelps Drive</t>
  </si>
  <si>
    <t>75038</t>
  </si>
  <si>
    <t>(269) 208-0402</t>
  </si>
  <si>
    <t>Shira</t>
  </si>
  <si>
    <t>Miller</t>
  </si>
  <si>
    <t>shira.miller@natdcp.com</t>
  </si>
  <si>
    <t>National DCP</t>
  </si>
  <si>
    <t>3805 Crestwood Parkway 
Suite 400 
Duluth, GA 30096 US</t>
  </si>
  <si>
    <t>Duluth</t>
  </si>
  <si>
    <t>3805 Crestwood Parkway</t>
  </si>
  <si>
    <t>30096</t>
  </si>
  <si>
    <t>404-272-1785</t>
  </si>
  <si>
    <t>404-944-2283</t>
  </si>
  <si>
    <t>Debbie</t>
  </si>
  <si>
    <t>O'Brien</t>
  </si>
  <si>
    <t>debwalery@gmail.com</t>
  </si>
  <si>
    <t>(650) 385-5735</t>
  </si>
  <si>
    <t>(650) 854-4781</t>
  </si>
  <si>
    <t>(650) 995-6736</t>
  </si>
  <si>
    <t>Helsby</t>
  </si>
  <si>
    <t>NickH@watsonhelsby.co.uk</t>
  </si>
  <si>
    <t>Founding Director</t>
  </si>
  <si>
    <t>Watson Helsby</t>
  </si>
  <si>
    <t>78 Duke Street 
London, W1K 6JQ GB</t>
  </si>
  <si>
    <t>78 Duke Street</t>
  </si>
  <si>
    <t>W1K 6JQ</t>
  </si>
  <si>
    <t>+44 (0) 20 7493 2023</t>
  </si>
  <si>
    <t>Barby</t>
  </si>
  <si>
    <t>Siegel</t>
  </si>
  <si>
    <t>barby.siegel@zenogroup.com</t>
  </si>
  <si>
    <t>Zeno Group</t>
  </si>
  <si>
    <t>140 Broadway 
39th FL 
New York, NY 10005 US</t>
  </si>
  <si>
    <t>140 Broadway</t>
  </si>
  <si>
    <t>39th FL</t>
  </si>
  <si>
    <t>(212) 299-8888</t>
  </si>
  <si>
    <t>(212) 299-8958</t>
  </si>
  <si>
    <t>Weiner</t>
  </si>
  <si>
    <t>weiner@prime-research.com</t>
  </si>
  <si>
    <t>PRIME Research</t>
  </si>
  <si>
    <t>26 Sea Winds Lane West 
Ponte Vedra Beach, FL 32082 US</t>
  </si>
  <si>
    <t>Ponte Vedra Beach</t>
  </si>
  <si>
    <t>26 Sea Winds Lane West</t>
  </si>
  <si>
    <t>32082</t>
  </si>
  <si>
    <t>(203) 414-8482</t>
  </si>
  <si>
    <t>(212) 981-1175</t>
  </si>
  <si>
    <t>Levick</t>
  </si>
  <si>
    <t>rlevick@levick.com</t>
  </si>
  <si>
    <t>Levick Strategic Communications</t>
  </si>
  <si>
    <t>1900 M Street, NW 
Washington, DC 20036 US</t>
  </si>
  <si>
    <t>1900 M Street, NW</t>
  </si>
  <si>
    <t>(202) 973-1302</t>
  </si>
  <si>
    <t>(202) 973-1300</t>
  </si>
  <si>
    <t>(202) 487-6170</t>
  </si>
  <si>
    <t>Steve Weiss</t>
  </si>
  <si>
    <t>Land</t>
  </si>
  <si>
    <t>mdland@clemson.edu</t>
  </si>
  <si>
    <t>Vice President for University Relations</t>
  </si>
  <si>
    <t>Clemson University</t>
  </si>
  <si>
    <t>Trustee House, Fort Hill Street 
Clemson, SC 29634-5337 US</t>
  </si>
  <si>
    <t>Clemson</t>
  </si>
  <si>
    <t>Trustee House, Fort Hill Street</t>
  </si>
  <si>
    <t>29634-5337</t>
  </si>
  <si>
    <t>(864) 656-4233</t>
  </si>
  <si>
    <t>- Indiana University</t>
  </si>
  <si>
    <t>Besanceney</t>
  </si>
  <si>
    <t>brian.besanceney@walmart.com</t>
  </si>
  <si>
    <t>Meloni.Carter@Walmart.com</t>
  </si>
  <si>
    <t>Walmart</t>
  </si>
  <si>
    <t>702 Southwest 8th Street 
Bentonville, AR 72716-0105 US</t>
  </si>
  <si>
    <t>Bentonville</t>
  </si>
  <si>
    <t>702 Southwest 8th Street</t>
  </si>
  <si>
    <t>72716-0105</t>
  </si>
  <si>
    <t>(479) 258-2934</t>
  </si>
  <si>
    <t>(703) 598-7315</t>
  </si>
  <si>
    <t>Erin Streeter</t>
  </si>
  <si>
    <t>Roman</t>
  </si>
  <si>
    <t>Geiser</t>
  </si>
  <si>
    <t>geiser@farner.ch</t>
  </si>
  <si>
    <t>CEO &amp; Managing Partner</t>
  </si>
  <si>
    <t>Farner Consulting</t>
  </si>
  <si>
    <t>Oberdorfstrasse 28 
Zurich, CH-8001 CH</t>
  </si>
  <si>
    <t>Zurich</t>
  </si>
  <si>
    <t>Oberdorfstrasse 28</t>
  </si>
  <si>
    <t>CH-8001</t>
  </si>
  <si>
    <t>+41 44 266 67 44</t>
  </si>
  <si>
    <t>+41 79 421 43 62</t>
  </si>
  <si>
    <t>Sara</t>
  </si>
  <si>
    <t>Granack</t>
  </si>
  <si>
    <t>saragra@cdw.com</t>
  </si>
  <si>
    <t>saragranack@gmail.com</t>
  </si>
  <si>
    <t>Vice President, Corporate Communications and Reputation</t>
  </si>
  <si>
    <t>CDW</t>
  </si>
  <si>
    <t>75 Tri State Intl 
Lincolnshire, IL 60069-4420 US</t>
  </si>
  <si>
    <t>75 Tri State Intl</t>
  </si>
  <si>
    <t>60069-4420</t>
  </si>
  <si>
    <t>(847) 970-8089</t>
  </si>
  <si>
    <t>Robb M. Kristopher</t>
  </si>
  <si>
    <t>Sneed</t>
  </si>
  <si>
    <t>msneed1@its.jnj.com</t>
  </si>
  <si>
    <t>Worldwide Vice President, Global Corporate Affairs and Chief Communication Officer</t>
  </si>
  <si>
    <t>Johnson &amp; Johnson</t>
  </si>
  <si>
    <t>One Johnson &amp; Johnson Plaza 
New Brunswick, NJ 08933 US</t>
  </si>
  <si>
    <t>New Brunswick</t>
  </si>
  <si>
    <t>One Johnson &amp; Johnson Plaza</t>
  </si>
  <si>
    <t>08933</t>
  </si>
  <si>
    <t>732-524-3770</t>
  </si>
  <si>
    <t>732.524.0400</t>
  </si>
  <si>
    <t>Jean Allen</t>
  </si>
  <si>
    <t>Johnson</t>
  </si>
  <si>
    <t>tbj@abmac.com</t>
  </si>
  <si>
    <t>277 Park Ave Fl 39 
New York, NY 10172-2901 US</t>
  </si>
  <si>
    <t>277 Park Ave Fl 39</t>
  </si>
  <si>
    <t>10172-2901</t>
  </si>
  <si>
    <t>(212) 371-5999</t>
  </si>
  <si>
    <t>Dixon</t>
  </si>
  <si>
    <t>claire@vmware.com</t>
  </si>
  <si>
    <t>SVP, CCO</t>
  </si>
  <si>
    <t>VMware</t>
  </si>
  <si>
    <t>3401 Hillview Avenue 
Palo Alto, CA 94304 US</t>
  </si>
  <si>
    <t>3401 Hillview Avenue</t>
  </si>
  <si>
    <t>(408) 518-1654</t>
  </si>
  <si>
    <t>Joerg</t>
  </si>
  <si>
    <t>Eigendorf</t>
  </si>
  <si>
    <t>joerg.eigendorf@db.com</t>
  </si>
  <si>
    <t>Global Head of Communications &amp; CSR</t>
  </si>
  <si>
    <t>Deutsche Bank</t>
  </si>
  <si>
    <t>Taunusanlage 12 
Frankfurt, 60325 DE</t>
  </si>
  <si>
    <t>Taunusanlage 12</t>
  </si>
  <si>
    <t>60325</t>
  </si>
  <si>
    <t>4.9699104255e+11</t>
  </si>
  <si>
    <t>+49(69)910-42567</t>
  </si>
  <si>
    <t>Palmer</t>
  </si>
  <si>
    <t>Epalmer@tiaa.org</t>
  </si>
  <si>
    <t>Senior Vice President, Communications and Marketing</t>
  </si>
  <si>
    <t>TIAA</t>
  </si>
  <si>
    <t>1010 Ivy Falls Dr 
Atlanta, GA 30328-3657 US</t>
  </si>
  <si>
    <t>1010 Ivy Falls Dr</t>
  </si>
  <si>
    <t>30328-3657</t>
  </si>
  <si>
    <t>770-512-3563</t>
  </si>
  <si>
    <t>Kyra</t>
  </si>
  <si>
    <t>Whitten</t>
  </si>
  <si>
    <t>kyra.whitten@gmail.com</t>
  </si>
  <si>
    <t>kyra.whitten@lamresearch.com</t>
  </si>
  <si>
    <t>4650 Cushing Pkwy 
Fremont, CA 94538 US</t>
  </si>
  <si>
    <t>Fremont</t>
  </si>
  <si>
    <t>4650 Cushing Pkwy</t>
  </si>
  <si>
    <t>94538</t>
  </si>
  <si>
    <t>(510) 572-5241</t>
  </si>
  <si>
    <t>(510) 572-0200</t>
  </si>
  <si>
    <t>Andrea</t>
  </si>
  <si>
    <t>Williams</t>
  </si>
  <si>
    <t>awilliams@oaktreecapital.com</t>
  </si>
  <si>
    <t>Managing Director, Corporate Communications and Investor Relations</t>
  </si>
  <si>
    <t>Oaktree Capital Management</t>
  </si>
  <si>
    <t>333 S Grand Ave, 28th Floor 
Los Angeles, CA 90071 US</t>
  </si>
  <si>
    <t>333 S Grand Ave, 28th Floor</t>
  </si>
  <si>
    <t>90071</t>
  </si>
  <si>
    <t>2138306483</t>
  </si>
  <si>
    <t>213-830-6300</t>
  </si>
  <si>
    <t>Nichols</t>
  </si>
  <si>
    <t>Richard.nichols@instinctif.com</t>
  </si>
  <si>
    <t>Instinctif Partners</t>
  </si>
  <si>
    <t>65 Gresham Street 
London, EC2V 7NQ GB</t>
  </si>
  <si>
    <t>65 Gresham Street</t>
  </si>
  <si>
    <t>EC2V 7NQ</t>
  </si>
  <si>
    <t>+44 20 7457 2062</t>
  </si>
  <si>
    <t>Specht</t>
  </si>
  <si>
    <t>bryan.specht@olson.com</t>
  </si>
  <si>
    <t>coachspecht7@gmail.com</t>
  </si>
  <si>
    <t>Olson Engage</t>
  </si>
  <si>
    <t>678 S Fairview Ave 
Elmhurst, IL 60126-4213 US</t>
  </si>
  <si>
    <t>Elmhurst</t>
  </si>
  <si>
    <t>678 S Fairview Ave</t>
  </si>
  <si>
    <t>60126-4213</t>
  </si>
  <si>
    <t>(202) 528-9595</t>
  </si>
  <si>
    <t>(312) 377-4131</t>
  </si>
  <si>
    <t>Stan</t>
  </si>
  <si>
    <t>Steinreich</t>
  </si>
  <si>
    <t>ssteinreich@scompr.com</t>
  </si>
  <si>
    <t>Steinreich Communications Group, Inc.</t>
  </si>
  <si>
    <t>654 W Englewood Ave 
Teaneck, NJ 07666-2212 US</t>
  </si>
  <si>
    <t>Teaneck</t>
  </si>
  <si>
    <t>654 W Englewood Ave</t>
  </si>
  <si>
    <t>07666-2212</t>
  </si>
  <si>
    <t>201-982-2373</t>
  </si>
  <si>
    <t>Juan-Carlos</t>
  </si>
  <si>
    <t>Molleda</t>
  </si>
  <si>
    <t>jmolleda@uoregon.edu</t>
  </si>
  <si>
    <t>Dean, School of Journalism and Communication</t>
  </si>
  <si>
    <t>University of Oregon</t>
  </si>
  <si>
    <t>271 Spyglass Dr 
Eugene, OR 97401 US</t>
  </si>
  <si>
    <t>Eugene</t>
  </si>
  <si>
    <t>271 Spyglass Dr</t>
  </si>
  <si>
    <t>97401</t>
  </si>
  <si>
    <t>541-346-2233</t>
  </si>
  <si>
    <t>matt_bennett@mpaa.org</t>
  </si>
  <si>
    <t>Motion Picture Association of America (MPAA)</t>
  </si>
  <si>
    <t>1600 I Street NW 
Washington, DC 20006 US</t>
  </si>
  <si>
    <t>1600 I Street NW</t>
  </si>
  <si>
    <t>202-378-9131</t>
  </si>
  <si>
    <t>Biondolillo</t>
  </si>
  <si>
    <t>luca.biondolillo@msccruises.com</t>
  </si>
  <si>
    <t>MSC Cruises</t>
  </si>
  <si>
    <t>Avenue EugÃ¨ne-Pittard 40 
GenÃ¨ve, 1206 CH</t>
  </si>
  <si>
    <t>GenÃ¨ve</t>
  </si>
  <si>
    <t>Avenue EugÃ¨ne-Pittard 40</t>
  </si>
  <si>
    <t>1206</t>
  </si>
  <si>
    <t>+ 41 (22) 797-7537</t>
  </si>
  <si>
    <t>Jaume</t>
  </si>
  <si>
    <t>Giró Ribas</t>
  </si>
  <si>
    <t>jgiro@fundaciolacaixa.org</t>
  </si>
  <si>
    <t>General Manager of Communication</t>
  </si>
  <si>
    <t>CriteriaCaixa</t>
  </si>
  <si>
    <t>Avendia Diagonal, N 621-629 
(Torre 1-12th Floor) 
BARCELONA, 8028 ES</t>
  </si>
  <si>
    <t>BARCELONA</t>
  </si>
  <si>
    <t>Avendia Diagonal, N 621-629</t>
  </si>
  <si>
    <t>(Torre 1-12th Floor)</t>
  </si>
  <si>
    <t>8028</t>
  </si>
  <si>
    <t>+34 93 4044065</t>
  </si>
  <si>
    <t>Angel L. Alloza</t>
  </si>
  <si>
    <t>Jose A. Llorente</t>
  </si>
  <si>
    <t>Macnamara</t>
  </si>
  <si>
    <t>jim.macnamara@uts.edu.au</t>
  </si>
  <si>
    <t>Distinguished Professor of Public Communication, School of Communication</t>
  </si>
  <si>
    <t>University of Technology Sydney</t>
  </si>
  <si>
    <t>Faculty of Arts and Social Sciences University of Technology Sydney  
PO Box 123 
Broadway, NSW 2007 AU</t>
  </si>
  <si>
    <t>Broadway</t>
  </si>
  <si>
    <t>Faculty of Arts and Social Sciences University of Technology Sydney</t>
  </si>
  <si>
    <t>PO Box 123</t>
  </si>
  <si>
    <t>2007</t>
  </si>
  <si>
    <t>NSW</t>
  </si>
  <si>
    <t>Leggetter</t>
  </si>
  <si>
    <t>barryleggetter@amecorg.com</t>
  </si>
  <si>
    <t>International Association for Measurement and Evaluation of Communication (AMEC)</t>
  </si>
  <si>
    <t>26, York Street. 
London, W1U 6PZ GB</t>
  </si>
  <si>
    <t>26, York Street.</t>
  </si>
  <si>
    <t>W1U 6PZ</t>
  </si>
  <si>
    <t>+44 7768 677 504</t>
  </si>
  <si>
    <t>Gavin</t>
  </si>
  <si>
    <t>sgavin@expedia.com</t>
  </si>
  <si>
    <t>Expedia Group</t>
  </si>
  <si>
    <t>333 108th Place NE 
Bellevue, WA 98004 US</t>
  </si>
  <si>
    <t>333 108th Place NE</t>
  </si>
  <si>
    <t>425.679.2167</t>
  </si>
  <si>
    <t>425-241-4225</t>
  </si>
  <si>
    <t>Joseph</t>
  </si>
  <si>
    <t>Pon</t>
  </si>
  <si>
    <t>joe_pon@amat.com</t>
  </si>
  <si>
    <t>Corporate Vice President, Communications and Public Affairs</t>
  </si>
  <si>
    <t>Applied Materials</t>
  </si>
  <si>
    <t>3050 Bowers Ave 
Santa Clara, CA 95054-3201 US</t>
  </si>
  <si>
    <t>3050 Bowers Ave</t>
  </si>
  <si>
    <t>95054-3201</t>
  </si>
  <si>
    <t>(408) 748-5508</t>
  </si>
  <si>
    <t>Craig</t>
  </si>
  <si>
    <t>Botan</t>
  </si>
  <si>
    <t>cbotan@gmu.edu</t>
  </si>
  <si>
    <t>Professor of Public Relations and Strategic Communication &amp; Director of Doctoral Program</t>
  </si>
  <si>
    <t>George Mason University</t>
  </si>
  <si>
    <t>Dept. of Communication 
Fairfax, VA 22030 US</t>
  </si>
  <si>
    <t>Fairfax</t>
  </si>
  <si>
    <t>Dept. of Communication</t>
  </si>
  <si>
    <t>22030</t>
  </si>
  <si>
    <t>(703) 993-1092</t>
  </si>
  <si>
    <t>Hilary</t>
  </si>
  <si>
    <t>Fussell Sisco, Ph.D., APR</t>
  </si>
  <si>
    <t>hfsisco@quinnipiac.edu</t>
  </si>
  <si>
    <t>Chair &amp; Associate Professor of Strategic Communication</t>
  </si>
  <si>
    <t>Quinnipiac University</t>
  </si>
  <si>
    <t>275 Mount Carmel Ave 
Hamden, CT 06518-1905 US</t>
  </si>
  <si>
    <t>Hamden</t>
  </si>
  <si>
    <t>275 Mount Carmel Ave</t>
  </si>
  <si>
    <t>06518-1905</t>
  </si>
  <si>
    <t>203-582-3682</t>
  </si>
  <si>
    <t>Mika</t>
  </si>
  <si>
    <t>Bildsoe Lassen</t>
  </si>
  <si>
    <t>mika.lassen@apmoller.com</t>
  </si>
  <si>
    <t>Head of Corporate Communications and Branding</t>
  </si>
  <si>
    <t>A.P. Moeller Holding A/S</t>
  </si>
  <si>
    <t>EsplanadenÂ 50 
KÃ¸benhavn K, 1098 DK</t>
  </si>
  <si>
    <t>KÃ¸benhavn K</t>
  </si>
  <si>
    <t>EsplanadenÂ 50</t>
  </si>
  <si>
    <t>1098</t>
  </si>
  <si>
    <t>+45Â 2055Â 2655</t>
  </si>
  <si>
    <t>Anders Schroll</t>
  </si>
  <si>
    <t>Head of Corp. Communications and Branding - A.P. Moller Holding</t>
  </si>
  <si>
    <t>joseph.cohen@axiscapital.com</t>
  </si>
  <si>
    <t>joseph.cohen@axiscapital.com, jec40@hotmail.com</t>
  </si>
  <si>
    <t>AXIS Capital</t>
  </si>
  <si>
    <t>1211 Avenue Of The Americas 
New York, NY 10036-8701 US</t>
  </si>
  <si>
    <t>1211 Avenue Of The Americas</t>
  </si>
  <si>
    <t>10036-8701</t>
  </si>
  <si>
    <t>(212) 715-3524</t>
  </si>
  <si>
    <t>(973) 420-7830</t>
  </si>
  <si>
    <t>Stephan</t>
  </si>
  <si>
    <t>Feldhaus</t>
  </si>
  <si>
    <t>stephan.feldhaus@roche.com</t>
  </si>
  <si>
    <t>Head of Group Communications and Member of the Enlarged Corporate Executive Committee</t>
  </si>
  <si>
    <t>Roche Holding</t>
  </si>
  <si>
    <t>Building 1/OG23.S669 
Basel, CH-4070 CH</t>
  </si>
  <si>
    <t>Building 1/OG23.S669</t>
  </si>
  <si>
    <t>CH-4070</t>
  </si>
  <si>
    <t>+41 61 688 71 24</t>
  </si>
  <si>
    <t>Graeff</t>
  </si>
  <si>
    <t>Christine_graeff@yahoo.co.uk</t>
  </si>
  <si>
    <t>Director General Communications</t>
  </si>
  <si>
    <t>European Central Bank</t>
  </si>
  <si>
    <t>Sonnemanstrasse 20 
Frankfurt, 60314 DE</t>
  </si>
  <si>
    <t>Sonnemanstrasse 20</t>
  </si>
  <si>
    <t>60314</t>
  </si>
  <si>
    <t>174327886</t>
  </si>
  <si>
    <t>Durling</t>
  </si>
  <si>
    <t>williamdurling@gmail.com</t>
  </si>
  <si>
    <t>16 Main Street 
Amherst, NH 03031 US</t>
  </si>
  <si>
    <t>Amherst</t>
  </si>
  <si>
    <t>16 Main Street</t>
  </si>
  <si>
    <t>03031</t>
  </si>
  <si>
    <t>(603) 769-7471</t>
  </si>
  <si>
    <t>Gonda</t>
  </si>
  <si>
    <t>michael.gonda@chobani.com</t>
  </si>
  <si>
    <t>Vice President, Corporate Communications &amp; Public Affairs</t>
  </si>
  <si>
    <t>Chobani</t>
  </si>
  <si>
    <t>200 Lafayette Street 
New York, NY 10012 US</t>
  </si>
  <si>
    <t>200 Lafayette Street</t>
  </si>
  <si>
    <t>10012</t>
  </si>
  <si>
    <t>212-364-6476</t>
  </si>
  <si>
    <t>Pharoah</t>
  </si>
  <si>
    <t>andy.pharoah@effem.com</t>
  </si>
  <si>
    <t>VP, Corporate Affairs &amp; Strategic Initiatives</t>
  </si>
  <si>
    <t>Mars, Incorporated</t>
  </si>
  <si>
    <t>6885 Elm Street 
McLean, VA 22101 US</t>
  </si>
  <si>
    <t>6885 Elm Street</t>
  </si>
  <si>
    <t>703-821-4924</t>
  </si>
  <si>
    <t>312.203.7174</t>
  </si>
  <si>
    <t>Senior Vice President Corporate Affairs; Sustainability &amp; Strategy, Wrigley</t>
  </si>
  <si>
    <t>Emma</t>
  </si>
  <si>
    <t>Carrasco</t>
  </si>
  <si>
    <t>Ecarrasco@ngs.org</t>
  </si>
  <si>
    <t>Chief Marketing &amp; Engagement Officer/SVP for Global Strategy</t>
  </si>
  <si>
    <t>National Geographic Society</t>
  </si>
  <si>
    <t>1145 17th St NW 
Room 938 
Washington, DC 20036-4707 US</t>
  </si>
  <si>
    <t>1145 17th St NW</t>
  </si>
  <si>
    <t>Room 938</t>
  </si>
  <si>
    <t>20036-4707</t>
  </si>
  <si>
    <t>202.857.7183</t>
  </si>
  <si>
    <t>202.641.3428</t>
  </si>
  <si>
    <t>Coy</t>
  </si>
  <si>
    <t>Callison</t>
  </si>
  <si>
    <t>coy.callison@ttu.edu</t>
  </si>
  <si>
    <t>Professor</t>
  </si>
  <si>
    <t>Texas Tech University</t>
  </si>
  <si>
    <t>College of Media and Communications 
Box 43082 
Lubbock, TX 79409 US</t>
  </si>
  <si>
    <t>Lubbock</t>
  </si>
  <si>
    <t>College of Media and Communications</t>
  </si>
  <si>
    <t>Box 43082</t>
  </si>
  <si>
    <t>79409</t>
  </si>
  <si>
    <t>(806)834-5344</t>
  </si>
  <si>
    <t>Mounde</t>
  </si>
  <si>
    <t>david.mounde@deverillsearch.com</t>
  </si>
  <si>
    <t>Deverill Executive Search</t>
  </si>
  <si>
    <t>Amadeus House, Floral Street 
London, WC2E9DP GB</t>
  </si>
  <si>
    <t>Amadeus House, Floral Street</t>
  </si>
  <si>
    <t>WC2E9DP</t>
  </si>
  <si>
    <t>44 207 395 1557</t>
  </si>
  <si>
    <t>07808 078377</t>
  </si>
  <si>
    <t>Jonathan Oliver</t>
  </si>
  <si>
    <t>Heine</t>
  </si>
  <si>
    <t>kevin_heine@newyorklife.com</t>
  </si>
  <si>
    <t>kevin.heine@newyorklife.com</t>
  </si>
  <si>
    <t>New York Life Insurance Company</t>
  </si>
  <si>
    <t>51 Madison Ave Fl 14 
New York, NY 10010-1603 US</t>
  </si>
  <si>
    <t>51 Madison Ave Fl 14</t>
  </si>
  <si>
    <t>10010-1603</t>
  </si>
  <si>
    <t>(212) 576-5671</t>
  </si>
  <si>
    <t>SVP, Head of Corporate Communications</t>
  </si>
  <si>
    <t>Kym</t>
  </si>
  <si>
    <t>Kimberly_White@vrtx.com</t>
  </si>
  <si>
    <t>Vertex Pharmaceuticals</t>
  </si>
  <si>
    <t>50 Northern Ave   
Boston, MA 02210-1862 US</t>
  </si>
  <si>
    <t>50 Northern Ave</t>
  </si>
  <si>
    <t>02210-1862</t>
  </si>
  <si>
    <t>(617) 961-7462</t>
  </si>
  <si>
    <t>(212) 799-9565</t>
  </si>
  <si>
    <t>Mazzola</t>
  </si>
  <si>
    <t>jmazzola@halozyme.com</t>
  </si>
  <si>
    <t>jimmazzola@hotmail.com; Mazzola.js@gmail.com</t>
  </si>
  <si>
    <t>VP, Corporate Communications and IR</t>
  </si>
  <si>
    <t>Halozyme, Inc.</t>
  </si>
  <si>
    <t>11388 Sorrento Valley Rd 
San Diego, CA 92121-1345 US</t>
  </si>
  <si>
    <t>11388 Sorrento Valley Rd</t>
  </si>
  <si>
    <t>92121-1345</t>
  </si>
  <si>
    <t>(858) 704-8122</t>
  </si>
  <si>
    <t>(619) 293-0079</t>
  </si>
  <si>
    <t>(858) 342-8272</t>
  </si>
  <si>
    <t>Senior Vice President, Global Marketing &amp; Communications, Carefusion Corp.</t>
  </si>
  <si>
    <t>Hunt</t>
  </si>
  <si>
    <t>jeff.hunt@pulsepointgroup.com</t>
  </si>
  <si>
    <t>2700 Via Fortuna, Ste 200 
Austin, TX 78746 US</t>
  </si>
  <si>
    <t>2700 Via Fortuna, Ste 200</t>
  </si>
  <si>
    <t>78746</t>
  </si>
  <si>
    <t>(512) 426-6782</t>
  </si>
  <si>
    <t>(512) 457-0014</t>
  </si>
  <si>
    <t>President &amp; CEO, GCI Group</t>
  </si>
  <si>
    <t>Lutz</t>
  </si>
  <si>
    <t>brett_m_lutz@whirlpool.com</t>
  </si>
  <si>
    <t>brettmlutz@gmail.com</t>
  </si>
  <si>
    <t>2000 N M63 
Benton Harbor, MI 49022 US</t>
  </si>
  <si>
    <t>Benton Harbor</t>
  </si>
  <si>
    <t>2000 N M63</t>
  </si>
  <si>
    <t>49022</t>
  </si>
  <si>
    <t>(206) 753-7616</t>
  </si>
  <si>
    <t>Furman</t>
  </si>
  <si>
    <t>matt.furman@bestbuy.com</t>
  </si>
  <si>
    <t>Chief Communications &amp; Public Affairs Officer</t>
  </si>
  <si>
    <t>Best Buy</t>
  </si>
  <si>
    <t>7601 Penn Ave South 
Richfield, MN 55423 US</t>
  </si>
  <si>
    <t>Richfield</t>
  </si>
  <si>
    <t>7601 Penn Ave South</t>
  </si>
  <si>
    <t>55423</t>
  </si>
  <si>
    <t>612-231-3993</t>
  </si>
  <si>
    <t>612.291.3695</t>
  </si>
  <si>
    <t>Senior Vice President, Communications and Public Affairs, Best Buy</t>
  </si>
  <si>
    <t>Duhe</t>
  </si>
  <si>
    <t>sduhe@smu.edu</t>
  </si>
  <si>
    <t>Associate Professor and Chair, Division Of Corporate Communication and Public Affairs</t>
  </si>
  <si>
    <t>Southern Methodist University</t>
  </si>
  <si>
    <t>Pob 750113 
Dallas, TX 75275 US</t>
  </si>
  <si>
    <t>Pob 750113</t>
  </si>
  <si>
    <t>75275</t>
  </si>
  <si>
    <t>214-768-1933</t>
  </si>
  <si>
    <t>214.803.7976</t>
  </si>
  <si>
    <t>Associate Professor and Chair, Division of Communication Studies.  Interim Associate Dean, University Curriculum and Assessment - Southern Methodist University</t>
  </si>
  <si>
    <t>stevenweiss01@gmail.com</t>
  </si>
  <si>
    <t>shweiss01@aol.com</t>
  </si>
  <si>
    <t>Head of U.S. Communications and Public Affairs</t>
  </si>
  <si>
    <t>Hikma Pharmaceuticals</t>
  </si>
  <si>
    <t>15 West 72nd Street 15D 
New York, NY 10023 US</t>
  </si>
  <si>
    <t>15 West 72nd Street 15D</t>
  </si>
  <si>
    <t>10023</t>
  </si>
  <si>
    <t>(917) 374-2024</t>
  </si>
  <si>
    <t>(212) 580-2565</t>
  </si>
  <si>
    <t>Richard Badler</t>
  </si>
  <si>
    <t>Vice President, Corporate Communications -  McGraw Hill Companies</t>
  </si>
  <si>
    <t>Ragas</t>
  </si>
  <si>
    <t>mragas@depaul.edu</t>
  </si>
  <si>
    <t>matt.ragas@gmail.com</t>
  </si>
  <si>
    <t>Associate Professor, Graduate Academic Program Director</t>
  </si>
  <si>
    <t>1 E Jackson Blvd 
Chicago, IL 60604-2201 US</t>
  </si>
  <si>
    <t>1 E Jackson Blvd</t>
  </si>
  <si>
    <t>60604-2201</t>
  </si>
  <si>
    <t>312.362.6003</t>
  </si>
  <si>
    <t>(407) 963-8763</t>
  </si>
  <si>
    <t>407.963.8763</t>
  </si>
  <si>
    <t>Linda Rutherford</t>
  </si>
  <si>
    <t>Associate Professor, Graduate Academic Program Director - DePaul University</t>
  </si>
  <si>
    <t>Joep</t>
  </si>
  <si>
    <t>Cornelissen</t>
  </si>
  <si>
    <t>cornelissen@rsm.nl</t>
  </si>
  <si>
    <t>Professor Corporate Communication</t>
  </si>
  <si>
    <t>Erasmus University Rotterdam, Rotterdam School of Management</t>
  </si>
  <si>
    <t>Burgemeester Oudlaan 50 
Rotterdam, 3602 PA NL</t>
  </si>
  <si>
    <t>3602 PA</t>
  </si>
  <si>
    <t>+31.104.082.011</t>
  </si>
  <si>
    <t>+31.208.462.806</t>
  </si>
  <si>
    <t>Varsha</t>
  </si>
  <si>
    <t>Chainani</t>
  </si>
  <si>
    <t>chainani.varsha@mahindra.com</t>
  </si>
  <si>
    <t>Senior Vice President, Group Communications</t>
  </si>
  <si>
    <t>The Mahindra Group - Mahindra &amp; Mahindra</t>
  </si>
  <si>
    <t>Mahindra Towers, G M Bhosale Marg, Worli 
Mumbai, 400018 IN</t>
  </si>
  <si>
    <t>Mahindra Towers, G M Bhosale Marg, Worli</t>
  </si>
  <si>
    <t>400018</t>
  </si>
  <si>
    <t>+91.22.24979172</t>
  </si>
  <si>
    <t>Madan Bahal</t>
  </si>
  <si>
    <t>Jeremy</t>
  </si>
  <si>
    <t>Jeremy.cohen@salterbaxter.com</t>
  </si>
  <si>
    <t>Salterbaxter</t>
  </si>
  <si>
    <t>82 Baker Street 
Marylebone 
London, W1U 6AB GB</t>
  </si>
  <si>
    <t>82 Baker Street</t>
  </si>
  <si>
    <t>Marylebone</t>
  </si>
  <si>
    <t>W1U 6AB</t>
  </si>
  <si>
    <t>+447966652265</t>
  </si>
  <si>
    <t>33651411184</t>
  </si>
  <si>
    <t>Global Marketing and Communications Director</t>
  </si>
  <si>
    <t>Megan</t>
  </si>
  <si>
    <t>meganj@herbalife.com</t>
  </si>
  <si>
    <t>megan.k.jordan@gmail.com</t>
  </si>
  <si>
    <t>SVP, Global Corporate Communications</t>
  </si>
  <si>
    <t>Herbalife</t>
  </si>
  <si>
    <t>800 West Olympic Blvd 
Suite 406 
Los Angeles, CA 90015 US</t>
  </si>
  <si>
    <t>800 West Olympic Blvd</t>
  </si>
  <si>
    <t>Suite 406</t>
  </si>
  <si>
    <t>213.745.0520</t>
  </si>
  <si>
    <t>213.595.8107</t>
  </si>
  <si>
    <t>Cindy</t>
  </si>
  <si>
    <t>Leggett-Flynn</t>
  </si>
  <si>
    <t>cindy.leggett-flynn@aig.com</t>
  </si>
  <si>
    <t>American International Group (AIG)</t>
  </si>
  <si>
    <t>175 Water St Fl 19 
New York, NY 10038-4918 US</t>
  </si>
  <si>
    <t>175 Water St Fl 19</t>
  </si>
  <si>
    <t>10038-4918</t>
  </si>
  <si>
    <t>212.458.4431</t>
  </si>
  <si>
    <t>347.291.4489</t>
  </si>
  <si>
    <t>Sujit</t>
  </si>
  <si>
    <t>Patil</t>
  </si>
  <si>
    <t>sujit.patil@godrejinds.com</t>
  </si>
  <si>
    <t>Vice President &amp; Head - Corporate Communications</t>
  </si>
  <si>
    <t>Godrej Industries</t>
  </si>
  <si>
    <t>Vikhroli 
Mumbai, 400079 IN</t>
  </si>
  <si>
    <t>Vikhroli</t>
  </si>
  <si>
    <t>400079</t>
  </si>
  <si>
    <t>+91.993.065.4976</t>
  </si>
  <si>
    <t>Vice President and Head - Corporate Communciations</t>
  </si>
  <si>
    <t>Charlesworth</t>
  </si>
  <si>
    <t>dcharlesworth@bmrn.com</t>
  </si>
  <si>
    <t>BioMarin Pharmaceutical</t>
  </si>
  <si>
    <t>105 Digital Dr 
Novato, CA 94949-8703 US</t>
  </si>
  <si>
    <t>Novato</t>
  </si>
  <si>
    <t>105 Digital Dr</t>
  </si>
  <si>
    <t>94949-8703</t>
  </si>
  <si>
    <t>(415) 455-7451</t>
  </si>
  <si>
    <t>(415) 627-8577</t>
  </si>
  <si>
    <t>Escousse</t>
  </si>
  <si>
    <t>suzanne.escousse@aqr.com</t>
  </si>
  <si>
    <t>sescousse@gmail.com</t>
  </si>
  <si>
    <t>AQR Capital Management</t>
  </si>
  <si>
    <t>2 Greenwich Plaza 
Third Floor 
Greenwich, CT 06830 US</t>
  </si>
  <si>
    <t>2 Greenwich Plaza</t>
  </si>
  <si>
    <t>Third Floor</t>
  </si>
  <si>
    <t>203.742.6930</t>
  </si>
  <si>
    <t>david.alexander@rotary.org</t>
  </si>
  <si>
    <t>General Manager and Chief Communications Officer</t>
  </si>
  <si>
    <t>Rotary International</t>
  </si>
  <si>
    <t>One Rotary Center 
1560 Sherman Avenue 
Evanston, IL 60201 US</t>
  </si>
  <si>
    <t>One Rotary Center</t>
  </si>
  <si>
    <t>1560 Sherman Avenue</t>
  </si>
  <si>
    <t>60201</t>
  </si>
  <si>
    <t>1.847.866.3245</t>
  </si>
  <si>
    <t>Brent</t>
  </si>
  <si>
    <t>Colburn</t>
  </si>
  <si>
    <t>cbrentcolburn@gmail.com</t>
  </si>
  <si>
    <t>Vice President for Communications and Public Affairs</t>
  </si>
  <si>
    <t>Princeton University</t>
  </si>
  <si>
    <t>948 Wisconsin St 
San Francisco, CA 94107 US</t>
  </si>
  <si>
    <t>948 Wisconsin St</t>
  </si>
  <si>
    <t>94107</t>
  </si>
  <si>
    <t>Jay</t>
  </si>
  <si>
    <t>Cooney</t>
  </si>
  <si>
    <t>jcooney@harsco.com</t>
  </si>
  <si>
    <t>jay.cooney11@gmail.com</t>
  </si>
  <si>
    <t>Harsco Corp.</t>
  </si>
  <si>
    <t>350 Poplar Church Rd   
Camp Hill, PA 17011-2521 US</t>
  </si>
  <si>
    <t>350 Poplar Church Rd</t>
  </si>
  <si>
    <t>17011-2521</t>
  </si>
  <si>
    <t>(717) 763-7064</t>
  </si>
  <si>
    <t>Rob Clark</t>
  </si>
  <si>
    <t>Vice President, Global Communications - Harsco Corp.</t>
  </si>
  <si>
    <t>Head of Communications &amp; Public Affairs</t>
  </si>
  <si>
    <t>Golz</t>
  </si>
  <si>
    <t>jgolz@prologis.com</t>
  </si>
  <si>
    <t>golz@yahoo.com</t>
  </si>
  <si>
    <t>Pier 1, Bay 1 
San Francisco, CA 94111 US</t>
  </si>
  <si>
    <t>Pier 1, Bay 1</t>
  </si>
  <si>
    <t>(415) 279-4659</t>
  </si>
  <si>
    <t>(415) 733-9439</t>
  </si>
  <si>
    <t>Global Head of Communications - Prologis</t>
  </si>
  <si>
    <t>Hall</t>
  </si>
  <si>
    <t>andrew.hall@cba.com.au</t>
  </si>
  <si>
    <t>ajhall72@me.com</t>
  </si>
  <si>
    <t>Executive General Manager, Corporate Affairs</t>
  </si>
  <si>
    <t>Commonwealth Bank of Australia</t>
  </si>
  <si>
    <t>Level 5, Tower 1, 201 Sussex St 
Sydney, NSW, 2000 AU</t>
  </si>
  <si>
    <t>Sydney, NSW</t>
  </si>
  <si>
    <t>Level 5, Tower 1, 201 Sussex St</t>
  </si>
  <si>
    <t>2000</t>
  </si>
  <si>
    <t>61291177084</t>
  </si>
  <si>
    <t>+61 419996766</t>
  </si>
  <si>
    <t>Paul Edwards</t>
  </si>
  <si>
    <t>Samuel</t>
  </si>
  <si>
    <t>Sventek</t>
  </si>
  <si>
    <t>ssventek@mmm.com</t>
  </si>
  <si>
    <t>SJSventek@gmail.com</t>
  </si>
  <si>
    <t>3M</t>
  </si>
  <si>
    <t>3m Center, 224-1w 
St. Paul, MN 55114 US</t>
  </si>
  <si>
    <t>St. Paul</t>
  </si>
  <si>
    <t>3m Center, 224-1w</t>
  </si>
  <si>
    <t>55114</t>
  </si>
  <si>
    <t>(651) 737-6058</t>
  </si>
  <si>
    <t>(612) 559-6804</t>
  </si>
  <si>
    <t>Gerry</t>
  </si>
  <si>
    <t>Tschopp</t>
  </si>
  <si>
    <t>gerry.tschopp@experian.com</t>
  </si>
  <si>
    <t>gtschopp@gmail.com</t>
  </si>
  <si>
    <t>Experian</t>
  </si>
  <si>
    <t>475 Anton Blvd 
Costa Mesa, CA 92626 US</t>
  </si>
  <si>
    <t>Costa Mesa</t>
  </si>
  <si>
    <t>475 Anton Blvd</t>
  </si>
  <si>
    <t>92626</t>
  </si>
  <si>
    <t>714.830.7756</t>
  </si>
  <si>
    <t>946.677.3377</t>
  </si>
  <si>
    <t>Mac</t>
  </si>
  <si>
    <t>Worsham</t>
  </si>
  <si>
    <t>mworsham@deloitte.com</t>
  </si>
  <si>
    <t>mac.worsham@gmail.com</t>
  </si>
  <si>
    <t>Deloitte</t>
  </si>
  <si>
    <t>6 Amherst Pl   
Montclair, NJ 07043-1602 US</t>
  </si>
  <si>
    <t>Montclair</t>
  </si>
  <si>
    <t>6 Amherst Pl</t>
  </si>
  <si>
    <t>07043-1602</t>
  </si>
  <si>
    <t>(917) 588-5816</t>
  </si>
  <si>
    <t>(973) 650-8077</t>
  </si>
  <si>
    <t>Chief Communications Officer, Deloitte</t>
  </si>
  <si>
    <t>Lili</t>
  </si>
  <si>
    <t>powelle@darden.virginia.edu</t>
  </si>
  <si>
    <t>Associate Professor, Management Communication</t>
  </si>
  <si>
    <t>Darden School of Business, University of Virginia</t>
  </si>
  <si>
    <t>PO Box 6550 
Charlottesville, VA 22906-6550 US</t>
  </si>
  <si>
    <t>Charlottesville</t>
  </si>
  <si>
    <t>PO Box 6550</t>
  </si>
  <si>
    <t>22906-6550</t>
  </si>
  <si>
    <t>(434) 982-2730</t>
  </si>
  <si>
    <t>Estok</t>
  </si>
  <si>
    <t>david.estok@utoronto.ca</t>
  </si>
  <si>
    <t>University of Toronto</t>
  </si>
  <si>
    <t>University of Toronto Communications 
27 King's College Circle 
Toronto, ON M5S 1A1 CA</t>
  </si>
  <si>
    <t>University of Toronto Communications</t>
  </si>
  <si>
    <t>27 King's College Circle</t>
  </si>
  <si>
    <t>M5S 1A1</t>
  </si>
  <si>
    <t>416.459.5241</t>
  </si>
  <si>
    <t>416.978.0475</t>
  </si>
  <si>
    <t>4169780506</t>
  </si>
  <si>
    <t>Justin</t>
  </si>
  <si>
    <t>Sikora</t>
  </si>
  <si>
    <t>jsikora@darden.com</t>
  </si>
  <si>
    <t>jjwsikora@gmail.com</t>
  </si>
  <si>
    <t>Darden Restaurants</t>
  </si>
  <si>
    <t>1000 Darden Center Dr 
Orlando, FL 32837-4032 US</t>
  </si>
  <si>
    <t>Orlando</t>
  </si>
  <si>
    <t>1000 Darden Center Dr</t>
  </si>
  <si>
    <t>32837-4032</t>
  </si>
  <si>
    <t>407.245.5219</t>
  </si>
  <si>
    <t>440.787.5078</t>
  </si>
  <si>
    <t>Ron DeFeo</t>
  </si>
  <si>
    <t>Robbie</t>
  </si>
  <si>
    <t>Zirkelbach</t>
  </si>
  <si>
    <t>rzirkelbach@phrma.org</t>
  </si>
  <si>
    <t>Executive Vice President, Public Affairs</t>
  </si>
  <si>
    <t>Pharmaceutical Research and Manufacturers of America (PhRMA)</t>
  </si>
  <si>
    <t>950 F Street, NW 
Suite 300 
Washington, DC 20004 US</t>
  </si>
  <si>
    <t>950 F Street, NW</t>
  </si>
  <si>
    <t>Suite 300</t>
  </si>
  <si>
    <t>(202) 835-3530</t>
  </si>
  <si>
    <t>Arnett</t>
  </si>
  <si>
    <t>arnett@duq.edu</t>
  </si>
  <si>
    <t>Chair and Professor-Department Of Communication &amp; Rhetorical Studies</t>
  </si>
  <si>
    <t>Duquesne University, Department of Communication and Rhetorical Studies</t>
  </si>
  <si>
    <t>600 Forbes Avenue, 340 Ch 
Pittsburgh, PA 15282 US</t>
  </si>
  <si>
    <t>600 Forbes Avenue, 340 Ch</t>
  </si>
  <si>
    <t>15282</t>
  </si>
  <si>
    <t>(412) 396-6446</t>
  </si>
  <si>
    <t>W. Timothy Coombs</t>
  </si>
  <si>
    <t>Fernandez</t>
  </si>
  <si>
    <t>4mikefernandez@gmail.com</t>
  </si>
  <si>
    <t>Former, U.S. CEO</t>
  </si>
  <si>
    <t>270 Park Ave South 
4-D 
New York, NY 10010 US</t>
  </si>
  <si>
    <t>270 Park Ave South</t>
  </si>
  <si>
    <t>4-D</t>
  </si>
  <si>
    <t>(952) 500-0243</t>
  </si>
  <si>
    <t>(646) 388-3356</t>
  </si>
  <si>
    <t>VP- Public Relations  US West</t>
  </si>
  <si>
    <t>Kristin</t>
  </si>
  <si>
    <t>Binns</t>
  </si>
  <si>
    <t>kristin.binns@gmail.com</t>
  </si>
  <si>
    <t>Activision Blizzard</t>
  </si>
  <si>
    <t>355 Market Street 
Suite 900 
West Hollywood, CA 90069 US</t>
  </si>
  <si>
    <t>West Hollywood</t>
  </si>
  <si>
    <t>355 Market Street</t>
  </si>
  <si>
    <t>Suite 900</t>
  </si>
  <si>
    <t>90069</t>
  </si>
  <si>
    <t>(917) 697-7802</t>
  </si>
  <si>
    <t>Will</t>
  </si>
  <si>
    <t>Valentine</t>
  </si>
  <si>
    <t>wvalentine@lyft.com</t>
  </si>
  <si>
    <t>Vice president, Head of Communications</t>
  </si>
  <si>
    <t>Lyft</t>
  </si>
  <si>
    <t>180 Sandringham Rd   
Piedmont, CA 94611-3615 US</t>
  </si>
  <si>
    <t>Piedmont</t>
  </si>
  <si>
    <t>180 Sandringham Rd</t>
  </si>
  <si>
    <t>94611-3615</t>
  </si>
  <si>
    <t>(415) 377-5221</t>
  </si>
  <si>
    <t>Katherine</t>
  </si>
  <si>
    <t>Hutt</t>
  </si>
  <si>
    <t>khutt@council.bbb.org</t>
  </si>
  <si>
    <t>khuttnyc@gmail.com</t>
  </si>
  <si>
    <t>Council of Better Business Bureaus</t>
  </si>
  <si>
    <t>162 West 80th Street 
Apt E 
New York, NY 10024 US</t>
  </si>
  <si>
    <t>162 West 80th Street</t>
  </si>
  <si>
    <t>Apt E</t>
  </si>
  <si>
    <t>(212) 705-0131</t>
  </si>
  <si>
    <t>(703) 919-2666</t>
  </si>
  <si>
    <t>James Gerace</t>
  </si>
  <si>
    <t>Corley</t>
  </si>
  <si>
    <t>Kenna</t>
  </si>
  <si>
    <t>Corley.Kenna@patagonia.com</t>
  </si>
  <si>
    <t>Director, Global Communications and Public Relations</t>
  </si>
  <si>
    <t>Patagonia Inc.</t>
  </si>
  <si>
    <t>259 W Santa Clara St, 
Ventura, CA 93001 US</t>
  </si>
  <si>
    <t>Ventura</t>
  </si>
  <si>
    <t>259 W Santa Clara St,</t>
  </si>
  <si>
    <t>93001</t>
  </si>
  <si>
    <t>+1 (646) 301-2289</t>
  </si>
  <si>
    <t>Director, Global Communications and Public Relations, Patagonia</t>
  </si>
  <si>
    <t>Dawn</t>
  </si>
  <si>
    <t>Lyon</t>
  </si>
  <si>
    <t>dawn@glassdoor.com</t>
  </si>
  <si>
    <t>SVP, Corporate Affairs &amp; Chief Reputation Officer</t>
  </si>
  <si>
    <t>Glassdoor</t>
  </si>
  <si>
    <t>100 Shoreline 
Building A 
MILL Valley, CA 94941 US</t>
  </si>
  <si>
    <t>MILL Valley</t>
  </si>
  <si>
    <t>100 Shoreline</t>
  </si>
  <si>
    <t>Building A</t>
  </si>
  <si>
    <t>94941</t>
  </si>
  <si>
    <t>415.846.4706</t>
  </si>
  <si>
    <t>415.567.1408</t>
  </si>
  <si>
    <t>Head of Global Corporate Affairs, Glassdoor</t>
  </si>
  <si>
    <t>Krista</t>
  </si>
  <si>
    <t>Todd</t>
  </si>
  <si>
    <t>ktodd@logitech.com</t>
  </si>
  <si>
    <t>Logitech</t>
  </si>
  <si>
    <t>7700 Gateway Blvd. 
Newark, CA 94560 US</t>
  </si>
  <si>
    <t>7700 Gateway Blvd.</t>
  </si>
  <si>
    <t>94560</t>
  </si>
  <si>
    <t>(716) 983-4260</t>
  </si>
  <si>
    <t>Vice President, Global Communications, Logitech</t>
  </si>
  <si>
    <t>Kursman</t>
  </si>
  <si>
    <t>seth.kursman@resolutefp.com</t>
  </si>
  <si>
    <t>Vice President; Corporate Communications; Sustainability and Government Affairs</t>
  </si>
  <si>
    <t>Resolute Forest Products</t>
  </si>
  <si>
    <t>111 Duke Suite 5000 
Montreal, Quebec, H3c2m1 CA</t>
  </si>
  <si>
    <t>Montreal, Quebec</t>
  </si>
  <si>
    <t>111 Duke Suite 5000</t>
  </si>
  <si>
    <t>H3c2m1</t>
  </si>
  <si>
    <t>(514) 394-2398</t>
  </si>
  <si>
    <t>(514) 394-2388</t>
  </si>
  <si>
    <t>Donald Ferguson</t>
  </si>
  <si>
    <t>VP-Corporate Communications &amp; Government Affairs, Abitibi Consolidated</t>
  </si>
  <si>
    <t>Torod</t>
  </si>
  <si>
    <t>Neptune</t>
  </si>
  <si>
    <t>tneptune@Lenovo.com</t>
  </si>
  <si>
    <t>tneptune84@gmail.com</t>
  </si>
  <si>
    <t>Lenovo Group Ltd.</t>
  </si>
  <si>
    <t>1009 Think Place 
Morrisville, NC 27560 US</t>
  </si>
  <si>
    <t>Morrisville</t>
  </si>
  <si>
    <t>1009 Think Place</t>
  </si>
  <si>
    <t>27560</t>
  </si>
  <si>
    <t>(919) 294-1299</t>
  </si>
  <si>
    <t>(919)-599-1338</t>
  </si>
  <si>
    <t>Chief Communications Officer, Lenovo</t>
  </si>
  <si>
    <t>Christophe</t>
  </si>
  <si>
    <t>Guibeleguiet</t>
  </si>
  <si>
    <t>Christophe.guibeleguiet@globescan.com</t>
  </si>
  <si>
    <t>Co-CEO</t>
  </si>
  <si>
    <t>GlobeScan</t>
  </si>
  <si>
    <t>22 Long Acre, Covent Garden 
London, WC2 E9LY GB</t>
  </si>
  <si>
    <t>22 Long Acre, Covent Garden</t>
  </si>
  <si>
    <t>WC2 E9LY</t>
  </si>
  <si>
    <t>+44 (0)2075505535</t>
  </si>
  <si>
    <t>+44 (0)7854132665</t>
  </si>
  <si>
    <t>Miguel Veiga-Pestana</t>
  </si>
  <si>
    <t>CEO, Globescan</t>
  </si>
  <si>
    <t>jane.anderson@iag.com.au</t>
  </si>
  <si>
    <t>jane_anderson@hotmail.com</t>
  </si>
  <si>
    <t>Group General Manager, Group Corporate Affairs</t>
  </si>
  <si>
    <t>Insurance Australia Group (IAG)</t>
  </si>
  <si>
    <t>Level 18, 388 George St 
Sydney, 2000 AU</t>
  </si>
  <si>
    <t>Sydney</t>
  </si>
  <si>
    <t>Level 18, 388 George St</t>
  </si>
  <si>
    <t>61402967791</t>
  </si>
  <si>
    <t>Andrew J. Hall</t>
  </si>
  <si>
    <t>Laird</t>
  </si>
  <si>
    <t>Jason.Laird@nab.com.au</t>
  </si>
  <si>
    <t>joclaird@gmail.com</t>
  </si>
  <si>
    <t>Executive General Manager Corporate Affairs</t>
  </si>
  <si>
    <t>National Australia Bank</t>
  </si>
  <si>
    <t>242 Exhibition Street 
Melbourne, Victoria, 3000 AU</t>
  </si>
  <si>
    <t>Melbourne, Victoria</t>
  </si>
  <si>
    <t>242 Exhibition Street</t>
  </si>
  <si>
    <t>3000</t>
  </si>
  <si>
    <t>+61 3 86971035</t>
  </si>
  <si>
    <t>61402309379</t>
  </si>
  <si>
    <t>Executive Director Communications and Chief Social Officer, Telstra</t>
  </si>
  <si>
    <t>Jensen</t>
  </si>
  <si>
    <t>julie.jensen@citadel.com</t>
  </si>
  <si>
    <t>Managing Director and Chief Corporate Affairs and Communications Officer</t>
  </si>
  <si>
    <t>Citadel LLC</t>
  </si>
  <si>
    <t>131 S Dearborn St 
#3200 
Chicago, IL 60603 US</t>
  </si>
  <si>
    <t>131 S Dearborn St</t>
  </si>
  <si>
    <t>#3200</t>
  </si>
  <si>
    <t>Katie Spring</t>
  </si>
  <si>
    <t>Chief Communications Officer, Citadel</t>
  </si>
  <si>
    <t>Cloosterman</t>
  </si>
  <si>
    <t>Marc.cloosterman@vim-group.com</t>
  </si>
  <si>
    <t>VIM Group Brand Implementation Ltd.</t>
  </si>
  <si>
    <t>Warnford Court, 29 Throgmorton Street 
London, EC2N 2AT GB</t>
  </si>
  <si>
    <t>Warnford Court, 29 Throgmorton Street</t>
  </si>
  <si>
    <t>EC2N 2AT</t>
  </si>
  <si>
    <t>+44 20 79 47 44 22</t>
  </si>
  <si>
    <t>CEO, VIM Group Brand Implementation Ltd.</t>
  </si>
  <si>
    <t>Kyne</t>
  </si>
  <si>
    <t>david@kyne.com</t>
  </si>
  <si>
    <t>18 - 20 Merrion St. 
Dublin, IE</t>
  </si>
  <si>
    <t>IE</t>
  </si>
  <si>
    <t>Ireland</t>
  </si>
  <si>
    <t>18 - 20 Merrion St.</t>
  </si>
  <si>
    <t>+353 (0) 12750633</t>
  </si>
  <si>
    <t>+353 85883 6554</t>
  </si>
  <si>
    <t>CEO, Kyne</t>
  </si>
  <si>
    <t>Ruzbeh</t>
  </si>
  <si>
    <t>Irani</t>
  </si>
  <si>
    <t>irani.ruzbeh@mahindra.com</t>
  </si>
  <si>
    <t>President (Group Communications &amp; Ethics) &amp; Chief Brand Officer</t>
  </si>
  <si>
    <t>Mahindra Towers 
Dr G M Bhosale Road, Worli 
Mumbai, Maharashtra, 400018 IN</t>
  </si>
  <si>
    <t>Mumbai, Maharashtra</t>
  </si>
  <si>
    <t>Mahindra Towers</t>
  </si>
  <si>
    <t>Dr G M Bhosale Road, Worli</t>
  </si>
  <si>
    <t>+91 22 24902714</t>
  </si>
  <si>
    <t>+91 99 67515240</t>
  </si>
  <si>
    <t>President (Group Communications &amp; Ethics) &amp; Chief Brand Officer, Mahindra Group</t>
  </si>
  <si>
    <t>Manish</t>
  </si>
  <si>
    <t>Kalghatgi</t>
  </si>
  <si>
    <t>Manish.Kalghatgi@larsentoubro.com</t>
  </si>
  <si>
    <t>Head Corporate Brand Management &amp; Communications</t>
  </si>
  <si>
    <t>Larsen &amp; Toubro</t>
  </si>
  <si>
    <t>A Fl 4 
Andheri Kurla Road 
Mumbai, 400093 IN</t>
  </si>
  <si>
    <t>A Fl 4</t>
  </si>
  <si>
    <t>Andheri Kurla Road</t>
  </si>
  <si>
    <t>400093</t>
  </si>
  <si>
    <t>+91 9830144144</t>
  </si>
  <si>
    <t>Head Corporate Brand Management &amp; Communications - Larsen and Toubro</t>
  </si>
  <si>
    <t>Ellen.Barry@cardinalhealth.com</t>
  </si>
  <si>
    <t>ellenbarry67@gmail.com</t>
  </si>
  <si>
    <t>Cardinal Health</t>
  </si>
  <si>
    <t>7000 Cardinal Pl 
Dublin, OH 43017-1091 US</t>
  </si>
  <si>
    <t>7000 Cardinal Pl</t>
  </si>
  <si>
    <t>43017-1091</t>
  </si>
  <si>
    <t>614-553-3858</t>
  </si>
  <si>
    <t>214.240.5147</t>
  </si>
  <si>
    <t>SVP, Global Corporate Communications, Cardinal Health</t>
  </si>
  <si>
    <t>Seema</t>
  </si>
  <si>
    <t>Kathuria</t>
  </si>
  <si>
    <t>seema.kathuria@russellreynolds.com</t>
  </si>
  <si>
    <t>Managing Director, Consumer Practice and Global Affairs Practice</t>
  </si>
  <si>
    <t>Russell Reynolds Associates</t>
  </si>
  <si>
    <t>155 N Wacker Dr Ste 4100 
Chicago, IL 60606-1732 US</t>
  </si>
  <si>
    <t>155 N Wacker Dr Ste 4100</t>
  </si>
  <si>
    <t>60606-1732</t>
  </si>
  <si>
    <t>(312) 933-9696</t>
  </si>
  <si>
    <t>Managing Director, Consumer Practice and Global Affairs Practice, Russell Reynolds Associates</t>
  </si>
  <si>
    <t>Bromage</t>
  </si>
  <si>
    <t>Kathleen.Bromage@thehartford.com</t>
  </si>
  <si>
    <t>Hartford Financial Services</t>
  </si>
  <si>
    <t>One Hartford Plaza 
Hartford, CT 06155 US</t>
  </si>
  <si>
    <t>One Hartford Plaza</t>
  </si>
  <si>
    <t>06155</t>
  </si>
  <si>
    <t>(860) 547-9355</t>
  </si>
  <si>
    <t>Buerk</t>
  </si>
  <si>
    <t>sbuerk@ega.ae</t>
  </si>
  <si>
    <t>Director, Corporate Affairs</t>
  </si>
  <si>
    <t>Emirates Global Aluminium</t>
  </si>
  <si>
    <t>PO Box 109111 
Abu Dhabi, AE</t>
  </si>
  <si>
    <t>PO Box 109111</t>
  </si>
  <si>
    <t>(971) 259-4444</t>
  </si>
  <si>
    <t>Director of Corporate Affairs, Emirates Global Aluminum</t>
  </si>
  <si>
    <t>Tom.Collins@hrblock.com</t>
  </si>
  <si>
    <t>1 H And R Block Way 
Kansas City, MO 64105-1905 US</t>
  </si>
  <si>
    <t>1 H And R Block Way</t>
  </si>
  <si>
    <t>64105-1905</t>
  </si>
  <si>
    <t>816-500-0336</t>
  </si>
  <si>
    <t>816-825-2637</t>
  </si>
  <si>
    <t>Marie T. Van Luling</t>
  </si>
  <si>
    <t>VP Corporate Communications, H&amp;R Block</t>
  </si>
  <si>
    <t>Elliott</t>
  </si>
  <si>
    <t>Christine.Elliott@mastercard.com</t>
  </si>
  <si>
    <t>MasterCard</t>
  </si>
  <si>
    <t>2000 Purchase Street 
Purchase, NY 10577 US</t>
  </si>
  <si>
    <t>2000 Purchase Street</t>
  </si>
  <si>
    <t>(914) 249-1204</t>
  </si>
  <si>
    <t>Ed Trissel</t>
  </si>
  <si>
    <t>Marcela</t>
  </si>
  <si>
    <t>Hawn</t>
  </si>
  <si>
    <t>mhawn@centene.com</t>
  </si>
  <si>
    <t>Centene</t>
  </si>
  <si>
    <t>7700 Forsyth Blvd 
Saint Louis, MO 63105 US</t>
  </si>
  <si>
    <t>7700 Forsyth Blvd</t>
  </si>
  <si>
    <t>314-505-6502</t>
  </si>
  <si>
    <t>SVP, Chief Communications Officer, Centene</t>
  </si>
  <si>
    <t>Krenger</t>
  </si>
  <si>
    <t>Kathy.Krenger@hyatt.com</t>
  </si>
  <si>
    <t>krengerk@gmail.com</t>
  </si>
  <si>
    <t>Hyatt Hotels Corporation</t>
  </si>
  <si>
    <t>150 N Riverside Plz   
Chicago, IL 60606-1598 US</t>
  </si>
  <si>
    <t>150 N Riverside Plz</t>
  </si>
  <si>
    <t>60606-1598</t>
  </si>
  <si>
    <t>(312) 780-5129</t>
  </si>
  <si>
    <t>(312) 961-0007</t>
  </si>
  <si>
    <t>VP, Global Communications, Hyatt</t>
  </si>
  <si>
    <t>jane.mazur@hologic.com</t>
  </si>
  <si>
    <t>janegordonmazur@gmail.com</t>
  </si>
  <si>
    <t>Senior Director, Divisional Communications</t>
  </si>
  <si>
    <t>Hologic</t>
  </si>
  <si>
    <t>250 Campus Dr 
Marlborough, MA 01752-3020 US</t>
  </si>
  <si>
    <t>Marlborough</t>
  </si>
  <si>
    <t>250 Campus Dr</t>
  </si>
  <si>
    <t>01752-3020</t>
  </si>
  <si>
    <t>508.263.8764</t>
  </si>
  <si>
    <t>585.355.5978</t>
  </si>
  <si>
    <t>Barby K. Siegel</t>
  </si>
  <si>
    <t>Adam Grossberg</t>
  </si>
  <si>
    <t>Senior Director, Head of Brand Communications, Hologic</t>
  </si>
  <si>
    <t>Larissa</t>
  </si>
  <si>
    <t>Alghisi Rubner</t>
  </si>
  <si>
    <t>larissa.alghisi@juliusbaer.com</t>
  </si>
  <si>
    <t>larissa@rubner.org</t>
  </si>
  <si>
    <t>Julius Baer Group</t>
  </si>
  <si>
    <t>Bahnhofstrasse 36</t>
  </si>
  <si>
    <t>PO Box</t>
  </si>
  <si>
    <t>8010</t>
  </si>
  <si>
    <t>+41 79 252 2922</t>
  </si>
  <si>
    <t>Michael Willi</t>
  </si>
  <si>
    <t>Chief Communications Officer, Julius Baer</t>
  </si>
  <si>
    <t>Schrum</t>
  </si>
  <si>
    <t>Roger.Schrum@sonoco.com</t>
  </si>
  <si>
    <t>Corporate Vice President Investor Relations and Corporate Affairs</t>
  </si>
  <si>
    <t>Sonoco Products</t>
  </si>
  <si>
    <t>1 North Second Street 
Hartsville, SC 29550 US</t>
  </si>
  <si>
    <t>Hartsville</t>
  </si>
  <si>
    <t>1 North Second Street</t>
  </si>
  <si>
    <t>29550</t>
  </si>
  <si>
    <t>843.339.6018</t>
  </si>
  <si>
    <t>Corporate Vice President, Investor Relations and Corporate Affairs, Sonoco</t>
  </si>
  <si>
    <t>Amina</t>
  </si>
  <si>
    <t>Taher</t>
  </si>
  <si>
    <t>ataher@etihad.ae</t>
  </si>
  <si>
    <t>amina.ataher@gmail.com</t>
  </si>
  <si>
    <t>Etihad Aviation Group</t>
  </si>
  <si>
    <t>Head Office, New Airport Road 
PO Box 35566 
Abu Dhabi, 35566 AE</t>
  </si>
  <si>
    <t>Head Office, New Airport Road</t>
  </si>
  <si>
    <t>PO Box 35566</t>
  </si>
  <si>
    <t>35566</t>
  </si>
  <si>
    <t>+97 125 11 0000</t>
  </si>
  <si>
    <t>Vice President Corporate Affairs, Etihad Aviation Group</t>
  </si>
  <si>
    <t>Tovar</t>
  </si>
  <si>
    <t>david.tovar@sprint.com</t>
  </si>
  <si>
    <t>dtovar613@gmail.com</t>
  </si>
  <si>
    <t>6550 Sprint Parkway 
Overland Park, KS 66251 US</t>
  </si>
  <si>
    <t>6550 Sprint Parkway</t>
  </si>
  <si>
    <t>66251</t>
  </si>
  <si>
    <t>(913) 315-1451</t>
  </si>
  <si>
    <t>Senior Vice President, Corporate Communications, Sprint</t>
  </si>
  <si>
    <t>Waldron</t>
  </si>
  <si>
    <t>Michael.Waldron@LyondellBasell.com</t>
  </si>
  <si>
    <t>mikewaldron22@yahoo.com</t>
  </si>
  <si>
    <t>VP, Global Corporate Communications and Public Affairs</t>
  </si>
  <si>
    <t>LyondellBasell Industries</t>
  </si>
  <si>
    <t>1221 McKinney Street 
Suite 399 
Houston, TX 77010 US</t>
  </si>
  <si>
    <t>1221 McKinney Street</t>
  </si>
  <si>
    <t>Suite 399</t>
  </si>
  <si>
    <t>77010</t>
  </si>
  <si>
    <t>713.309.7200</t>
  </si>
  <si>
    <t>(202) 320-9392</t>
  </si>
  <si>
    <t>VP, Global Corporate Communications and Public Affairs, LyondellBasell</t>
  </si>
  <si>
    <t>Ned</t>
  </si>
  <si>
    <t>ned.walker@delta.com</t>
  </si>
  <si>
    <t>Senior Vice President and CCO</t>
  </si>
  <si>
    <t>Delta Air Lines</t>
  </si>
  <si>
    <t>1040 Delta Blvd 
Atlanta, GA 30354-1989 US</t>
  </si>
  <si>
    <t>1040 Delta Blvd</t>
  </si>
  <si>
    <t>30354-1989</t>
  </si>
  <si>
    <t>404.715-6088</t>
  </si>
  <si>
    <t>404.715.6088</t>
  </si>
  <si>
    <t>Senior Vice President and CCO, Delta Airlines</t>
  </si>
  <si>
    <t>Omar</t>
  </si>
  <si>
    <t>Zaafrani</t>
  </si>
  <si>
    <t>ozaafrani@adnoc.ae</t>
  </si>
  <si>
    <t>omar.zaafrani@gmail.com</t>
  </si>
  <si>
    <t>The Abu Dhabi National Oil Company (ADNOC)</t>
  </si>
  <si>
    <t>P.O. Box 898 
Abu Dhabi, AE</t>
  </si>
  <si>
    <t>P.O. Box 898</t>
  </si>
  <si>
    <t>9.715010351e+11</t>
  </si>
  <si>
    <t>+971 2 70 75999</t>
  </si>
  <si>
    <t>Manager, Group Communications &amp; Social Responsibility, The Abu Dhabi National Oil Company</t>
  </si>
  <si>
    <t>Kris</t>
  </si>
  <si>
    <t>Kristine</t>
  </si>
  <si>
    <t>Coratti Kelly</t>
  </si>
  <si>
    <t>kristine.coratti@washpost.com</t>
  </si>
  <si>
    <t>kcorattikelly@gmail.com</t>
  </si>
  <si>
    <t>Vice President of Communications and Events</t>
  </si>
  <si>
    <t>The Washington Post</t>
  </si>
  <si>
    <t>1301 K St NW 
Washington, DC 20071-0004 US</t>
  </si>
  <si>
    <t>1301 K St NW</t>
  </si>
  <si>
    <t>20071-0004</t>
  </si>
  <si>
    <t>202.334.5445</t>
  </si>
  <si>
    <t>202.390.2458</t>
  </si>
  <si>
    <t>Vice President of Communications and Events, Washington Post</t>
  </si>
  <si>
    <t>Tristan</t>
  </si>
  <si>
    <t>Peniston-Bird</t>
  </si>
  <si>
    <t>tristanpb@gmail.com</t>
  </si>
  <si>
    <t>tpenistonbird@velcro.com</t>
  </si>
  <si>
    <t>Chief Corporate Affairs Officer</t>
  </si>
  <si>
    <t>Velcro Companies</t>
  </si>
  <si>
    <t>VIL LTD, 2 Kingdom Street, 6th Floor 
London, W2 6JP GB</t>
  </si>
  <si>
    <t>VIL LTD, 2 Kingdom Street, 6th Floor</t>
  </si>
  <si>
    <t>W2 6JP</t>
  </si>
  <si>
    <t>+44 203 580 4262</t>
  </si>
  <si>
    <t>+44 777 203 1886</t>
  </si>
  <si>
    <t>Managing Director, CCO, Euroclear</t>
  </si>
  <si>
    <t>Guillaume</t>
  </si>
  <si>
    <t>Herbette</t>
  </si>
  <si>
    <t>guillaume.herbette@mslgroup.com</t>
  </si>
  <si>
    <t>MSLGroup</t>
  </si>
  <si>
    <t>5 Rue Feydeau 
Paris, 5002 FR</t>
  </si>
  <si>
    <t>5 Rue Feydeau</t>
  </si>
  <si>
    <t>5002</t>
  </si>
  <si>
    <t>+33 1 44 82 45 00</t>
  </si>
  <si>
    <t>CEO, MSL Group</t>
  </si>
  <si>
    <t>Marina</t>
  </si>
  <si>
    <t>Maher</t>
  </si>
  <si>
    <t>Mmaher@hellommc.com</t>
  </si>
  <si>
    <t>Marina Maher Communications</t>
  </si>
  <si>
    <t>830 Third Avenue 
New York, NY 10022 US</t>
  </si>
  <si>
    <t>830 Third Avenue</t>
  </si>
  <si>
    <t>212.485.6813</t>
  </si>
  <si>
    <t>917.414.8783</t>
  </si>
  <si>
    <t>CEO, Marina Maher Communications</t>
  </si>
  <si>
    <t>Mardiks</t>
  </si>
  <si>
    <t>emardiks@golin.com</t>
  </si>
  <si>
    <t>Vice Chair</t>
  </si>
  <si>
    <t>875 N Michigan Ave 
Suite 2600 
Chicago, IL 60611 US</t>
  </si>
  <si>
    <t>875 N Michigan Ave</t>
  </si>
  <si>
    <t>Suite 2600</t>
  </si>
  <si>
    <t>60611</t>
  </si>
  <si>
    <t>(312) 729-4333</t>
  </si>
  <si>
    <t>Thomas T. Noland</t>
  </si>
  <si>
    <t>Vice Chairman, Golin</t>
  </si>
  <si>
    <t>kventura@caldwellpartners.com</t>
  </si>
  <si>
    <t>kmventura@icloud.com</t>
  </si>
  <si>
    <t>Caldwell Partners</t>
  </si>
  <si>
    <t>263 Tresser Boulevard 
Stamford, CT 06901 US</t>
  </si>
  <si>
    <t>263 Tresser Boulevard</t>
  </si>
  <si>
    <t>203.348.9588</t>
  </si>
  <si>
    <t>203.246.8864</t>
  </si>
  <si>
    <t>Jonathan Adashek</t>
  </si>
  <si>
    <t>Matthew Furman</t>
  </si>
  <si>
    <t>Partner, Caldwell Partners</t>
  </si>
  <si>
    <t>Josh</t>
  </si>
  <si>
    <t>Drobnyk</t>
  </si>
  <si>
    <t>josh.drobnyk@finra.org</t>
  </si>
  <si>
    <t>jdrobnyk@gmail.com</t>
  </si>
  <si>
    <t>FINRA (Financial Industry Regulatory Authority)</t>
  </si>
  <si>
    <t>1735 K Street NW 
Washington, DC 20006 US</t>
  </si>
  <si>
    <t>1735 K Street NW</t>
  </si>
  <si>
    <t>(202) 728-8440</t>
  </si>
  <si>
    <t>(202) 527-0494</t>
  </si>
  <si>
    <t>Nate</t>
  </si>
  <si>
    <t>Nathaniel</t>
  </si>
  <si>
    <t>Nickerson</t>
  </si>
  <si>
    <t>nwn@mit.edu</t>
  </si>
  <si>
    <t>77 Massachusetts Avenue 
11-400 
Cambridge, MA 02139 US</t>
  </si>
  <si>
    <t>77 Massachusetts Avenue</t>
  </si>
  <si>
    <t>11-400</t>
  </si>
  <si>
    <t>02139</t>
  </si>
  <si>
    <t>(617) 258-5403</t>
  </si>
  <si>
    <t>(617) 271-3303</t>
  </si>
  <si>
    <t>VP Communications, MIT</t>
  </si>
  <si>
    <t>Aleis</t>
  </si>
  <si>
    <t>Stokes</t>
  </si>
  <si>
    <t>aleis.stokes@icba.org</t>
  </si>
  <si>
    <t>aleis.stokes@gmail.com</t>
  </si>
  <si>
    <t>Independent Community Bankers of America</t>
  </si>
  <si>
    <t>1615 L St, NW 
Suite 900 
Washington, DC 20036 US</t>
  </si>
  <si>
    <t>1615 L St, NW</t>
  </si>
  <si>
    <t>(202) 821-4457</t>
  </si>
  <si>
    <t>Senior Vice President, Media and Public Relations, Independent Community Bankers of America</t>
  </si>
  <si>
    <t>Geoff</t>
  </si>
  <si>
    <t>Morrell</t>
  </si>
  <si>
    <t>geoff.morrell@bp.com</t>
  </si>
  <si>
    <t>Group Head of Communications and External Affairs</t>
  </si>
  <si>
    <t>BP</t>
  </si>
  <si>
    <t>1 St James's Square 
London, SW1Y 4PD GB</t>
  </si>
  <si>
    <t>1 St James's Square</t>
  </si>
  <si>
    <t>(202) 457-6570</t>
  </si>
  <si>
    <t>Anna</t>
  </si>
  <si>
    <t>Whitlam</t>
  </si>
  <si>
    <t>anna@annawhitlam.com</t>
  </si>
  <si>
    <t>annawhitlam@gmail.com</t>
  </si>
  <si>
    <t>Anna Whitlam People</t>
  </si>
  <si>
    <t>Level Three 179 Flinders Lane 
Melbourne, 3000 AU</t>
  </si>
  <si>
    <t>Level Three 179 Flinders Lane</t>
  </si>
  <si>
    <t>+61 402218155</t>
  </si>
  <si>
    <t>+61 396501164</t>
  </si>
  <si>
    <t>Looser</t>
  </si>
  <si>
    <t>rick@cirlot.com</t>
  </si>
  <si>
    <t>rwljr1983@gmail.com</t>
  </si>
  <si>
    <t>President &amp; COO / Owner</t>
  </si>
  <si>
    <t>The Cirlot Agency</t>
  </si>
  <si>
    <t>1505 Airport Road N 
Flowood, MS 39232 US</t>
  </si>
  <si>
    <t>Flowood</t>
  </si>
  <si>
    <t>1505 Airport Road N</t>
  </si>
  <si>
    <t>39232</t>
  </si>
  <si>
    <t>MS</t>
  </si>
  <si>
    <t>Mississippi</t>
  </si>
  <si>
    <t>(601) 664-2010</t>
  </si>
  <si>
    <t>(601) 832-1050</t>
  </si>
  <si>
    <t>Ian</t>
  </si>
  <si>
    <t>W</t>
  </si>
  <si>
    <t>ian_bailey@anfcorp.com</t>
  </si>
  <si>
    <t>ianwbailey@gmail.com</t>
  </si>
  <si>
    <t>VP, Head of Communications &amp; Public Relations</t>
  </si>
  <si>
    <t>Abercrombie &amp; Fitch</t>
  </si>
  <si>
    <t>6301 Fitch Path 
New Albany, OH 43054 US</t>
  </si>
  <si>
    <t>New Albany</t>
  </si>
  <si>
    <t>6301 Fitch Path</t>
  </si>
  <si>
    <t>43054</t>
  </si>
  <si>
    <t>(917) 544-9921</t>
  </si>
  <si>
    <t>(614) 283-7995</t>
  </si>
  <si>
    <t>VP, Corporate Communications &amp; Public Relations - Abecrombie &amp; Fitch Co.</t>
  </si>
  <si>
    <t>Eniko</t>
  </si>
  <si>
    <t>Bolivar</t>
  </si>
  <si>
    <t>ebolivar@venturafoods.com</t>
  </si>
  <si>
    <t>Ventura Foods</t>
  </si>
  <si>
    <t>40 Pointe Drive 
Brea, CA 92821 US</t>
  </si>
  <si>
    <t>Brea</t>
  </si>
  <si>
    <t>40 Pointe Drive</t>
  </si>
  <si>
    <t>92821</t>
  </si>
  <si>
    <t>(714) 257-3854</t>
  </si>
  <si>
    <t>Director, Corporate Communications - Ventura Foods</t>
  </si>
  <si>
    <t>Carolyn</t>
  </si>
  <si>
    <t>McCann</t>
  </si>
  <si>
    <t>cmccann@westpac.com.au</t>
  </si>
  <si>
    <t>carolyn.f.mccann@gmail.com</t>
  </si>
  <si>
    <t>General Manager, Corporate Affairs &amp; Sustainability</t>
  </si>
  <si>
    <t>Westpac Banking Group</t>
  </si>
  <si>
    <t>Level 8, 275 Kent Street 
Sydney, New South Wales 2000 AU</t>
  </si>
  <si>
    <t>Level 8, 275 Kent Street</t>
  </si>
  <si>
    <t>New South Wales</t>
  </si>
  <si>
    <t>+61.411.014.126</t>
  </si>
  <si>
    <t>General Manager, Corporate Affairs &amp; Sustainability - Westpac Banking Corporation</t>
  </si>
  <si>
    <t>Liz</t>
  </si>
  <si>
    <t>McNamara</t>
  </si>
  <si>
    <t>liz.mcnamara@ccamatil.com</t>
  </si>
  <si>
    <t>liz@mcnamour.net</t>
  </si>
  <si>
    <t>Group Head of Public Affairs and Communications</t>
  </si>
  <si>
    <t>Coca-Cola Amatil (CCA)</t>
  </si>
  <si>
    <t>Level 14, 40 Mount Street 
North Sydney, NSW, 2060 AU</t>
  </si>
  <si>
    <t>North Sydney, NSW</t>
  </si>
  <si>
    <t>Level 14, 40 Mount Street</t>
  </si>
  <si>
    <t>2060</t>
  </si>
  <si>
    <t>+61.405.128.176</t>
  </si>
  <si>
    <t>Anna Whitlam</t>
  </si>
  <si>
    <t>Group Head of Public Affairs and Communications - Coca-Cola Amatil Ltd.</t>
  </si>
  <si>
    <t>Luisa</t>
  </si>
  <si>
    <t>Megale</t>
  </si>
  <si>
    <t>luisa.megale@lendlease.com</t>
  </si>
  <si>
    <t>Group Head of Corporate Affairs</t>
  </si>
  <si>
    <t>Lendlease Group</t>
  </si>
  <si>
    <t>Level 14, Tower Three, International Towers Sydney 
Exchange Place, 300 Barangaroo Avenue 
Barangaroo NSW, 2000 AU</t>
  </si>
  <si>
    <t>Barangaroo NSW</t>
  </si>
  <si>
    <t>Level 14, Tower Three, International Towers Sydney</t>
  </si>
  <si>
    <t>Exchange Place, 300 Barangaroo Avenue</t>
  </si>
  <si>
    <t>+417.984.097</t>
  </si>
  <si>
    <t>Group Head of Corporate Affairs - Lendlease</t>
  </si>
  <si>
    <t>Lapin</t>
  </si>
  <si>
    <t>lalapin@me.com</t>
  </si>
  <si>
    <t>llapin@getty.edu</t>
  </si>
  <si>
    <t>J. Paul Getty Trust</t>
  </si>
  <si>
    <t>1200 Getty Center Drive 
Los Angeles, CA 90049 US</t>
  </si>
  <si>
    <t>1200 Getty Center Drive</t>
  </si>
  <si>
    <t>90049</t>
  </si>
  <si>
    <t>(650) 725-8396</t>
  </si>
  <si>
    <t>(310) 440-5100</t>
  </si>
  <si>
    <t>VP, University Communications - Stanford University</t>
  </si>
  <si>
    <t>Eva</t>
  </si>
  <si>
    <t>Radtke</t>
  </si>
  <si>
    <t>eva.radtke@bnymellon.com</t>
  </si>
  <si>
    <t>Managing Director, Global Head of Corporate Communications</t>
  </si>
  <si>
    <t>The Bank of New York Mellon (BNY Mellon)</t>
  </si>
  <si>
    <t>225 Liberty Street 
New York, NY 10286 US</t>
  </si>
  <si>
    <t>225 Liberty Street</t>
  </si>
  <si>
    <t>10286</t>
  </si>
  <si>
    <t>(212) 635-1504</t>
  </si>
  <si>
    <t>(917) 593-9902</t>
  </si>
  <si>
    <t>Managing Director, Global Head of Corporate Communications - BNY Mellon</t>
  </si>
  <si>
    <t>Jack</t>
  </si>
  <si>
    <t>jack.todd@trin.net</t>
  </si>
  <si>
    <t>dallastodds@gmail.com</t>
  </si>
  <si>
    <t>VP of Public Affairs</t>
  </si>
  <si>
    <t>Trinity Industries</t>
  </si>
  <si>
    <t>2525 Stemmons Freeway 
Dallas, TX 75207 US</t>
  </si>
  <si>
    <t>2525 Stemmons Freeway</t>
  </si>
  <si>
    <t>75207</t>
  </si>
  <si>
    <t>214.589.8901</t>
  </si>
  <si>
    <t>(972) 491-5792</t>
  </si>
  <si>
    <t>Ellen R. Mardiks</t>
  </si>
  <si>
    <t>VP, Public Affairs - Trinity Industries</t>
  </si>
  <si>
    <t>Truby</t>
  </si>
  <si>
    <t>mtruby@ford.com</t>
  </si>
  <si>
    <t>1 American Rd   
P.O. Box 6248 
Dearborn, MI 48126-2701 US</t>
  </si>
  <si>
    <t>Dearborn</t>
  </si>
  <si>
    <t>1 American Rd</t>
  </si>
  <si>
    <t>P.O. Box 6248</t>
  </si>
  <si>
    <t>48126-2701</t>
  </si>
  <si>
    <t>(313) 390-1010</t>
  </si>
  <si>
    <t>Jeong-Nam</t>
  </si>
  <si>
    <t>Layinformatics@gmail.com</t>
  </si>
  <si>
    <t>Professor, Gaylord Family Endowed Chair of Public Relations &amp; Strategic Communication</t>
  </si>
  <si>
    <t>395 W Lindsey St Rm 3510B 
Norman, OK 73019-4201 US</t>
  </si>
  <si>
    <t>395 W Lindsey St Rm 3510B</t>
  </si>
  <si>
    <t>(765) 586-8286</t>
  </si>
  <si>
    <t>Professor, Gaylord Family Endowed Chair of Public Relations &amp; Strategic Communication - University of Oklahoma</t>
  </si>
  <si>
    <t>Sutphen</t>
  </si>
  <si>
    <t>dsutphen@2u.com</t>
  </si>
  <si>
    <t>Chief Communications &amp; Engagement Officer</t>
  </si>
  <si>
    <t>2U</t>
  </si>
  <si>
    <t>7900 Harkins Rd 
Lanham, MD 20706-1359 US</t>
  </si>
  <si>
    <t>Lanham</t>
  </si>
  <si>
    <t>7900 Harkins Rd</t>
  </si>
  <si>
    <t>20706-1359</t>
  </si>
  <si>
    <t>(202) 297-6211</t>
  </si>
  <si>
    <t>Chief Communications &amp; Engagement Officer - 2U</t>
  </si>
  <si>
    <t>Coyne</t>
  </si>
  <si>
    <t>tcoyne@coynepr.com</t>
  </si>
  <si>
    <t>Coyne PR</t>
  </si>
  <si>
    <t>5 Wood Hollow Road 
Parsippany, NJ 07054 US</t>
  </si>
  <si>
    <t>5 Wood Hollow Road</t>
  </si>
  <si>
    <t>07054</t>
  </si>
  <si>
    <t>(973) 588-2000</t>
  </si>
  <si>
    <t>CEO- Coyne Public Relations</t>
  </si>
  <si>
    <t>Eric</t>
  </si>
  <si>
    <t>Sedler</t>
  </si>
  <si>
    <t>esedler@kivvit.com</t>
  </si>
  <si>
    <t>222 W. Merchandise Mart Plaza 
Suite 2400 
Chicago, IL 60654 US</t>
  </si>
  <si>
    <t>Suite 2400</t>
  </si>
  <si>
    <t>(312) 664-0153</t>
  </si>
  <si>
    <t>James D. Firth</t>
  </si>
  <si>
    <t>Managing Partner - Kivvit</t>
  </si>
  <si>
    <t>Bloomgren</t>
  </si>
  <si>
    <t>bloomgrenm@api.org</t>
  </si>
  <si>
    <t>American Petroleum Institute</t>
  </si>
  <si>
    <t>1220 L Street, NW 
Washington, DC 20005 US</t>
  </si>
  <si>
    <t>1220 L Street, NW</t>
  </si>
  <si>
    <t>(202) 682-8120</t>
  </si>
  <si>
    <t>Shari</t>
  </si>
  <si>
    <t>Veil</t>
  </si>
  <si>
    <t>shari.veil@uky.edu</t>
  </si>
  <si>
    <t>Department Chair and Associate Dean for Undergraduate Affairs</t>
  </si>
  <si>
    <t>University of Kentucky</t>
  </si>
  <si>
    <t>230 Grehan Building 
Lexington, KY 50506 US</t>
  </si>
  <si>
    <t>Lexington</t>
  </si>
  <si>
    <t>230 Grehan Building</t>
  </si>
  <si>
    <t>50506</t>
  </si>
  <si>
    <t>(859) 218-0468</t>
  </si>
  <si>
    <t>(859) 533-6352</t>
  </si>
  <si>
    <t>Associate Professor - University of Kentucky</t>
  </si>
  <si>
    <t>Hakon</t>
  </si>
  <si>
    <t>Mageli</t>
  </si>
  <si>
    <t>hakon.mageli@orkla.no</t>
  </si>
  <si>
    <t>Group Director Corporate Communications and Corporate Affairs</t>
  </si>
  <si>
    <t>Orkla ASA</t>
  </si>
  <si>
    <t>Nedre SkÃ¸yen vei 26 
Postboks 423 SkÃ¸yen 
Oslo, NO-0213 NO</t>
  </si>
  <si>
    <t>Oslo</t>
  </si>
  <si>
    <t>Nedre SkÃ¸yen vei 26</t>
  </si>
  <si>
    <t>Postboks 423 SkÃ¸yen</t>
  </si>
  <si>
    <t>NO-0213</t>
  </si>
  <si>
    <t>(479) 284-5828</t>
  </si>
  <si>
    <t>Director Corporate Affairs, Orkla Foods A.S.</t>
  </si>
  <si>
    <t>Parker</t>
  </si>
  <si>
    <t>andrewparker@qantas.com.au</t>
  </si>
  <si>
    <t>kathy.elek@qantas.com.au</t>
  </si>
  <si>
    <t>Group Executive, Government, Industry and International Affairs</t>
  </si>
  <si>
    <t>Qantas Airways</t>
  </si>
  <si>
    <t>10 Bourke Road 
Building A/ Level 1 
Mascot, NSW 2020 AU</t>
  </si>
  <si>
    <t>Mascot</t>
  </si>
  <si>
    <t>10 Bourke Road</t>
  </si>
  <si>
    <t>Building A/ Level 1</t>
  </si>
  <si>
    <t>NSW 2020</t>
  </si>
  <si>
    <t>6129691-3809</t>
  </si>
  <si>
    <t>61411105477</t>
  </si>
  <si>
    <t>Gerard</t>
  </si>
  <si>
    <t>Tidd</t>
  </si>
  <si>
    <t>gerry.tidd@bluescope.com</t>
  </si>
  <si>
    <t>Executive Vice President, Corporate</t>
  </si>
  <si>
    <t>Bluescope Steel</t>
  </si>
  <si>
    <t>11/120 Collins St, 
Melbourne, 3000 AU</t>
  </si>
  <si>
    <t>11/120 Collins St,</t>
  </si>
  <si>
    <t>+61 3 9666 4075</t>
  </si>
  <si>
    <t>Executive Vice President, Corporate - BlueScope</t>
  </si>
  <si>
    <t>Nicole</t>
  </si>
  <si>
    <t>Devlin</t>
  </si>
  <si>
    <t>nicole.devlin@ororagroup.com</t>
  </si>
  <si>
    <t>GM Corporate Affairs</t>
  </si>
  <si>
    <t>Orora</t>
  </si>
  <si>
    <t>109 Burwood Road 
Hawthorn, 03122 AU</t>
  </si>
  <si>
    <t>Hawthorn</t>
  </si>
  <si>
    <t>109 Burwood Road</t>
  </si>
  <si>
    <t>03122</t>
  </si>
  <si>
    <t>+61 408147350</t>
  </si>
  <si>
    <t>GM Corporate Affairs - Orora Limited</t>
  </si>
  <si>
    <t>Gibbs</t>
  </si>
  <si>
    <t>matthew.gibbs@asx.com.au</t>
  </si>
  <si>
    <t>General Manager, Media and Communications</t>
  </si>
  <si>
    <t>Australian Securities Exchange (ASX Limited)</t>
  </si>
  <si>
    <t>Exchange Centre 
20 Bridge Street 
Sydney NSW, 2000 AU</t>
  </si>
  <si>
    <t>Sydney NSW</t>
  </si>
  <si>
    <t>Exchange Centre</t>
  </si>
  <si>
    <t>20 Bridge Street</t>
  </si>
  <si>
    <t>+61 2 92270218</t>
  </si>
  <si>
    <t>General Manager, Media and Communications - Australian Securities Exchange (ASX Limited)</t>
  </si>
  <si>
    <t>Lochmann</t>
  </si>
  <si>
    <t>daniel_lochmann@mhi.co.jp</t>
  </si>
  <si>
    <t>Global Marketing Communications Director</t>
  </si>
  <si>
    <t>Mitsubishi Heavy Industries, Ltd.</t>
  </si>
  <si>
    <t>16-5 Konan 2-chome 
Minato-ku, 
Tokyo, 108-8215, JP</t>
  </si>
  <si>
    <t>16-5 Konan 2-chome</t>
  </si>
  <si>
    <t>Minato-ku,</t>
  </si>
  <si>
    <t>108-8215,</t>
  </si>
  <si>
    <t>+81.90.1009.9277</t>
  </si>
  <si>
    <t>+81-(0)80-1009-9277</t>
  </si>
  <si>
    <t>Dominic</t>
  </si>
  <si>
    <t>Keogh</t>
  </si>
  <si>
    <t>dominic.keogh@jp.ricoh.com</t>
  </si>
  <si>
    <t>General Manager, Global Corporate Communications</t>
  </si>
  <si>
    <t>Ricoh</t>
  </si>
  <si>
    <t>8-13-1 Ginza, Chuo-Ku 
Tokyo, 104-8222 JP</t>
  </si>
  <si>
    <t>8-13-1 Ginza, Chuo-Ku</t>
  </si>
  <si>
    <t>104-8222</t>
  </si>
  <si>
    <t>+81 50 3534 263</t>
  </si>
  <si>
    <t>+81 80 2200 9338</t>
  </si>
  <si>
    <t>Kula</t>
  </si>
  <si>
    <t>bob.kula@kiewit.com</t>
  </si>
  <si>
    <t>Kiewit Corporation</t>
  </si>
  <si>
    <t>3555 Farnam Street 
Omaha, NE 68131 US</t>
  </si>
  <si>
    <t>3555 Farnam Street</t>
  </si>
  <si>
    <t>68131</t>
  </si>
  <si>
    <t>(402) 943-1338</t>
  </si>
  <si>
    <t>Teresa A. Paulsen</t>
  </si>
  <si>
    <t>Vice President, Corporate Communications - Kiewit</t>
  </si>
  <si>
    <t>Riaz</t>
  </si>
  <si>
    <t>Ali</t>
  </si>
  <si>
    <t>rali@scanhealthplan.com</t>
  </si>
  <si>
    <t>riaz_ali13@yahoo.com</t>
  </si>
  <si>
    <t>Chief Marketing Executive</t>
  </si>
  <si>
    <t>SCAN Health Plan</t>
  </si>
  <si>
    <t>3800 Kilroy Airport Way Ste 100 
Long Beach, CA 90806-6818 US</t>
  </si>
  <si>
    <t>Long Beach</t>
  </si>
  <si>
    <t>3800 Kilroy Airport Way Ste 100</t>
  </si>
  <si>
    <t>90806-6818</t>
  </si>
  <si>
    <t>(562) 989-5165</t>
  </si>
  <si>
    <t>(917) 447-8715</t>
  </si>
  <si>
    <t>Chief Marketing Executive - SCAN Health Plan</t>
  </si>
  <si>
    <t>Button Bell</t>
  </si>
  <si>
    <t>Katherine.Buttonbell@Emerson.com</t>
  </si>
  <si>
    <t>Senior Vice President and Chief Marketing Officer</t>
  </si>
  <si>
    <t>Emerson Electric</t>
  </si>
  <si>
    <t>8000 West Florissant Ave 
Saint Louis, MO 63136-1414 US</t>
  </si>
  <si>
    <t>8000 West Florissant Ave</t>
  </si>
  <si>
    <t>63136-1414</t>
  </si>
  <si>
    <t>314-553-3272</t>
  </si>
  <si>
    <t>Senior Vice President, Chief Marketing Officer - Enerson</t>
  </si>
  <si>
    <t>Call</t>
  </si>
  <si>
    <t>amy.callwell@ey.com</t>
  </si>
  <si>
    <t>Principal, Global External Communications &amp; Strategic Initiatives</t>
  </si>
  <si>
    <t>Ernst &amp; Young (EY)</t>
  </si>
  <si>
    <t>1101 New York Ave NW 
Washington, DC 20005-4269 US</t>
  </si>
  <si>
    <t>1101 New York Ave NW</t>
  </si>
  <si>
    <t>20005-4269</t>
  </si>
  <si>
    <t>202 327 6476</t>
  </si>
  <si>
    <t>Principal, Global External Communications &amp; Strategic Initiatives - EY</t>
  </si>
  <si>
    <t>Lez</t>
  </si>
  <si>
    <t>Cunningham</t>
  </si>
  <si>
    <t>lmclmc2222@gmail.com</t>
  </si>
  <si>
    <t>100 Ims Dr 
Parsippany, NJ 07054-2957 US</t>
  </si>
  <si>
    <t>100 Ims Dr</t>
  </si>
  <si>
    <t>07054-2957</t>
  </si>
  <si>
    <t>908-8-9-3847</t>
  </si>
  <si>
    <t>(909) 809-3847</t>
  </si>
  <si>
    <t>VP, Corporate Communications -IQVIA</t>
  </si>
  <si>
    <t>Whitney</t>
  </si>
  <si>
    <t>Eichinger</t>
  </si>
  <si>
    <t>whitneyeichinger@rockventures.com</t>
  </si>
  <si>
    <t>whitneyeichinger@gmail.com</t>
  </si>
  <si>
    <t>Rock Ventures LLC</t>
  </si>
  <si>
    <t>1074 Woodward Ave 
Detroit, MI 48226-1906 US</t>
  </si>
  <si>
    <t>1074 Woodward Ave</t>
  </si>
  <si>
    <t>48226-1906</t>
  </si>
  <si>
    <t>(313) 300-9233</t>
  </si>
  <si>
    <t>(214) 914-0982</t>
  </si>
  <si>
    <t>Vice President, Communications, Rock Ventures/Bedrock</t>
  </si>
  <si>
    <t>Ghassemi</t>
  </si>
  <si>
    <t>jghassemi@cerberuscapital.com</t>
  </si>
  <si>
    <t>jghassemi@gmail.com</t>
  </si>
  <si>
    <t>Cerberus Capital Management</t>
  </si>
  <si>
    <t>875 3rd Ave 
New York, NY 10022-6225 US</t>
  </si>
  <si>
    <t>875 3rd Ave</t>
  </si>
  <si>
    <t>10022-6225</t>
  </si>
  <si>
    <t>(646) 885-3806</t>
  </si>
  <si>
    <t>(917) 297-0346</t>
  </si>
  <si>
    <t>Chief Communications Officer - Cerberus Capital Management, L.P.</t>
  </si>
  <si>
    <t>Clay</t>
  </si>
  <si>
    <t>Helm</t>
  </si>
  <si>
    <t>ehelm@stubhub.com</t>
  </si>
  <si>
    <t>clay_helm@hotmail.com</t>
  </si>
  <si>
    <t>Director of Public Relations</t>
  </si>
  <si>
    <t>StubHub</t>
  </si>
  <si>
    <t>199 Fremont St Fl 4 
San Francisco, CA 94105-6634 US</t>
  </si>
  <si>
    <t>199 Fremont St Fl 4</t>
  </si>
  <si>
    <t>94105-6634</t>
  </si>
  <si>
    <t>(415) 580-3671</t>
  </si>
  <si>
    <t>(415) 613-0716</t>
  </si>
  <si>
    <t>Public Relations Director and Chief of Staff, Brand &amp; Communications - Autodesk</t>
  </si>
  <si>
    <t>Iams</t>
  </si>
  <si>
    <t>bryan.iams@ppg.com</t>
  </si>
  <si>
    <t>iamsbryan@gmail.com</t>
  </si>
  <si>
    <t>Vice President, Corporate and Government Affairs</t>
  </si>
  <si>
    <t>PPG Industries</t>
  </si>
  <si>
    <t>1 Ppg Pl 
Floor 36 
Pittsburgh, PA 15272-0001 US</t>
  </si>
  <si>
    <t>1 Ppg Pl</t>
  </si>
  <si>
    <t>Floor 36</t>
  </si>
  <si>
    <t>15272-0001</t>
  </si>
  <si>
    <t>412-434-2181</t>
  </si>
  <si>
    <t>412-266-1312</t>
  </si>
  <si>
    <t>Vice President, Corporate and Government Affairs -PPG</t>
  </si>
  <si>
    <t>Katie</t>
  </si>
  <si>
    <t>Ioanilli</t>
  </si>
  <si>
    <t>katie.ioanilli@ralphlauren.com</t>
  </si>
  <si>
    <t>Corporate SVP, Global Corporate Communications</t>
  </si>
  <si>
    <t>Ralph Lauren</t>
  </si>
  <si>
    <t>650 Madison Ave Fl 5 
New York, NY 10022-1070 US</t>
  </si>
  <si>
    <t>650 Madison Ave Fl 5</t>
  </si>
  <si>
    <t>10022-1070</t>
  </si>
  <si>
    <t>(212) 205-5947</t>
  </si>
  <si>
    <t>(917) 485-0764</t>
  </si>
  <si>
    <t>Stacey Tank</t>
  </si>
  <si>
    <t>SVP, Global Corporate Communications - Ralph Lauren</t>
  </si>
  <si>
    <t>Meron</t>
  </si>
  <si>
    <t>Sarah_Meron@gap.com</t>
  </si>
  <si>
    <t>55 Thomas St 
New York, NY 10013-3821 US</t>
  </si>
  <si>
    <t>55 Thomas St</t>
  </si>
  <si>
    <t>10013-3821</t>
  </si>
  <si>
    <t>(917) 727-2430</t>
  </si>
  <si>
    <t>Vice President, Corporate Affairs, Gap Inc.</t>
  </si>
  <si>
    <t>Musser</t>
  </si>
  <si>
    <t>phil.musser@boeing.com</t>
  </si>
  <si>
    <t>Boeing</t>
  </si>
  <si>
    <t>1196 Janneys Lane 
Alexandria, VA 22302 US</t>
  </si>
  <si>
    <t>1196 Janneys Lane</t>
  </si>
  <si>
    <t>22302</t>
  </si>
  <si>
    <t>(312) 544-2900</t>
  </si>
  <si>
    <t>SVP, Communications - The Boeing Company</t>
  </si>
  <si>
    <t>O'Looney</t>
  </si>
  <si>
    <t>michaelolooney@gmail.com</t>
  </si>
  <si>
    <t>Elliott Management Corporation</t>
  </si>
  <si>
    <t>40 W 57th St 
New York, NY 10019-4001 US</t>
  </si>
  <si>
    <t>40 W 57th St</t>
  </si>
  <si>
    <t>10019-4001</t>
  </si>
  <si>
    <t>(212) 478-2687</t>
  </si>
  <si>
    <t>Zeynep</t>
  </si>
  <si>
    <t>Ozbil</t>
  </si>
  <si>
    <t>zeynep.ozbil@arcelik.com</t>
  </si>
  <si>
    <t>Global Head of Communications</t>
  </si>
  <si>
    <t>Arçelik Group</t>
  </si>
  <si>
    <t>Karaagac Caddesi No 2-6 
SÃ¼tlÃ¼ce Istanbul, 34445 TR</t>
  </si>
  <si>
    <t>SÃ¼tlÃ¼ce Istanbul</t>
  </si>
  <si>
    <t>TR</t>
  </si>
  <si>
    <t>Turkey</t>
  </si>
  <si>
    <t>Karaagac Caddesi No 2-6</t>
  </si>
  <si>
    <t>34445</t>
  </si>
  <si>
    <t>90 532 6331371</t>
  </si>
  <si>
    <t>Matt Peacock</t>
  </si>
  <si>
    <t>Global Head of Communications - Arcelik Group</t>
  </si>
  <si>
    <t>Bea</t>
  </si>
  <si>
    <t>Beatriz</t>
  </si>
  <si>
    <t>Perez</t>
  </si>
  <si>
    <t>beaperez@coca-cola.com</t>
  </si>
  <si>
    <t>SVP, Chief Public Affairs, Communications and Sustainability Officer</t>
  </si>
  <si>
    <t>Coca-Cola</t>
  </si>
  <si>
    <t>One Coca-Cola Plaza 
Atlanta, GA 30313 US</t>
  </si>
  <si>
    <t>One Coca-Cola Plaza</t>
  </si>
  <si>
    <t>30313</t>
  </si>
  <si>
    <t>404 676 7131</t>
  </si>
  <si>
    <t>SVP, Chief Public Affairs, Communications and Sustainability Officer - The Coca-Cola Company</t>
  </si>
  <si>
    <t>Lars</t>
  </si>
  <si>
    <t>Rosene</t>
  </si>
  <si>
    <t>lrosene@flowserve.com</t>
  </si>
  <si>
    <t>VP, Corporate &amp; Marketing Communications</t>
  </si>
  <si>
    <t>Flowserve</t>
  </si>
  <si>
    <t>5215 N O Connor Blvd Ste 2300 
Irving, TX 75039-3726 US</t>
  </si>
  <si>
    <t>5215 N O Connor Blvd Ste 2300</t>
  </si>
  <si>
    <t>75039-3726</t>
  </si>
  <si>
    <t>972 443 6644</t>
  </si>
  <si>
    <t>Chris Chiames</t>
  </si>
  <si>
    <t>VP, Corporate &amp; Marketing Communications - Flowserve Corporation</t>
  </si>
  <si>
    <t>Stanzel</t>
  </si>
  <si>
    <t>scott.stanzel@capitalone.com</t>
  </si>
  <si>
    <t>Managing Vice President, Corporate Communications</t>
  </si>
  <si>
    <t>1680 Capital One Dr 
Mclean, VA 22102-3407 US</t>
  </si>
  <si>
    <t>Mclean</t>
  </si>
  <si>
    <t>1680 Capital One Dr</t>
  </si>
  <si>
    <t>22102-3407</t>
  </si>
  <si>
    <t>703-720-2263</t>
  </si>
  <si>
    <t>Richard A. Woods</t>
  </si>
  <si>
    <t>Managing Vice President, Corporate Communications - Capital One</t>
  </si>
  <si>
    <t>Staub</t>
  </si>
  <si>
    <t>andrea.staub@perdue.com</t>
  </si>
  <si>
    <t>Senior VP, Corporate Communications</t>
  </si>
  <si>
    <t>Perdue Farms</t>
  </si>
  <si>
    <t>31149 Old Ocean City Rd 
Salisbury, MD 21804-1806 US</t>
  </si>
  <si>
    <t>Salisbury</t>
  </si>
  <si>
    <t>31149 Old Ocean City Rd</t>
  </si>
  <si>
    <t>21804-1806</t>
  </si>
  <si>
    <t>(410) 251-7142</t>
  </si>
  <si>
    <t>Carrie Kurlander</t>
  </si>
  <si>
    <t>Wendy Watkins</t>
  </si>
  <si>
    <t>Senior VP, Corporate Communications - Perdue Farms</t>
  </si>
  <si>
    <t>Von Arronet</t>
  </si>
  <si>
    <t>martin.vonarronet@electrolux.com</t>
  </si>
  <si>
    <t>martin.vonarronet@gmail.com</t>
  </si>
  <si>
    <t>AB Electrolux</t>
  </si>
  <si>
    <t>AB Electrolux, S:t GÃ¶ransgatan 143 
Stadshagen 
Stockholm, SE-105 45 SE</t>
  </si>
  <si>
    <t>AB Electrolux, S:t GÃ¶ransgatan 143</t>
  </si>
  <si>
    <t>Stadshagen</t>
  </si>
  <si>
    <t>SE-105 45</t>
  </si>
  <si>
    <t>+46 76 884 5224</t>
  </si>
  <si>
    <t>SVP Communications - Electrolux</t>
  </si>
  <si>
    <t>Waldmann</t>
  </si>
  <si>
    <t>daniel.waldmann@tenethealth.com</t>
  </si>
  <si>
    <t>Tenet Healthcare Corporation</t>
  </si>
  <si>
    <t>1445 Ross Ave 
14th Floor 
Dallas, TX 75202-2711 US</t>
  </si>
  <si>
    <t>1445 Ross Ave</t>
  </si>
  <si>
    <t>14th Floor</t>
  </si>
  <si>
    <t>75202-2711</t>
  </si>
  <si>
    <t>(469) 893-2549</t>
  </si>
  <si>
    <t>SVP, Public Affairs - Tenet Healthcare Corporation</t>
  </si>
  <si>
    <t>Curtis</t>
  </si>
  <si>
    <t>gcurtis@horizonpharma.com</t>
  </si>
  <si>
    <t>geoffcurtis1@sbcglobal.net</t>
  </si>
  <si>
    <t>SVP, Corporate Affairs and CCO</t>
  </si>
  <si>
    <t>Horizon Pharma plc.</t>
  </si>
  <si>
    <t>150 Saunders Rd 
Lake Forest, IL 60045-2509 US</t>
  </si>
  <si>
    <t>150 Saunders Rd</t>
  </si>
  <si>
    <t>60045-2509</t>
  </si>
  <si>
    <t>(224) 383-3333</t>
  </si>
  <si>
    <t>(312) 550-8138</t>
  </si>
  <si>
    <t>SVP, Corporate Affairs and CCO - Horizon Pharma Plc.</t>
  </si>
  <si>
    <t>Stacie</t>
  </si>
  <si>
    <t>Sherer</t>
  </si>
  <si>
    <t>stacie.sherer@weightwatchers.com</t>
  </si>
  <si>
    <t>Weight Watchers International, Inc.</t>
  </si>
  <si>
    <t>675 Avenue Of The Americas Fl 6 
New York, NY 10010-5117 US</t>
  </si>
  <si>
    <t>675 Avenue Of The Americas Fl 6</t>
  </si>
  <si>
    <t>10010-5117</t>
  </si>
  <si>
    <t>(212) 589-2737</t>
  </si>
  <si>
    <t>Margaret Booth</t>
  </si>
  <si>
    <t>Senior Vice President, Corporate Communications - Weight Watchers International, Inc.</t>
  </si>
  <si>
    <t>Vince</t>
  </si>
  <si>
    <t>Sollitto</t>
  </si>
  <si>
    <t>vince@yelp.com</t>
  </si>
  <si>
    <t>Senior Vice President, Global Policy &amp; Communications</t>
  </si>
  <si>
    <t>Yelp, Inc.</t>
  </si>
  <si>
    <t>140 New Montgomery St Fl 9 
San Francisco, CA 94105-3705 US</t>
  </si>
  <si>
    <t>140 New Montgomery St Fl 9</t>
  </si>
  <si>
    <t>94105-3705</t>
  </si>
  <si>
    <t>415 230-6506</t>
  </si>
  <si>
    <t>6506447288</t>
  </si>
  <si>
    <t>Margita Thompson</t>
  </si>
  <si>
    <t>SeniorÂ ViceÂ President,Â Communications &amp; Public Policy -</t>
  </si>
  <si>
    <t>Dustin</t>
  </si>
  <si>
    <t>Supa</t>
  </si>
  <si>
    <t>supa@bu.edu</t>
  </si>
  <si>
    <t>dustin.supa@gmail.com</t>
  </si>
  <si>
    <t>Associate Dean/Associate Professor</t>
  </si>
  <si>
    <t>640 Commonwealth Ave 
Boston, MA 02215-2422 US</t>
  </si>
  <si>
    <t>640 Commonwealth Ave</t>
  </si>
  <si>
    <t>02215-2422</t>
  </si>
  <si>
    <t>(617) 358-6683</t>
  </si>
  <si>
    <t>(786) 280-9650</t>
  </si>
  <si>
    <t>Associate Dean/Associate Professor - Boston University</t>
  </si>
  <si>
    <t>Regitze</t>
  </si>
  <si>
    <t>Reeh</t>
  </si>
  <si>
    <t>rr@lundbeckfonden.com</t>
  </si>
  <si>
    <t>Director of Communications &amp; Public Affairs</t>
  </si>
  <si>
    <t>Scherfigsvej 7 
Copenhagen, DK-2100 DK</t>
  </si>
  <si>
    <t>Copenhagen</t>
  </si>
  <si>
    <t>Scherfigsvej 7</t>
  </si>
  <si>
    <t>DK-2100</t>
  </si>
  <si>
    <t>(453) 054-6608</t>
  </si>
  <si>
    <t>Director of Communications - The Lundbeck Foundation - Lundbeckfonden</t>
  </si>
  <si>
    <t>Chip</t>
  </si>
  <si>
    <t>Swearngan</t>
  </si>
  <si>
    <t>cswearngan@westlake.com</t>
  </si>
  <si>
    <t>chipmvnt@yahoo.com</t>
  </si>
  <si>
    <t>Head, Corporate Communications &amp; Government Relations</t>
  </si>
  <si>
    <t>Westlake Chemical</t>
  </si>
  <si>
    <t>2801 Post Oak Blvd, Ste 600 
Houston, TX 77056 US</t>
  </si>
  <si>
    <t>2801 Post Oak Blvd, Ste 600</t>
  </si>
  <si>
    <t>77056</t>
  </si>
  <si>
    <t>713-585-7976</t>
  </si>
  <si>
    <t>1-770-940-6920</t>
  </si>
  <si>
    <t>Senior Vice President, Global Communications and Investor Relations, First Data</t>
  </si>
  <si>
    <t>Hetzel</t>
  </si>
  <si>
    <t>ahetzel@bcbsm.com</t>
  </si>
  <si>
    <t>BlueCross BlueShield of Michigan</t>
  </si>
  <si>
    <t>600 East Lafayette Blvd. 
Detroit, MI 48226 US</t>
  </si>
  <si>
    <t>600 East Lafayette Blvd.</t>
  </si>
  <si>
    <t>48226</t>
  </si>
  <si>
    <t>313-225-6211</t>
  </si>
  <si>
    <t>313-983-2700</t>
  </si>
  <si>
    <t>Leilani</t>
  </si>
  <si>
    <t>leilanibrown@yahoo.com</t>
  </si>
  <si>
    <t>Vice President and Chief Marketing Officer</t>
  </si>
  <si>
    <t>Starr Companies</t>
  </si>
  <si>
    <t>399 Park Ave Fl 8 
New York, NY 10022-4877 US</t>
  </si>
  <si>
    <t>399 Park Ave Fl 8</t>
  </si>
  <si>
    <t>10022-4877</t>
  </si>
  <si>
    <t>(646) 227-6727</t>
  </si>
  <si>
    <t>917.607.5144</t>
  </si>
  <si>
    <t>Vice President and Chief Marketing Officer - Starr Companies</t>
  </si>
  <si>
    <t>Clendening</t>
  </si>
  <si>
    <t>john.clendening@unisys.com</t>
  </si>
  <si>
    <t>john.clendening@yahoo.com</t>
  </si>
  <si>
    <t>Unisys</t>
  </si>
  <si>
    <t>6510 Northwood Rd 
Dallas, TX 75225-2611 US</t>
  </si>
  <si>
    <t>6510 Northwood Rd</t>
  </si>
  <si>
    <t>75225-2611</t>
  </si>
  <si>
    <t>(214) 403-1981</t>
  </si>
  <si>
    <t>Vice President, Communications - UNISYS</t>
  </si>
  <si>
    <t>Morten</t>
  </si>
  <si>
    <t>Dyrholm</t>
  </si>
  <si>
    <t>modyr@vestas.com</t>
  </si>
  <si>
    <t>GSVP Marketing, Communications and Public Affairs</t>
  </si>
  <si>
    <t>Vestas Wind System</t>
  </si>
  <si>
    <t>Ã˜restads Boulevard 108 
DK-2300 Copenhagen S 
Copenhagen, DK-2300 DK</t>
  </si>
  <si>
    <t>Ã˜restads Boulevard 108</t>
  </si>
  <si>
    <t>DK-2300 Copenhagen S</t>
  </si>
  <si>
    <t>DK-2300</t>
  </si>
  <si>
    <t>+45 4112 2807</t>
  </si>
  <si>
    <t>GSVP Marketing, Communications and Public Affairs - Vestas Wind System A/S</t>
  </si>
  <si>
    <t>Trent</t>
  </si>
  <si>
    <t>Frager</t>
  </si>
  <si>
    <t>trent.frager@farmersinsurance.com</t>
  </si>
  <si>
    <t>Head of Public Relations/External Communications</t>
  </si>
  <si>
    <t>6301 Owensmouth Ave Fl 10 
Woodland Hills, CA 91367-2216 US</t>
  </si>
  <si>
    <t>Woodland Hills</t>
  </si>
  <si>
    <t>6301 Owensmouth Ave Fl 10</t>
  </si>
  <si>
    <t>91367-2216</t>
  </si>
  <si>
    <t>(323) 240-7930</t>
  </si>
  <si>
    <t>(818) 965-0016</t>
  </si>
  <si>
    <t>Megan Jordan</t>
  </si>
  <si>
    <t>Head/VP of Public Relations - Farmers Insurance</t>
  </si>
  <si>
    <t>karen.kahn@hp.com</t>
  </si>
  <si>
    <t>HP</t>
  </si>
  <si>
    <t>1501 Page Mill Rd 
Building 4 
Palo Alto, CA 94304-1126 US</t>
  </si>
  <si>
    <t>1501 Page Mill Rd</t>
  </si>
  <si>
    <t>Building 4</t>
  </si>
  <si>
    <t>94304-1126</t>
  </si>
  <si>
    <t>415.297.5035</t>
  </si>
  <si>
    <t>650 236 8462</t>
  </si>
  <si>
    <t>Chief Communications Officer - HP Inc.</t>
  </si>
  <si>
    <t>Lange</t>
  </si>
  <si>
    <t>tomlange@up.com</t>
  </si>
  <si>
    <t>AVP, Corporate Communications</t>
  </si>
  <si>
    <t>1400 Douglas St Stop 1550 
STOP 1550 
Omaha, NE 68179-1001 US</t>
  </si>
  <si>
    <t>1400 Douglas St Stop 1550</t>
  </si>
  <si>
    <t>STOP 1550</t>
  </si>
  <si>
    <t>68179-1001</t>
  </si>
  <si>
    <t>(402) 544-3560</t>
  </si>
  <si>
    <t>AVP, Corporate Communications - Union Pacific Railroad</t>
  </si>
  <si>
    <t>Leadem</t>
  </si>
  <si>
    <t>Kelly.Leadem@bsci.com</t>
  </si>
  <si>
    <t>VP, Global Corporate Communications</t>
  </si>
  <si>
    <t>Boston Scientific</t>
  </si>
  <si>
    <t>300 Boston Scientific Way 
Marlborough, MA 01752-1291 US</t>
  </si>
  <si>
    <t>300 Boston Scientific Way</t>
  </si>
  <si>
    <t>01752-1291</t>
  </si>
  <si>
    <t>(508) 683-5543</t>
  </si>
  <si>
    <t>(973) 713-6924</t>
  </si>
  <si>
    <t>VP, Global Corporate Communications - Boston Scientific</t>
  </si>
  <si>
    <t>Kellie</t>
  </si>
  <si>
    <t>Szabo</t>
  </si>
  <si>
    <t>kellie.szabo@uscellular.com</t>
  </si>
  <si>
    <t>Director of Media Relations</t>
  </si>
  <si>
    <t>U.S. Cellular</t>
  </si>
  <si>
    <t>8410 W Bryn Mawr Ave Ste 700 
Suite 700 
Chicago, IL 60631-3463 US</t>
  </si>
  <si>
    <t>8410 W Bryn Mawr Ave Ste 700</t>
  </si>
  <si>
    <t>60631-3463</t>
  </si>
  <si>
    <t>773-355-3307</t>
  </si>
  <si>
    <t>773-216-5133</t>
  </si>
  <si>
    <t>Director of Media Relations - U.S. Cellular</t>
  </si>
  <si>
    <t>Curnutte</t>
  </si>
  <si>
    <t>katiec@zillowgroup.com</t>
  </si>
  <si>
    <t>VP,Â CommunicationsÂ &amp;Â PublicÂ Affairs</t>
  </si>
  <si>
    <t>Zillow Group</t>
  </si>
  <si>
    <t>1301 2nd Ave 
Seattle, WA 98101-3800 US</t>
  </si>
  <si>
    <t>1301 2nd Ave</t>
  </si>
  <si>
    <t>98101-3800</t>
  </si>
  <si>
    <t>(617) 640-9765</t>
  </si>
  <si>
    <t>(206) 757-2785</t>
  </si>
  <si>
    <t>Dawn Lyon</t>
  </si>
  <si>
    <t>VP,Â CommsÂ &amp;Â PublicÂ Affairs - Zillow Group</t>
  </si>
  <si>
    <t>Huller</t>
  </si>
  <si>
    <t>Kristi.Huller@kkr.com</t>
  </si>
  <si>
    <t>Managing Director/Head of Marketing and Communications</t>
  </si>
  <si>
    <t>KKR</t>
  </si>
  <si>
    <t>9 W 57th St Ste 4200 
New York, NY 10019-2707 US</t>
  </si>
  <si>
    <t>9 W 57th St Ste 4200</t>
  </si>
  <si>
    <t>10019-2707</t>
  </si>
  <si>
    <t>212-230-9722</t>
  </si>
  <si>
    <t>Managing Director/Head of Marketing and Communications  - KKR &amp; Co. L.P.</t>
  </si>
  <si>
    <t>Karina</t>
  </si>
  <si>
    <t>Keisler</t>
  </si>
  <si>
    <t>karinakeisler@yahoo.com.au</t>
  </si>
  <si>
    <t>karina.keisler@yahoo.com.au</t>
  </si>
  <si>
    <t>Executive General Manager of Public Affairs</t>
  </si>
  <si>
    <t>Cricket Australia</t>
  </si>
  <si>
    <t>100 Arthur St 
NSW 2060 
North Sydney, NSW 2060 AU</t>
  </si>
  <si>
    <t>North Sydney</t>
  </si>
  <si>
    <t>100 Arthur St</t>
  </si>
  <si>
    <t>NSW 2060</t>
  </si>
  <si>
    <t>(041) 952-3023</t>
  </si>
  <si>
    <t>Chief Corporate Affairs Officer - NBN Co Limited</t>
  </si>
  <si>
    <t>Bleeker</t>
  </si>
  <si>
    <t>ableeker@bpimedia.com</t>
  </si>
  <si>
    <t>President &amp; Founder</t>
  </si>
  <si>
    <t>Bully Pulpit Interactive</t>
  </si>
  <si>
    <t>1140 Connecticut Ave NW Ste 800 
Washington, DC 20036-4010 US</t>
  </si>
  <si>
    <t>1140 Connecticut Ave NW Ste 800</t>
  </si>
  <si>
    <t>20036-4010</t>
  </si>
  <si>
    <t>(202) 331-0052</t>
  </si>
  <si>
    <t>(703) 919-2146</t>
  </si>
  <si>
    <t>Jonathan C. Banner</t>
  </si>
  <si>
    <t>President &amp; Founder - Bully Pulpit Interactive</t>
  </si>
  <si>
    <t>brownks@hhmi.org</t>
  </si>
  <si>
    <t>Chief of Communications</t>
  </si>
  <si>
    <t>Howard Hughes Medical Institute</t>
  </si>
  <si>
    <t>4000 Jones Bridge Rd 
Chevy Chase, MD 20815-6720 US</t>
  </si>
  <si>
    <t>Chevy Chase</t>
  </si>
  <si>
    <t>4000 Jones Bridge Rd</t>
  </si>
  <si>
    <t>20815-6720</t>
  </si>
  <si>
    <t>301-215-8815</t>
  </si>
  <si>
    <t>(202)251-8453</t>
  </si>
  <si>
    <t>Mark Henderson</t>
  </si>
  <si>
    <t>Chief of Communications - Howard Hughes Medical Institute</t>
  </si>
  <si>
    <t>Steffen</t>
  </si>
  <si>
    <t>Pierini</t>
  </si>
  <si>
    <t>Lüders</t>
  </si>
  <si>
    <t>SPLS@novo.dk</t>
  </si>
  <si>
    <t>Head of Communication &amp; Stakeholder Relations</t>
  </si>
  <si>
    <t>The Novo Nordisk Foundation</t>
  </si>
  <si>
    <t>Tuborg Havnevej 9 
Tuborg Havnevej 9 2900 Hellerup 
Hellerup, 2900 DK</t>
  </si>
  <si>
    <t>Hellerup</t>
  </si>
  <si>
    <t>Tuborg Havnevej 9</t>
  </si>
  <si>
    <t>Tuborg Havnevej 9 2900 Hellerup</t>
  </si>
  <si>
    <t>2900</t>
  </si>
  <si>
    <t>(452) 672-8050</t>
  </si>
  <si>
    <t>Head of Communication &amp; Stakeholder Relations - The Novo Nordisk Foundation</t>
  </si>
  <si>
    <t>Stefan</t>
  </si>
  <si>
    <t>Schott</t>
  </si>
  <si>
    <t>stefan.schott@bosch-stiftung.de</t>
  </si>
  <si>
    <t>Head of Strategic Communications</t>
  </si>
  <si>
    <t>Robert Bosch Stiftung</t>
  </si>
  <si>
    <t>Heidehofstrasse 31 
Stuttgart, 70184 DE</t>
  </si>
  <si>
    <t>Stuttgart</t>
  </si>
  <si>
    <t>Heidehofstrasse 31</t>
  </si>
  <si>
    <t>70184</t>
  </si>
  <si>
    <t>+4971146084600</t>
  </si>
  <si>
    <t>(498) 939-7181</t>
  </si>
  <si>
    <t>Head of Strategic Communications - Robert Bosch Stiftung</t>
  </si>
  <si>
    <t>Dana</t>
  </si>
  <si>
    <t>Dana J.</t>
  </si>
  <si>
    <t>Bolden</t>
  </si>
  <si>
    <t>dana.j.bolden@dupont.com</t>
  </si>
  <si>
    <t>Chief Communications Officer, Agriculture Division</t>
  </si>
  <si>
    <t>974 Centre Rd 
Wilmington, DE 19805-1269 US</t>
  </si>
  <si>
    <t>Wilmington</t>
  </si>
  <si>
    <t>974 Centre Rd</t>
  </si>
  <si>
    <t>19805-1269</t>
  </si>
  <si>
    <t>(302) 528-6866</t>
  </si>
  <si>
    <t>Timothy</t>
  </si>
  <si>
    <t>Penning</t>
  </si>
  <si>
    <t>penningt@gvsu.edu</t>
  </si>
  <si>
    <t>Professor of Advertising and Public Relations</t>
  </si>
  <si>
    <t>Grand Valley State University</t>
  </si>
  <si>
    <t>1 Campus Dr 
124 Lake Superior Hall 
Allendale, MI 49401-9401 US</t>
  </si>
  <si>
    <t>Allendale</t>
  </si>
  <si>
    <t>1 Campus Dr</t>
  </si>
  <si>
    <t>124 Lake Superior Hall</t>
  </si>
  <si>
    <t>49401-9401</t>
  </si>
  <si>
    <t>(616) 331-3478</t>
  </si>
  <si>
    <t>Blecher</t>
  </si>
  <si>
    <t>andrew.blecher@hbc.com</t>
  </si>
  <si>
    <t>Hudson's Bay Company (HBC)</t>
  </si>
  <si>
    <t>225 Liberty St 
New York, NY 10281-1048 US</t>
  </si>
  <si>
    <t>225 Liberty St</t>
  </si>
  <si>
    <t>10281-1048</t>
  </si>
  <si>
    <t>(646) 802-4030</t>
  </si>
  <si>
    <t>(347) 920-7923</t>
  </si>
  <si>
    <t>Jerilan Greene</t>
  </si>
  <si>
    <t>Peter McDermott</t>
  </si>
  <si>
    <t>Brandon</t>
  </si>
  <si>
    <t>Borrman</t>
  </si>
  <si>
    <t>b.borrman.76@gmail.com</t>
  </si>
  <si>
    <t>Twitter</t>
  </si>
  <si>
    <t>1355 Market St 
San Francisco, CA 94103-1307 US</t>
  </si>
  <si>
    <t>1355 Market St</t>
  </si>
  <si>
    <t>94103-1307</t>
  </si>
  <si>
    <t>(206) 669-0261</t>
  </si>
  <si>
    <t>Aba</t>
  </si>
  <si>
    <t>Blankson</t>
  </si>
  <si>
    <t>ablankson@naacpnet.org</t>
  </si>
  <si>
    <t>agblankson@gmail.com</t>
  </si>
  <si>
    <t>Vice President, Communications and Digital Media</t>
  </si>
  <si>
    <t>NAACP</t>
  </si>
  <si>
    <t>4805 Mount Hope Dr 
Baltimore, MD 21215-3206 US</t>
  </si>
  <si>
    <t>Baltimore</t>
  </si>
  <si>
    <t>4805 Mount Hope Dr</t>
  </si>
  <si>
    <t>21215-3206</t>
  </si>
  <si>
    <t>(410) 580-5658</t>
  </si>
  <si>
    <t>Anke</t>
  </si>
  <si>
    <t>Schmidt</t>
  </si>
  <si>
    <t>Anke.schmidt@basf.com</t>
  </si>
  <si>
    <t>SVP, Corp. Comms &amp; Gov. Relations</t>
  </si>
  <si>
    <t>BASF SE</t>
  </si>
  <si>
    <t>COM-C100 
Ludwigshafen, 67056 DE</t>
  </si>
  <si>
    <t>Ludwigshafen</t>
  </si>
  <si>
    <t>COM-C100</t>
  </si>
  <si>
    <t>67056</t>
  </si>
  <si>
    <t>+49 621 60 21487</t>
  </si>
  <si>
    <t>Soellner</t>
  </si>
  <si>
    <t>anna@reddit.com</t>
  </si>
  <si>
    <t>annasoellner@gmail.com</t>
  </si>
  <si>
    <t>Reddit</t>
  </si>
  <si>
    <t>420 Taylor St   
San Francisco, CA 94102-1702 US</t>
  </si>
  <si>
    <t>420 Taylor St</t>
  </si>
  <si>
    <t>94102-1702</t>
  </si>
  <si>
    <t>(202) 215-8916</t>
  </si>
  <si>
    <t>Bay</t>
  </si>
  <si>
    <t>Warburton</t>
  </si>
  <si>
    <t>bay.warburton@mirvac.com</t>
  </si>
  <si>
    <t>warburton@pobox.com</t>
  </si>
  <si>
    <t>Head of Stakeholder Relations</t>
  </si>
  <si>
    <t>Mirvac Group</t>
  </si>
  <si>
    <t>200 George Street 
Level 28 
Sydney, NSW 2000 AU</t>
  </si>
  <si>
    <t>200 George Street</t>
  </si>
  <si>
    <t>Level 28</t>
  </si>
  <si>
    <t>NSW 2000</t>
  </si>
  <si>
    <t>9080 8255</t>
  </si>
  <si>
    <t>Jason Laird</t>
  </si>
  <si>
    <t>CarrieDavis@LiveNation.com</t>
  </si>
  <si>
    <t>Live Nation Entertainment</t>
  </si>
  <si>
    <t>9348 Civic Center Dr 
Beverly Hills, CA 90210-3621 US</t>
  </si>
  <si>
    <t>9348 Civic Center Dr</t>
  </si>
  <si>
    <t>90210-3621</t>
  </si>
  <si>
    <t>(310) 975-6941</t>
  </si>
  <si>
    <t>Heather Rim</t>
  </si>
  <si>
    <t>Reid</t>
  </si>
  <si>
    <t>creid@mmgyglobal.com</t>
  </si>
  <si>
    <t>MMGY Global</t>
  </si>
  <si>
    <t>360 Lexington Ave Fl 10  
New York, NY 10017-6557 US</t>
  </si>
  <si>
    <t>360 Lexington Ave Fl 10</t>
  </si>
  <si>
    <t>10017-6557</t>
  </si>
  <si>
    <t>(816) 300-5104</t>
  </si>
  <si>
    <t>Birkett Rakow</t>
  </si>
  <si>
    <t>diana.birkett.rakow@alaskaair.com</t>
  </si>
  <si>
    <t>VP, External Relations</t>
  </si>
  <si>
    <t>19300 International Blvd 
Seattle, WA 98188-5304 US</t>
  </si>
  <si>
    <t>19300 International Blvd</t>
  </si>
  <si>
    <t>98188-5304</t>
  </si>
  <si>
    <t>(206) 419-3698</t>
  </si>
  <si>
    <t>Donna Uchida</t>
  </si>
  <si>
    <t>Emile</t>
  </si>
  <si>
    <t>LeeE@DNB.com</t>
  </si>
  <si>
    <t>SVP, Head of Global Comms</t>
  </si>
  <si>
    <t>Dun &amp; Bradstreet</t>
  </si>
  <si>
    <t>103 John F Kennedy Pkwy 
Short Hills, NJ 07078-2708 US</t>
  </si>
  <si>
    <t>Short Hills</t>
  </si>
  <si>
    <t>103 John F Kennedy Pkwy</t>
  </si>
  <si>
    <t>07078-2708</t>
  </si>
  <si>
    <t>(610) 850-3187</t>
  </si>
  <si>
    <t>Grace T.</t>
  </si>
  <si>
    <t>Leong</t>
  </si>
  <si>
    <t>gleong@hunterpr.com</t>
  </si>
  <si>
    <t>CEO &amp; Partner</t>
  </si>
  <si>
    <t>Hunter Public Relations</t>
  </si>
  <si>
    <t>41 Madison Ave 
New York, NY 10010-2202 US</t>
  </si>
  <si>
    <t>41 Madison Ave</t>
  </si>
  <si>
    <t>10010-2202</t>
  </si>
  <si>
    <t>(212) 679-6600</t>
  </si>
  <si>
    <t>Gregg</t>
  </si>
  <si>
    <t>Rosenberg</t>
  </si>
  <si>
    <t>gregg.rosenberg@broadridge.com</t>
  </si>
  <si>
    <t>Broadridge Financial Solutions</t>
  </si>
  <si>
    <t>1 Park Ave Fl 12 
New York, NY 10016-5820 US</t>
  </si>
  <si>
    <t>1 Park Ave Fl 12</t>
  </si>
  <si>
    <t>10016-5820</t>
  </si>
  <si>
    <t>(212) 918-6966</t>
  </si>
  <si>
    <t>Gregor</t>
  </si>
  <si>
    <t>Halff</t>
  </si>
  <si>
    <t>gh.edu@cbs.dk</t>
  </si>
  <si>
    <t>Dean of Education, Professor of Corporate Communication</t>
  </si>
  <si>
    <t>Copenhagen Business School</t>
  </si>
  <si>
    <t>Copenhagen Business School 
Kilevej 14 
Frederiksberg, 2000 DK</t>
  </si>
  <si>
    <t>Frederiksberg</t>
  </si>
  <si>
    <t>Kilevej 14</t>
  </si>
  <si>
    <t>(453) 815-5858</t>
  </si>
  <si>
    <t>Vilma Luoma-aho</t>
  </si>
  <si>
    <t>Katerina Tsetsura</t>
  </si>
  <si>
    <t>Mascott</t>
  </si>
  <si>
    <t>jmascott@adfero.com</t>
  </si>
  <si>
    <t>Adfero Group</t>
  </si>
  <si>
    <t>1101 15th St NW Fl 5 
Washington, DC 20005-5002 US</t>
  </si>
  <si>
    <t>1101 15th St NW Fl 5</t>
  </si>
  <si>
    <t>20005-5002</t>
  </si>
  <si>
    <t>(202) 333-4444</t>
  </si>
  <si>
    <t>J.J.</t>
  </si>
  <si>
    <t>jj.johnson@fmr.com</t>
  </si>
  <si>
    <t>Executive Vice President, Chief Communications Officer</t>
  </si>
  <si>
    <t>Fidelity Investments Inc.</t>
  </si>
  <si>
    <t>325 7th St NW Ste 650 
Washington, DC 20004-2824 US</t>
  </si>
  <si>
    <t>325 7th St NW Ste 650</t>
  </si>
  <si>
    <t>20004-2824</t>
  </si>
  <si>
    <t>(202) 378-5606</t>
  </si>
  <si>
    <t>Silber</t>
  </si>
  <si>
    <t>laura.silber@opensocietyfoundations.org</t>
  </si>
  <si>
    <t>Open Society Foundations</t>
  </si>
  <si>
    <t>400 W 59th St 
New York, NY 10019-8023 US</t>
  </si>
  <si>
    <t>400 W 59th St</t>
  </si>
  <si>
    <t>10019-8023</t>
  </si>
  <si>
    <t>(212) 548-0640</t>
  </si>
  <si>
    <t>(917) 545-5316</t>
  </si>
  <si>
    <t>Harrington</t>
  </si>
  <si>
    <t>lharrington@agl.com.au</t>
  </si>
  <si>
    <t>Executive General Manager, Stakeholder Relations</t>
  </si>
  <si>
    <t>AGL Energy Ltd</t>
  </si>
  <si>
    <t>200 George Street, Lvl 2 
Sydney, NSW 2000 AU</t>
  </si>
  <si>
    <t>200 George Street, Lvl 2</t>
  </si>
  <si>
    <t>(040) 672-6880</t>
  </si>
  <si>
    <t>lphillips@rgare.com</t>
  </si>
  <si>
    <t>Reinsurance Group of America, Incorporated</t>
  </si>
  <si>
    <t>16600 Swingley Ridge Rd 
Chesterfield, MO 63017-1706 US</t>
  </si>
  <si>
    <t>Chesterfield</t>
  </si>
  <si>
    <t>16600 Swingley Ridge Rd</t>
  </si>
  <si>
    <t>63017-1706</t>
  </si>
  <si>
    <t>(636) 736-2451</t>
  </si>
  <si>
    <t>Rush</t>
  </si>
  <si>
    <t>prush@kellencompany.com</t>
  </si>
  <si>
    <t>Kellen</t>
  </si>
  <si>
    <t>355 Lexington Ave 
New York, NY 10017-6603 US</t>
  </si>
  <si>
    <t>355 Lexington Ave</t>
  </si>
  <si>
    <t>10017-6603</t>
  </si>
  <si>
    <t>(212) 297-2101</t>
  </si>
  <si>
    <t>Philip A.</t>
  </si>
  <si>
    <t>Nardone Jr.</t>
  </si>
  <si>
    <t>pnardone@pancomm.com</t>
  </si>
  <si>
    <t>PAN Communications</t>
  </si>
  <si>
    <t>255 State St 
Boston, MA 02109-2617 US</t>
  </si>
  <si>
    <t>255 State St</t>
  </si>
  <si>
    <t>02109-2617</t>
  </si>
  <si>
    <t>(617) 502-4301</t>
  </si>
  <si>
    <t>Reggie</t>
  </si>
  <si>
    <t>Birkett</t>
  </si>
  <si>
    <t>reggie.walker@pwc.com</t>
  </si>
  <si>
    <t>Chief Commercial Officer</t>
  </si>
  <si>
    <t>PricewaterhouseCoopers (PwC)</t>
  </si>
  <si>
    <t>1075  Peachtree St  STE 2600 
Office 30024 
Atlanta, GA 30309-3969 US</t>
  </si>
  <si>
    <t>1075  Peachtree St  STE 2600</t>
  </si>
  <si>
    <t>Office 30024</t>
  </si>
  <si>
    <t>30309-3969</t>
  </si>
  <si>
    <t>(678) 419-1828</t>
  </si>
  <si>
    <t>VP, External Relations - Alaska Airlines</t>
  </si>
  <si>
    <t>sobrien@tesla.com</t>
  </si>
  <si>
    <t>VP of Communications</t>
  </si>
  <si>
    <t>Tesla</t>
  </si>
  <si>
    <t>3500 Deer Creek Rd 
Palo Alto, CA 94304-1317 US</t>
  </si>
  <si>
    <t>3500 Deer Creek Rd</t>
  </si>
  <si>
    <t>94304-1317</t>
  </si>
  <si>
    <t>(408) 623-0700</t>
  </si>
  <si>
    <t>Teri</t>
  </si>
  <si>
    <t>Loxam</t>
  </si>
  <si>
    <t>teri.loxam@Merck.com</t>
  </si>
  <si>
    <t>SVP, Inv. Relations &amp; Global Comms</t>
  </si>
  <si>
    <t>2000 Galloping Hill Rd 
PO Box 539/K1-4185 
Kenilworth, NJ 07033-1310 US</t>
  </si>
  <si>
    <t>Kenilworth</t>
  </si>
  <si>
    <t>2000 Galloping Hill Rd</t>
  </si>
  <si>
    <t>PO Box 539/K1-4185</t>
  </si>
  <si>
    <t>07033-1310</t>
  </si>
  <si>
    <t>(908) 740-1986</t>
  </si>
  <si>
    <t>(609) 617-4799</t>
  </si>
  <si>
    <t>Mary Lou Ambrus</t>
  </si>
  <si>
    <t>Lucas</t>
  </si>
  <si>
    <t>Bernays</t>
  </si>
  <si>
    <t>Held</t>
  </si>
  <si>
    <t>lheld@wallacefoundation.org</t>
  </si>
  <si>
    <t>The Wallace Foundation</t>
  </si>
  <si>
    <t>5 Penn Plz Fl 7 
New York, NY 10001-1837 US</t>
  </si>
  <si>
    <t>5 Penn Plz Fl 7</t>
  </si>
  <si>
    <t>10001-1837</t>
  </si>
  <si>
    <t>(212) 251-9782</t>
  </si>
  <si>
    <t>Leendert</t>
  </si>
  <si>
    <t>Bikker</t>
  </si>
  <si>
    <t>leendert.bikker@rabobank.nl</t>
  </si>
  <si>
    <t>Rabobank</t>
  </si>
  <si>
    <t>Croeselaan 18 Uc-O36 
Utrecht, 3521 Cb NL</t>
  </si>
  <si>
    <t>Utrecht</t>
  </si>
  <si>
    <t>Croeselaan 18 Uc-O36</t>
  </si>
  <si>
    <t>3521 Cb</t>
  </si>
  <si>
    <t>+31 30 2162206</t>
  </si>
  <si>
    <t>Marc Cloosterman</t>
  </si>
  <si>
    <t>Chief Communication Officer - Rabobank</t>
  </si>
  <si>
    <t>Koenraad</t>
  </si>
  <si>
    <t>van Hasselt</t>
  </si>
  <si>
    <t>koenraad.van.hasselt@tennet.eu</t>
  </si>
  <si>
    <t>TenneT</t>
  </si>
  <si>
    <t>Utrechtseweg 310 
PO Box 718 
Arnhem, 6800AS NL</t>
  </si>
  <si>
    <t>Arnhem</t>
  </si>
  <si>
    <t>Utrechtseweg 310</t>
  </si>
  <si>
    <t>PO Box 718</t>
  </si>
  <si>
    <t>6800AS</t>
  </si>
  <si>
    <t>+31 263733406</t>
  </si>
  <si>
    <t>+31 620428938</t>
  </si>
  <si>
    <t>Director, Corporate Communications - TenneT Holding BV</t>
  </si>
  <si>
    <t>Brathwaite</t>
  </si>
  <si>
    <t>chris.brathwaite@searshc.com</t>
  </si>
  <si>
    <t>cbrathw8@gmail.com</t>
  </si>
  <si>
    <t>Vice President, Communications &amp; Public Relations</t>
  </si>
  <si>
    <t>Sears Holdings</t>
  </si>
  <si>
    <t>3333 Beverly Rd   
Hoffman Estates, IL 60179-0001 US</t>
  </si>
  <si>
    <t>Hoffman Estates</t>
  </si>
  <si>
    <t>3333 Beverly Rd</t>
  </si>
  <si>
    <t>60179-0001</t>
  </si>
  <si>
    <t>(847) 286-4681</t>
  </si>
  <si>
    <t>(630) 464-8403</t>
  </si>
  <si>
    <t>Jonathan Harris</t>
  </si>
  <si>
    <t>Vice President, Communications &amp; Public Relations - Sears Holdings</t>
  </si>
  <si>
    <t>Meghan</t>
  </si>
  <si>
    <t>meghan.britt@danaher.com</t>
  </si>
  <si>
    <t>Danaher Corporation</t>
  </si>
  <si>
    <t>2200 Pennsylvania Ave NW   
Washington, DC 20037-1709 US</t>
  </si>
  <si>
    <t>2200 Pennsylvania Ave NW</t>
  </si>
  <si>
    <t>20037-1709</t>
  </si>
  <si>
    <t>(202) 419-7623</t>
  </si>
  <si>
    <t>Joseph Cohen</t>
  </si>
  <si>
    <t>Vice President, Corporate Communications - Danaher Corporation</t>
  </si>
  <si>
    <t>Fleming</t>
  </si>
  <si>
    <t>suzanne.fleming@brookfield.com</t>
  </si>
  <si>
    <t>sfleming99@gmail.com</t>
  </si>
  <si>
    <t>Brookfield Asset Management</t>
  </si>
  <si>
    <t>250 Vesey St Fl 15  
New York, NY 10281-1052 US</t>
  </si>
  <si>
    <t>250 Vesey St Fl 15</t>
  </si>
  <si>
    <t>10281-1052</t>
  </si>
  <si>
    <t>(212) 417-2421</t>
  </si>
  <si>
    <t>(347) 982-4554</t>
  </si>
  <si>
    <t>Managing Partner - Brookfield Asset Mangement</t>
  </si>
  <si>
    <t>Linehan</t>
  </si>
  <si>
    <t>plinehan@travelers.com</t>
  </si>
  <si>
    <t>patrick.linehan@gmail.com</t>
  </si>
  <si>
    <t>485 Lexington Ave Fl 8  
New York, NY 10017-2630 US</t>
  </si>
  <si>
    <t>485 Lexington Ave Fl 8</t>
  </si>
  <si>
    <t>10017-2630</t>
  </si>
  <si>
    <t>(917) 778-6267</t>
  </si>
  <si>
    <t>(646) 678-1708</t>
  </si>
  <si>
    <t>VP, Corporate Communications - Travelers Inc.</t>
  </si>
  <si>
    <t>McGraw</t>
  </si>
  <si>
    <t>doug.mcgraw@jetblue.com</t>
  </si>
  <si>
    <t>JetBlue Airways</t>
  </si>
  <si>
    <t>2701 Queens Plz N   
Long Island City, NY 11101-4020 US</t>
  </si>
  <si>
    <t>Long Island City</t>
  </si>
  <si>
    <t>2701 Queens Plz N</t>
  </si>
  <si>
    <t>11101-4020</t>
  </si>
  <si>
    <t>(718) 709-3435</t>
  </si>
  <si>
    <t>Nancy Elder</t>
  </si>
  <si>
    <t>VP, Corporate Communications - JetBlue Airways</t>
  </si>
  <si>
    <t>Meador</t>
  </si>
  <si>
    <t>shelley.meador@allegion.com</t>
  </si>
  <si>
    <t>SVP, Human Resources and Corporate Communications</t>
  </si>
  <si>
    <t>Allegion</t>
  </si>
  <si>
    <t>11819 N Pennsylvania St   
Carmel, IN 46032-4555 US</t>
  </si>
  <si>
    <t>11819 N Pennsylvania St</t>
  </si>
  <si>
    <t>46032-4555</t>
  </si>
  <si>
    <t>(317) 810-3700</t>
  </si>
  <si>
    <t>SVP, Human Resources and Corporate Communications - Allegion</t>
  </si>
  <si>
    <t>Ormrod</t>
  </si>
  <si>
    <t>oliver.Ormrod@nikkoam.com</t>
  </si>
  <si>
    <t>SVP, Communications Group Manager</t>
  </si>
  <si>
    <t>Nikko Asset Management</t>
  </si>
  <si>
    <t>Midtown Tower 
9-7-1 Akasaka 
Minato-Ku, Tokyo 107-0052 JP</t>
  </si>
  <si>
    <t>Minato-Ku</t>
  </si>
  <si>
    <t>Midtown Tower</t>
  </si>
  <si>
    <t>9-7-1 Akasaka</t>
  </si>
  <si>
    <t>107-0052</t>
  </si>
  <si>
    <t>+81(0)3 6447 6971</t>
  </si>
  <si>
    <t>SVP, Communications Group Manager - Nikko Asset Management</t>
  </si>
  <si>
    <t>Maura</t>
  </si>
  <si>
    <t>Packham</t>
  </si>
  <si>
    <t>Mdpackham@qg.com</t>
  </si>
  <si>
    <t>maurapackham@att.com</t>
  </si>
  <si>
    <t>Quad/Graphics</t>
  </si>
  <si>
    <t>N61W23044 Harrys Way   
Sussex, WI 53089-3995 US</t>
  </si>
  <si>
    <t>Sussex</t>
  </si>
  <si>
    <t>N61W23044 Harrys Way</t>
  </si>
  <si>
    <t>53089-3995</t>
  </si>
  <si>
    <t>(414) 566-2675</t>
  </si>
  <si>
    <t>(781) 789-0036</t>
  </si>
  <si>
    <t>Vice President of Corporate Communications - Quad/Graphics</t>
  </si>
  <si>
    <t>Rex</t>
  </si>
  <si>
    <t>erex@caltex.com.au</t>
  </si>
  <si>
    <t>elizabethrex4@gmail.com</t>
  </si>
  <si>
    <t>General Manager, Corporate Affairs and Communications</t>
  </si>
  <si>
    <t>Caltex Australia</t>
  </si>
  <si>
    <t>2 Market Street 
Sydney , NSW, 2000 AU</t>
  </si>
  <si>
    <t>2 Market Street</t>
  </si>
  <si>
    <t>NSW, 2000</t>
  </si>
  <si>
    <t>+61429171350</t>
  </si>
  <si>
    <t>+61425315515</t>
  </si>
  <si>
    <t>General Manager, Corporate Affairs and Communications - Caltext Australia Limited</t>
  </si>
  <si>
    <t>Marian</t>
  </si>
  <si>
    <t>Salzman</t>
  </si>
  <si>
    <t>marian.salzman@pmi.vom</t>
  </si>
  <si>
    <t>mariansalzman@gmail.com</t>
  </si>
  <si>
    <t>Avenue de Rhodanie 50 
Lausanne, 1007 CH</t>
  </si>
  <si>
    <t>Lausanne</t>
  </si>
  <si>
    <t>Avenue de Rhodanie 50</t>
  </si>
  <si>
    <t>1007</t>
  </si>
  <si>
    <t>(646) 361-1837</t>
  </si>
  <si>
    <t>SVP of Communications - Philip Morris International</t>
  </si>
  <si>
    <t>Samantha</t>
  </si>
  <si>
    <t>samantha.stevens@originenergy.com.au</t>
  </si>
  <si>
    <t>Origin Energy</t>
  </si>
  <si>
    <t>321 Exhibition Street 
Melbourne, VIC 3000 AU</t>
  </si>
  <si>
    <t>321 Exhibition Street</t>
  </si>
  <si>
    <t>VIC 3000</t>
  </si>
  <si>
    <t>+61 3 8665 7729</t>
  </si>
  <si>
    <t>Executive General Manager, Corporate Affairs - Origin Energy</t>
  </si>
  <si>
    <t>Skafidas</t>
  </si>
  <si>
    <t>mskafidas@loews.com</t>
  </si>
  <si>
    <t>Vice President, Investor Relations &amp; Corporate Communications</t>
  </si>
  <si>
    <t>Loews Corporation</t>
  </si>
  <si>
    <t>667 Madison Ave   
New York, NY 10065-8029 US</t>
  </si>
  <si>
    <t>667 Madison Ave</t>
  </si>
  <si>
    <t>10065-8029</t>
  </si>
  <si>
    <t>(212) 521-2788</t>
  </si>
  <si>
    <t>Vice President, Investor Relations &amp; Corporate Communications - Loews</t>
  </si>
  <si>
    <t>Winslow</t>
  </si>
  <si>
    <t>bob.winslow@oracle.com</t>
  </si>
  <si>
    <t>Oracle</t>
  </si>
  <si>
    <t>10 Twin Dolphin Dr   
Redwood City, CA 94065-1035 US</t>
  </si>
  <si>
    <t>10 Twin Dolphin Dr</t>
  </si>
  <si>
    <t>94065-1035</t>
  </si>
  <si>
    <t>1-650-506-4420</t>
  </si>
  <si>
    <t>+1 415 810 6806</t>
  </si>
  <si>
    <t>Senior Vice President &amp; CCO - Oracle</t>
  </si>
  <si>
    <t>Abbe</t>
  </si>
  <si>
    <t>Serphos</t>
  </si>
  <si>
    <t>abbeserphos@gmail.com</t>
  </si>
  <si>
    <t>3 Times Sq   
New York, NY 10036-6564 US</t>
  </si>
  <si>
    <t>3 Times Sq</t>
  </si>
  <si>
    <t>10036-6564</t>
  </si>
  <si>
    <t>(917) 699-9661</t>
  </si>
  <si>
    <t>Darcy Keller</t>
  </si>
  <si>
    <t>Global Head of PR &amp; Communications - Reuters</t>
  </si>
  <si>
    <t>Bravacos</t>
  </si>
  <si>
    <t>bravacos@thebravogroup.com</t>
  </si>
  <si>
    <t>20 N Market Sq   
Harrisburg, PA 17101-1634 US</t>
  </si>
  <si>
    <t>Harrisburg</t>
  </si>
  <si>
    <t>20 N Market Sq</t>
  </si>
  <si>
    <t>17101-1634</t>
  </si>
  <si>
    <t>(717) 214-2200</t>
  </si>
  <si>
    <t>President &amp; CEO - The Bravo Group</t>
  </si>
  <si>
    <t>Mazen</t>
  </si>
  <si>
    <t>Nahawi</t>
  </si>
  <si>
    <t>mazen@newsgroupholding.com</t>
  </si>
  <si>
    <t>News Group International</t>
  </si>
  <si>
    <t>Office 319, Le Solarium Building 
P.O.Box :341138 
Dubai Silicon Oasis, Dubai, AE</t>
  </si>
  <si>
    <t>Dubai Silicon Oasis, Dubai</t>
  </si>
  <si>
    <t>Office 319, Le Solarium Building</t>
  </si>
  <si>
    <t>P.O.Box :341138</t>
  </si>
  <si>
    <t>+971 4 356 4100</t>
  </si>
  <si>
    <t>CEO - News Group International</t>
  </si>
  <si>
    <t>Karla</t>
  </si>
  <si>
    <t>Gower</t>
  </si>
  <si>
    <t>gower@apr.ua.edu</t>
  </si>
  <si>
    <t>gower25@gmail.com</t>
  </si>
  <si>
    <t>Behringer Distinguished Professor &amp; Director of The Plank Center for Leadership in Public Relations</t>
  </si>
  <si>
    <t>2632 Capital Hall 
270 Kilgore Lane 
Tuscaloosa, AL 35401 US</t>
  </si>
  <si>
    <t>Tuscaloosa</t>
  </si>
  <si>
    <t>2632 Capital Hall</t>
  </si>
  <si>
    <t>270 Kilgore Lane</t>
  </si>
  <si>
    <t>35401</t>
  </si>
  <si>
    <t>(205) 348-0132</t>
  </si>
  <si>
    <t>(205) 393-2371</t>
  </si>
  <si>
    <t>Bruce K. Berger</t>
  </si>
  <si>
    <t>Behringer Distinguished Professor &amp; Director of The Plank Center for Leadership in Public Relations - University of Alabama</t>
  </si>
  <si>
    <t>Forde</t>
  </si>
  <si>
    <t>jforde@comm.msstate.edu</t>
  </si>
  <si>
    <t>Professor and Head Department of Communication</t>
  </si>
  <si>
    <t>Mississippi State University</t>
  </si>
  <si>
    <t>130 McComas Hall 
Mail Stop 9574 
Mississippi State, MS 39762 US</t>
  </si>
  <si>
    <t>Mississippi State</t>
  </si>
  <si>
    <t>130 McComas Hall</t>
  </si>
  <si>
    <t>Mail Stop 9574</t>
  </si>
  <si>
    <t>39762</t>
  </si>
  <si>
    <t>(662) 325-8033</t>
  </si>
  <si>
    <t>Bey-Ling Sha</t>
  </si>
  <si>
    <t>Professor and Head Department of Communication - Mississippi State University</t>
  </si>
  <si>
    <t>Natalie</t>
  </si>
  <si>
    <t>Tindall</t>
  </si>
  <si>
    <t>ntindall@lamar.edu</t>
  </si>
  <si>
    <t>drnatalietjtindall@gmail.com</t>
  </si>
  <si>
    <t>Lamar University</t>
  </si>
  <si>
    <t>PO Box 1062   
Lamar University 
Nederland, TX 77627-1062 US</t>
  </si>
  <si>
    <t>Nederland</t>
  </si>
  <si>
    <t>PO Box 1062</t>
  </si>
  <si>
    <t>77627-1062</t>
  </si>
  <si>
    <t>(240) 678-5680</t>
  </si>
  <si>
    <t>(409) 880-8155</t>
  </si>
  <si>
    <t>Marcia W. DiStaso</t>
  </si>
  <si>
    <t>Associate Professor - Lamar University</t>
  </si>
  <si>
    <t>Norris</t>
  </si>
  <si>
    <t>West</t>
  </si>
  <si>
    <t>NWest@aecf.org</t>
  </si>
  <si>
    <t>Director, Strategic Communications</t>
  </si>
  <si>
    <t>Annie E. Casey Foundation</t>
  </si>
  <si>
    <t>701 Saint Paul St   
Baltimore, MD 21202-2311 US</t>
  </si>
  <si>
    <t>701 Saint Paul St</t>
  </si>
  <si>
    <t>21202-2311</t>
  </si>
  <si>
    <t>(410) 547-6600</t>
  </si>
  <si>
    <t>(410) 718-1817</t>
  </si>
  <si>
    <t>Lucas B. Held</t>
  </si>
  <si>
    <t>Director, Strategic Communications - Annie E. Casey Foundation</t>
  </si>
  <si>
    <t>Veera</t>
  </si>
  <si>
    <t>veera.heinonen@sitra.fi</t>
  </si>
  <si>
    <t>vera.heinonen@gmail.com</t>
  </si>
  <si>
    <t>Director, Communications and Public Affairs</t>
  </si>
  <si>
    <t>Sitra</t>
  </si>
  <si>
    <t>Itämerenkatu 11-13 
Helsinki, Uusimaa 00180 FI</t>
  </si>
  <si>
    <t>Helsinki</t>
  </si>
  <si>
    <t>Itämerenkatu 11-13</t>
  </si>
  <si>
    <t>00180</t>
  </si>
  <si>
    <t>Uusimaa</t>
  </si>
  <si>
    <t>+358 503725244</t>
  </si>
  <si>
    <t>+358 294 618 505</t>
  </si>
  <si>
    <t>Candace</t>
  </si>
  <si>
    <t>Steele</t>
  </si>
  <si>
    <t>Flippin</t>
  </si>
  <si>
    <t>CSTEELEFLIPPIN@firsthorizon.com</t>
  </si>
  <si>
    <t>csflippin@gmail.com</t>
  </si>
  <si>
    <t>EVP, Chief Communications Officer</t>
  </si>
  <si>
    <t>165 Madison Ave Fl 23  
Memphis, TN 38103-2741 US</t>
  </si>
  <si>
    <t>165 Madison Ave Fl 23</t>
  </si>
  <si>
    <t>38103-2741</t>
  </si>
  <si>
    <t>(901) 523-4380</t>
  </si>
  <si>
    <t>(484) 919-6808</t>
  </si>
  <si>
    <t>Brandi Robinson</t>
  </si>
  <si>
    <t>EVP, Chief Communications Officer - First Horizon National Corporation</t>
  </si>
  <si>
    <t>Carey</t>
  </si>
  <si>
    <t>Meyers</t>
  </si>
  <si>
    <t>cmeyers@helmsleytrust.org</t>
  </si>
  <si>
    <t>Helmsley Charitable Trust</t>
  </si>
  <si>
    <t>230 Park Ave Rm 659  
New York, NY 10169-0698 US</t>
  </si>
  <si>
    <t>230 Park Ave Rm 659</t>
  </si>
  <si>
    <t>10169-0698</t>
  </si>
  <si>
    <t>(212) 953-4516</t>
  </si>
  <si>
    <t>Director of Communications - Helmsley Charitable Trust</t>
  </si>
  <si>
    <t>Buchholz</t>
  </si>
  <si>
    <t>buchholz.cw@pg.com</t>
  </si>
  <si>
    <t>(215) 588-2020</t>
  </si>
  <si>
    <t>(513) 983-0495</t>
  </si>
  <si>
    <t>Chief Communications Officer - Procter &amp; Gamble Company</t>
  </si>
  <si>
    <t>Wilfredo</t>
  </si>
  <si>
    <t>Ramos</t>
  </si>
  <si>
    <t>wilfredo.ramos@highmarkhealth.org</t>
  </si>
  <si>
    <t>fredramos_@hotmail.com</t>
  </si>
  <si>
    <t>SVP and CCO</t>
  </si>
  <si>
    <t>Highmark Health</t>
  </si>
  <si>
    <t>120 5th Ave Ste 2628  
Pittsburgh, PA 15222-3001 US</t>
  </si>
  <si>
    <t>120 5th Ave Ste 2628</t>
  </si>
  <si>
    <t>15222-3001</t>
  </si>
  <si>
    <t>(412) 544-5084</t>
  </si>
  <si>
    <t>(773) 844-2245</t>
  </si>
  <si>
    <t>Bryan Iams</t>
  </si>
  <si>
    <t>SVP and CCO - Highmark Health</t>
  </si>
  <si>
    <t>Barker Waller</t>
  </si>
  <si>
    <t>valerie.waller@ymca.net</t>
  </si>
  <si>
    <t>valerie.b-waller@abcglobal.net</t>
  </si>
  <si>
    <t>Senior Vice President and Chief Marketing &amp; Communications Officer</t>
  </si>
  <si>
    <t>YMCA of the USA</t>
  </si>
  <si>
    <t>101 N Wacker Dr Ste 1600  
Chicago, IL 60606-7310 US</t>
  </si>
  <si>
    <t>101 N Wacker Dr Ste 1600</t>
  </si>
  <si>
    <t>60606-7310</t>
  </si>
  <si>
    <t>(312) 419-8103</t>
  </si>
  <si>
    <t>(312) 613-9498</t>
  </si>
  <si>
    <t>Senior Vice President and Chief Marketing &amp; Communications Officer - YMCA of the USA</t>
  </si>
  <si>
    <t>paul_andrew@harvard.edu</t>
  </si>
  <si>
    <t>VP, Public Affairs &amp; Comms</t>
  </si>
  <si>
    <t>Harvard Public Affairs and Communications, Massachusetts Hall  
Harvard University 
Cambridge, MA 02138 US</t>
  </si>
  <si>
    <t>Harvard Public Affairs and Communications, Massachusetts Hall</t>
  </si>
  <si>
    <t>02138</t>
  </si>
  <si>
    <t>(617) 495-1703</t>
  </si>
  <si>
    <t>Ian W. Bailey</t>
  </si>
  <si>
    <t>VP, Public Affairs &amp; Comms - Harvard University</t>
  </si>
  <si>
    <t>Viv</t>
  </si>
  <si>
    <t>Vivienne</t>
  </si>
  <si>
    <t>Bower</t>
  </si>
  <si>
    <t>vivienne.bower@qbe.com</t>
  </si>
  <si>
    <t>viviennebower@hotmail.com</t>
  </si>
  <si>
    <t>Group Head, Communications &amp; Marketing</t>
  </si>
  <si>
    <t>QBE Insurance Group</t>
  </si>
  <si>
    <t>Level 27, 8 Chifley Square 
Sydney, NSW 2000 AU</t>
  </si>
  <si>
    <t>Level 27, 8 Chifley Square</t>
  </si>
  <si>
    <t>(043) 148-7025</t>
  </si>
  <si>
    <t>(029) 375-4707</t>
  </si>
  <si>
    <t>Group Head, Communications &amp; Marketing - QBE Insurance Group</t>
  </si>
  <si>
    <t>Bernd</t>
  </si>
  <si>
    <t>Eitel</t>
  </si>
  <si>
    <t>bernd.eitel@lafargeholcim.com</t>
  </si>
  <si>
    <t>LafargeHolcim</t>
  </si>
  <si>
    <t>Hagenholzstrasse 85 
Zürich, Zürich 8050 CH</t>
  </si>
  <si>
    <t>Zürich</t>
  </si>
  <si>
    <t>Hagenholzstrasse 85</t>
  </si>
  <si>
    <t>8050</t>
  </si>
  <si>
    <t>+41 58 858 82 68</t>
  </si>
  <si>
    <t>+41 79 854 70 74</t>
  </si>
  <si>
    <t>Roman Geiser</t>
  </si>
  <si>
    <t>Head of Communications - LafargeHolcim</t>
  </si>
  <si>
    <t>michelletaylor@challenger.com.au</t>
  </si>
  <si>
    <t>michelletaylor256@gmail.com</t>
  </si>
  <si>
    <t>Chief Executive Corporate Affairs and Sustainability</t>
  </si>
  <si>
    <t>Challenger Limited</t>
  </si>
  <si>
    <t>Level 2, 5 Martin Place 
Sydney, NSW 2000 AU</t>
  </si>
  <si>
    <t>Level 2, 5 Martin Place</t>
  </si>
  <si>
    <t>+612 9994 7181</t>
  </si>
  <si>
    <t>(040) 035-6692</t>
  </si>
  <si>
    <t>Elizabeth McNamara</t>
  </si>
  <si>
    <t>Bay Warburton</t>
  </si>
  <si>
    <t>Chief Executive Corporate Affairs and Sustainability - Challenger Limited</t>
  </si>
  <si>
    <t>Fletcher</t>
  </si>
  <si>
    <t>megan.fletcher@nufarm.com</t>
  </si>
  <si>
    <t>Group Executive, Corporate Affairs</t>
  </si>
  <si>
    <t>NuFarm</t>
  </si>
  <si>
    <t>103-105 Pipe Rd 
Laverton North, VIC 3026 AU</t>
  </si>
  <si>
    <t>Laverton North</t>
  </si>
  <si>
    <t>103-105 Pipe Rd</t>
  </si>
  <si>
    <t>3026</t>
  </si>
  <si>
    <t>VIC</t>
  </si>
  <si>
    <t>+61 3 9282 1218</t>
  </si>
  <si>
    <t>+61 428 139 531</t>
  </si>
  <si>
    <t>Group Executive, Corporate Affairs - NuFarm</t>
  </si>
  <si>
    <t>Pablo</t>
  </si>
  <si>
    <t>Jimenez Zorrilla</t>
  </si>
  <si>
    <t>pablo.jimenez@ab-inbev.com</t>
  </si>
  <si>
    <t>Global Vice President and Chief Communications Officer</t>
  </si>
  <si>
    <t>250 Park Ave   
New York, NY 10177-0001 US</t>
  </si>
  <si>
    <t>250 Park Ave</t>
  </si>
  <si>
    <t>10177-0001</t>
  </si>
  <si>
    <t>(212) 573-9289</t>
  </si>
  <si>
    <t>Global Vice President and Chief Communications Officer - AB In-Bev</t>
  </si>
  <si>
    <t>Kennedy</t>
  </si>
  <si>
    <t>jkennedy@newscorp.com</t>
  </si>
  <si>
    <t>EVP and CCO</t>
  </si>
  <si>
    <t>News Corp</t>
  </si>
  <si>
    <t>1211 Avenue of the Americas   
New York, NY 10036-8701 US</t>
  </si>
  <si>
    <t>1211 Avenue of the Americas</t>
  </si>
  <si>
    <t>(212) 416-4064</t>
  </si>
  <si>
    <t>(917) 225-1705</t>
  </si>
  <si>
    <t>EVP and CCO - News Corp</t>
  </si>
  <si>
    <t>Anuj</t>
  </si>
  <si>
    <t>Nayar</t>
  </si>
  <si>
    <t>anayar@lendingclub.com</t>
  </si>
  <si>
    <t>VP, Head of Communications</t>
  </si>
  <si>
    <t>Lending Club</t>
  </si>
  <si>
    <t>71 Stevenson St Ste 1000  
San Francisco, CA 94105-2967 US</t>
  </si>
  <si>
    <t>71 Stevenson St Ste 1000</t>
  </si>
  <si>
    <t>94105-2967</t>
  </si>
  <si>
    <t>(415) 767-7638</t>
  </si>
  <si>
    <t>Paul Cohen</t>
  </si>
  <si>
    <t>Ramlet</t>
  </si>
  <si>
    <t>michael@morningconsult.com</t>
  </si>
  <si>
    <t>Cofounder and CEO</t>
  </si>
  <si>
    <t>Morning Consult</t>
  </si>
  <si>
    <t>729 15th St NW   
Washington, DC 20005-2105 US</t>
  </si>
  <si>
    <t>729 15th St NW</t>
  </si>
  <si>
    <t>20005-2105</t>
  </si>
  <si>
    <t>(202) 657-8428</t>
  </si>
  <si>
    <t>Douglas G. Pinkham</t>
  </si>
  <si>
    <t>Cofounder and CEO - Morning Consult</t>
  </si>
  <si>
    <t>Category</t>
  </si>
  <si>
    <t>Honors</t>
  </si>
  <si>
    <t>Membership</t>
  </si>
  <si>
    <t>Total Page</t>
  </si>
  <si>
    <t>ME/Africa</t>
  </si>
  <si>
    <t>Asia: Other</t>
  </si>
  <si>
    <t>LatAm</t>
  </si>
  <si>
    <t>Feb</t>
  </si>
  <si>
    <t>Mar</t>
  </si>
  <si>
    <t>Apr</t>
  </si>
  <si>
    <t>May</t>
  </si>
  <si>
    <t>Calendar</t>
  </si>
  <si>
    <t>Jun</t>
  </si>
  <si>
    <t>Jul</t>
  </si>
  <si>
    <t>Sep</t>
  </si>
  <si>
    <t>Anniversary</t>
  </si>
  <si>
    <t>Revenue</t>
  </si>
  <si>
    <t>Dues</t>
  </si>
  <si>
    <t>Dues Calc</t>
  </si>
  <si>
    <t>Non-Profit</t>
  </si>
  <si>
    <t>Government</t>
  </si>
  <si>
    <t>Honoree</t>
  </si>
  <si>
    <t># Past Due</t>
  </si>
  <si>
    <t>$ Potential</t>
  </si>
  <si>
    <t>Unrenewed (Past Due)</t>
  </si>
  <si>
    <t>Total Currently Paid</t>
  </si>
  <si>
    <t>Projected Shortfall (excluding future recruitment)</t>
  </si>
  <si>
    <t>% membership in category</t>
  </si>
  <si>
    <t>Boston University</t>
  </si>
  <si>
    <t>Westmeath Global Communications</t>
  </si>
  <si>
    <t>Perry Yeatman Global Partners</t>
  </si>
  <si>
    <t>Upper 90 Consulting</t>
  </si>
  <si>
    <t>Beam Suntory</t>
  </si>
  <si>
    <t>GAF</t>
  </si>
  <si>
    <t>American Airlines</t>
  </si>
  <si>
    <t>Text100</t>
  </si>
  <si>
    <t>University of Georgia</t>
  </si>
  <si>
    <t>michael.bulger@gmail.com</t>
  </si>
  <si>
    <t>Echo Research</t>
  </si>
  <si>
    <t>(404) 220-2712</t>
  </si>
  <si>
    <t>kctripp@gmail.com</t>
  </si>
  <si>
    <t>karen.c.tripp@gmail.com</t>
  </si>
  <si>
    <t>5817 Phoenix Dr   
Bethesda, MD 20817-3401 US</t>
  </si>
  <si>
    <t>5817 Phoenix Dr</t>
  </si>
  <si>
    <t>20817-3401</t>
  </si>
  <si>
    <t>National Association of Insurance Commissioners</t>
  </si>
  <si>
    <t>The Hershey Company</t>
  </si>
  <si>
    <t>United Technologies Corporation</t>
  </si>
  <si>
    <t>(415) 370-2286</t>
  </si>
  <si>
    <t>Vice President, Public and Government Affairs</t>
  </si>
  <si>
    <t>ExxonMobil</t>
  </si>
  <si>
    <t>(972) 444-1177</t>
  </si>
  <si>
    <t>Bechtel Corporation</t>
  </si>
  <si>
    <t>Member of the Board of Directors</t>
  </si>
  <si>
    <t>Stronger &amp; Better Together</t>
  </si>
  <si>
    <t>Dentsu Public Relations Network</t>
  </si>
  <si>
    <t>Mitchell Communications Group</t>
  </si>
  <si>
    <t>(212) 895-8608</t>
  </si>
  <si>
    <t>(914) 834-2526</t>
  </si>
  <si>
    <t>Cisco</t>
  </si>
  <si>
    <t>Blue Cross Blue Shield Association</t>
  </si>
  <si>
    <t>(248) 722-3118</t>
  </si>
  <si>
    <t>(720) 286-2326</t>
  </si>
  <si>
    <t>Penn State University</t>
  </si>
  <si>
    <t>University of Oklahoma</t>
  </si>
  <si>
    <t>r.boon@vanlanschotkempen.com</t>
  </si>
  <si>
    <t>Van Lanschot Kempen</t>
  </si>
  <si>
    <t>(316) 532-8037</t>
  </si>
  <si>
    <t>Engility Corporation</t>
  </si>
  <si>
    <t>Wellcome Trust</t>
  </si>
  <si>
    <t>LPL Financial</t>
  </si>
  <si>
    <t>jonathan.adashek@alliance-rnm.com</t>
  </si>
  <si>
    <t>lisardavis007@gmail.com</t>
  </si>
  <si>
    <t>(703) 280-2700</t>
  </si>
  <si>
    <t>Corporate Vice President - Northrop</t>
  </si>
  <si>
    <t>201 Tresser Blvd   
Stamford, CT 06901-3435 US</t>
  </si>
  <si>
    <t>201 Tresser Blvd</t>
  </si>
  <si>
    <t>06901-3435</t>
  </si>
  <si>
    <t>Intel Corporation</t>
  </si>
  <si>
    <t>jeffroberthunt@gmail.com</t>
  </si>
  <si>
    <t>Whirlpool Corporation</t>
  </si>
  <si>
    <t>(202) 669-0657</t>
  </si>
  <si>
    <t>Vice President - Communications - Chan Zuckerberg Initiative</t>
  </si>
  <si>
    <t>McCall</t>
  </si>
  <si>
    <t>mark.mccall@fticonsulting.com</t>
  </si>
  <si>
    <t>Strategic Communications CEO</t>
  </si>
  <si>
    <t>(212) 850-5641</t>
  </si>
  <si>
    <t>(177) 325-5128</t>
  </si>
  <si>
    <t>Stacy Y. Sharpe</t>
  </si>
  <si>
    <t>Global Chief Operating Officer &amp; Head of Americas - FTI Consulting</t>
  </si>
  <si>
    <t>(703) 655-3530</t>
  </si>
  <si>
    <t>(312) 395-2596</t>
  </si>
  <si>
    <t>Bahnhofstrasse 36 
PO Box 
Zurich Maulligen Annahme, 8010 CH</t>
  </si>
  <si>
    <t>Zurich Maulligen Annahme</t>
  </si>
  <si>
    <t>Massachusetts Institute of Technology (MIT)</t>
  </si>
  <si>
    <t>stops@layinformatics.org</t>
  </si>
  <si>
    <t>Gap Inc.</t>
  </si>
  <si>
    <t>The Lundbeck Foundation</t>
  </si>
  <si>
    <t>Farmers Insurance</t>
  </si>
  <si>
    <t>Union Pacific Railroad</t>
  </si>
  <si>
    <t>DowDuPont</t>
  </si>
  <si>
    <t>Alaska Airlines</t>
  </si>
  <si>
    <t>Bravo Group</t>
  </si>
  <si>
    <t>First Horizon National Corporation</t>
  </si>
  <si>
    <t>Felicity</t>
  </si>
  <si>
    <t>felicityross@nbnco.com.au</t>
  </si>
  <si>
    <t>NBN Co Limited</t>
  </si>
  <si>
    <t>100 Arthur Street 
North Sydney, New South Wales 2060 AU</t>
  </si>
  <si>
    <t>100 Arthur Street</t>
  </si>
  <si>
    <t>(042) 731-1792</t>
  </si>
  <si>
    <t>Karina Keisler</t>
  </si>
  <si>
    <t>Ernie</t>
  </si>
  <si>
    <t>Ernesto</t>
  </si>
  <si>
    <t>Anguilla</t>
  </si>
  <si>
    <t>eanguilla@baincapital.com</t>
  </si>
  <si>
    <t>Bain Capital LP</t>
  </si>
  <si>
    <t>200 Clarendon St   
Boston, MA 02116-5099 US</t>
  </si>
  <si>
    <t>200 Clarendon St</t>
  </si>
  <si>
    <t>02116-5099</t>
  </si>
  <si>
    <t>(617) 516-2660</t>
  </si>
  <si>
    <t>Head of Communications &amp; Public Affairs - Bain Capital LP</t>
  </si>
  <si>
    <t>Stein</t>
  </si>
  <si>
    <t>gstein@apollo.com</t>
  </si>
  <si>
    <t>gmstein9@gmail.com</t>
  </si>
  <si>
    <t>Managing Director &amp; Head of Corporate Communications</t>
  </si>
  <si>
    <t>Apollo Global Management, LLC</t>
  </si>
  <si>
    <t>9 W 57th St   
New York, NY 10019-2701 US</t>
  </si>
  <si>
    <t>9 W 57th St</t>
  </si>
  <si>
    <t>10019-2701</t>
  </si>
  <si>
    <t>(212) 822-0467</t>
  </si>
  <si>
    <t>(914) 606-2217</t>
  </si>
  <si>
    <t>MD &amp; Head of Corporate Communications - Apollo Global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</si>
</sst>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4" fontId="0" fillId="0" borderId="0" xfId="0" applyNumberFormat="1" applyFill="1"/>
    <xf numFmtId="4" fontId="3" fillId="0" borderId="0" xfId="0" applyNumberFormat="1" applyFont="1" applyFill="1"/>
    <xf numFmtId="0" fontId="0" fillId="4" borderId="0" xfId="0" applyFill="1"/>
    <xf numFmtId="4" fontId="0" fillId="4" borderId="0" xfId="0" applyNumberFormat="1" applyFill="1"/>
    <xf numFmtId="38" fontId="0" fillId="2" borderId="0" xfId="0" applyNumberFormat="1" applyFill="1"/>
    <xf numFmtId="38" fontId="1" fillId="2" borderId="0" xfId="0" applyNumberFormat="1" applyFont="1" applyFill="1"/>
    <xf numFmtId="0" fontId="4" fillId="0" borderId="0" xfId="0" applyNumberFormat="1" applyFont="1"/>
    <xf numFmtId="9" fontId="2" fillId="0" borderId="0" xfId="2"/>
    <xf numFmtId="0" fontId="0" fillId="0" borderId="0" xfId="0" applyNumberFormat="1"/>
    <xf numFmtId="14" fontId="4" fillId="0" borderId="0" xfId="0" applyNumberFormat="1" applyFont="1"/>
    <xf numFmtId="14" fontId="0" fillId="0" borderId="0" xfId="0" applyNumberFormat="1"/>
    <xf numFmtId="14" fontId="0" fillId="0" borderId="0" xfId="0" applyNumberFormat="1" applyFont="1"/>
    <xf numFmtId="14" fontId="1" fillId="0" borderId="0" xfId="0" applyNumberFormat="1" applyFont="1"/>
    <xf numFmtId="0" fontId="1" fillId="5" borderId="0" xfId="0" applyFont="1" applyFill="1"/>
    <xf numFmtId="0" fontId="4" fillId="5" borderId="0" xfId="0" applyNumberFormat="1" applyFont="1" applyFill="1"/>
    <xf numFmtId="0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164" fontId="1" fillId="3" borderId="0" xfId="0" applyNumberFormat="1" applyFont="1" applyFill="1"/>
    <xf numFmtId="164" fontId="1" fillId="2" borderId="0" xfId="0" applyNumberFormat="1" applyFont="1" applyFill="1"/>
    <xf numFmtId="10" fontId="0" fillId="0" borderId="0" xfId="0" applyNumberFormat="1"/>
    <xf numFmtId="42" fontId="2" fillId="0" borderId="0" xfId="1"/>
  </cellXfs>
  <cellStyles count="4">
    <cellStyle name="Currency [0]" xfId="1" builtinId="7"/>
    <cellStyle name="Normal" xfId="0" builtinId="0"/>
    <cellStyle name="Normal 3 2 2" xfId="3" xr:uid="{E0196E05-A6A2-498D-BB6D-FB9B41E2507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9224-EAB6-4450-B1EF-9741273C6A62}">
  <dimension ref="A1:H33"/>
  <sheetViews>
    <sheetView tabSelected="1" workbookViewId="0">
      <selection activeCell="J14" sqref="J14"/>
    </sheetView>
  </sheetViews>
  <sheetFormatPr defaultRowHeight="14.35" x14ac:dyDescent="0.5"/>
  <cols>
    <col min="1" max="1" width="13.1171875" bestFit="1" customWidth="1"/>
    <col min="2" max="2" width="11.17578125" bestFit="1" customWidth="1"/>
    <col min="3" max="3" width="9.703125" customWidth="1"/>
    <col min="4" max="4" width="11.234375" customWidth="1"/>
    <col min="5" max="5" width="9.703125" bestFit="1" customWidth="1"/>
  </cols>
  <sheetData>
    <row r="1" spans="1:8" x14ac:dyDescent="0.5">
      <c r="A1" s="3" t="s">
        <v>8555</v>
      </c>
      <c r="B1" s="3" t="s">
        <v>8557</v>
      </c>
      <c r="C1" s="3" t="s">
        <v>8566</v>
      </c>
      <c r="D1" s="3" t="s">
        <v>8570</v>
      </c>
      <c r="E1" s="3" t="s">
        <v>8573</v>
      </c>
      <c r="G1" s="3" t="s">
        <v>8582</v>
      </c>
    </row>
    <row r="2" spans="1:8" x14ac:dyDescent="0.5">
      <c r="A2" t="s">
        <v>68</v>
      </c>
      <c r="B2">
        <f>SUMPRODUCT(COUNTIF(DataSimple!M2:M1000,"Page (Corporate)"))</f>
        <v>474</v>
      </c>
      <c r="C2">
        <f>Corp!B11</f>
        <v>332</v>
      </c>
      <c r="D2">
        <f>SUM(Corp!C11:N11)</f>
        <v>132</v>
      </c>
      <c r="E2" s="27">
        <f>Corp!R11</f>
        <v>1017543.75</v>
      </c>
      <c r="G2" s="32">
        <f>B2/SUM(B2:B10)</f>
        <v>0.60382165605095539</v>
      </c>
      <c r="H2" s="32"/>
    </row>
    <row r="3" spans="1:8" x14ac:dyDescent="0.5">
      <c r="A3" t="s">
        <v>110</v>
      </c>
      <c r="B3">
        <f>SUMPRODUCT(COUNTIF(DataSimple!M2:M1000,"Page (Agency)"))</f>
        <v>111</v>
      </c>
      <c r="C3">
        <f>Agency!B11</f>
        <v>88</v>
      </c>
      <c r="D3">
        <f>SUM(Agency!C11:N11)</f>
        <v>22</v>
      </c>
      <c r="E3" s="27">
        <f>Agency!R11</f>
        <v>255197.08333333334</v>
      </c>
      <c r="G3" s="32">
        <f>B3/SUM(B2:B10)</f>
        <v>0.14140127388535031</v>
      </c>
      <c r="H3" s="32"/>
    </row>
    <row r="4" spans="1:8" x14ac:dyDescent="0.5">
      <c r="A4" t="s">
        <v>91</v>
      </c>
      <c r="B4">
        <f>SUMPRODUCT(COUNTIF(DataSimple!M2:M1000,"Page (Educator)"))</f>
        <v>61</v>
      </c>
      <c r="C4">
        <f>Educator!B11</f>
        <v>49</v>
      </c>
      <c r="D4">
        <f>SUM(Educator!C11:N11)</f>
        <v>12</v>
      </c>
      <c r="E4" s="27">
        <f>Educator!R11</f>
        <v>34218.75</v>
      </c>
      <c r="G4" s="32">
        <f>B4/SUM(B2:B10)</f>
        <v>7.7707006369426748E-2</v>
      </c>
      <c r="H4" s="32"/>
    </row>
    <row r="5" spans="1:8" x14ac:dyDescent="0.5">
      <c r="A5" t="s">
        <v>236</v>
      </c>
      <c r="B5">
        <f>SUMPRODUCT(COUNTIF(DataSimple!M2:M1000,"Page (Non-Profit)"))</f>
        <v>66</v>
      </c>
      <c r="C5">
        <f>NGO!B11</f>
        <v>42</v>
      </c>
      <c r="D5">
        <f>SUM(NGO!C11:N11)</f>
        <v>24</v>
      </c>
      <c r="E5" s="27">
        <f>NGO!R11</f>
        <v>56604.166666666664</v>
      </c>
      <c r="G5" s="32">
        <f>B5/SUM(B2:B10)</f>
        <v>8.4076433121019103E-2</v>
      </c>
      <c r="H5" s="32"/>
    </row>
    <row r="6" spans="1:8" x14ac:dyDescent="0.5">
      <c r="A6" t="s">
        <v>5683</v>
      </c>
      <c r="B6">
        <f>SUMPRODUCT(COUNTIF(DataSimple!M2:M1000,"Page (Government)"))</f>
        <v>3</v>
      </c>
      <c r="C6">
        <f>Govt!B11</f>
        <v>3</v>
      </c>
      <c r="D6">
        <f>SUM(Govt!C11:N11)</f>
        <v>0</v>
      </c>
      <c r="E6" s="27">
        <f>Govt!R11</f>
        <v>3135</v>
      </c>
      <c r="G6" s="32">
        <f>B6/SUM(B2:B10)</f>
        <v>3.821656050955414E-3</v>
      </c>
      <c r="H6" s="32"/>
    </row>
    <row r="7" spans="1:8" x14ac:dyDescent="0.5">
      <c r="A7" t="s">
        <v>1252</v>
      </c>
      <c r="B7">
        <f>SUMPRODUCT(COUNTIF(DataSimple!M2:M1000,"Page (Executive Search)"))</f>
        <v>9</v>
      </c>
      <c r="C7">
        <f>Search!B11</f>
        <v>7</v>
      </c>
      <c r="D7">
        <f>SUM(Search!C11:N11)</f>
        <v>2</v>
      </c>
      <c r="E7" s="27">
        <f>Search!R11</f>
        <v>20401.25</v>
      </c>
      <c r="G7" s="32">
        <f>B7/SUM(B2:B10)</f>
        <v>1.1464968152866241E-2</v>
      </c>
      <c r="H7" s="32"/>
    </row>
    <row r="8" spans="1:8" x14ac:dyDescent="0.5">
      <c r="A8" t="s">
        <v>8556</v>
      </c>
      <c r="B8">
        <f>SUMPRODUCT(COUNTIF(DataSimple!M2:M1000,"Page (Honoree)"))</f>
        <v>32</v>
      </c>
      <c r="C8">
        <f>Honors!B11</f>
        <v>32</v>
      </c>
      <c r="D8">
        <f>SUM(Honors!C11:N11)</f>
        <v>0</v>
      </c>
      <c r="E8" s="27">
        <f>Honors!R11</f>
        <v>0</v>
      </c>
      <c r="G8" s="32">
        <f>B8/SUM(B2:B10)</f>
        <v>4.0764331210191081E-2</v>
      </c>
      <c r="H8" s="32"/>
    </row>
    <row r="9" spans="1:8" x14ac:dyDescent="0.5">
      <c r="A9" t="s">
        <v>127</v>
      </c>
      <c r="B9">
        <f>SUMPRODUCT(COUNTIF(DataSimple!M2:M1000,"Page (Retired)"))</f>
        <v>28</v>
      </c>
      <c r="C9">
        <f>Retired!B11</f>
        <v>28</v>
      </c>
      <c r="D9">
        <f>SUM(Retired!C11:N11)</f>
        <v>0</v>
      </c>
      <c r="E9" s="27">
        <f>Retired!R11</f>
        <v>29260</v>
      </c>
      <c r="G9" s="32">
        <f>B9/SUM(B2:B10)</f>
        <v>3.5668789808917196E-2</v>
      </c>
      <c r="H9" s="32"/>
    </row>
    <row r="10" spans="1:8" x14ac:dyDescent="0.5">
      <c r="A10" t="s">
        <v>660</v>
      </c>
      <c r="B10">
        <f>SUMPRODUCT(COUNTIF(DataSimple!M2:M1000,"Page (Life)"))</f>
        <v>1</v>
      </c>
      <c r="C10">
        <v>1</v>
      </c>
      <c r="D10">
        <v>0</v>
      </c>
      <c r="E10" s="27">
        <v>110</v>
      </c>
      <c r="G10" s="32">
        <f>B10/SUM(B2:B10)</f>
        <v>1.2738853503184713E-3</v>
      </c>
      <c r="H10" s="32"/>
    </row>
    <row r="11" spans="1:8" x14ac:dyDescent="0.5">
      <c r="E11" s="27"/>
    </row>
    <row r="12" spans="1:8" x14ac:dyDescent="0.5">
      <c r="A12" s="4" t="s">
        <v>8558</v>
      </c>
      <c r="B12" s="4">
        <f>SUM(B2:B11)</f>
        <v>785</v>
      </c>
      <c r="C12" s="4">
        <f>COUNTIFS(DataSimple!J2:J1000,"&gt;=1/1/1980",DataSimple!J2:J1000,"&lt;=6/30/2017")</f>
        <v>589</v>
      </c>
      <c r="D12" s="4">
        <f>COUNTIFS(DataSimple!J2:J1000,"&gt;7/1/2017")</f>
        <v>196</v>
      </c>
      <c r="E12" s="31">
        <f>SUM(E2:E10)</f>
        <v>1416470</v>
      </c>
    </row>
    <row r="13" spans="1:8" x14ac:dyDescent="0.5">
      <c r="E13" s="27">
        <f ca="1">C33</f>
        <v>36305</v>
      </c>
      <c r="F13" t="s">
        <v>8579</v>
      </c>
    </row>
    <row r="14" spans="1:8" x14ac:dyDescent="0.5">
      <c r="A14" s="4" t="str">
        <f>PastDue!A1</f>
        <v>Category</v>
      </c>
      <c r="B14" s="4" t="str">
        <f>PastDue!B1</f>
        <v># Past Due</v>
      </c>
      <c r="C14" s="4" t="str">
        <f>PastDue!C1</f>
        <v>$ Potential</v>
      </c>
      <c r="E14" s="27">
        <f ca="1">E12-E13</f>
        <v>1380165</v>
      </c>
      <c r="F14" t="s">
        <v>8580</v>
      </c>
    </row>
    <row r="15" spans="1:8" x14ac:dyDescent="0.5">
      <c r="A15" s="2" t="str">
        <f>PastDue!A2</f>
        <v>Corporate</v>
      </c>
      <c r="B15" s="2">
        <f ca="1">PastDue!B2</f>
        <v>11</v>
      </c>
      <c r="C15" s="29">
        <f ca="1">PastDue!C2</f>
        <v>28875</v>
      </c>
      <c r="E15" s="27">
        <v>1528000</v>
      </c>
      <c r="F15" t="s">
        <v>5</v>
      </c>
    </row>
    <row r="16" spans="1:8" x14ac:dyDescent="0.5">
      <c r="A16" s="2" t="str">
        <f>PastDue!A3</f>
        <v>Agency</v>
      </c>
      <c r="B16" s="2">
        <f ca="1">PastDue!B3</f>
        <v>1</v>
      </c>
      <c r="C16" s="29">
        <f ca="1">PastDue!C3</f>
        <v>2625</v>
      </c>
      <c r="E16" s="27">
        <f ca="1">E14-E15</f>
        <v>-147835</v>
      </c>
      <c r="F16" t="s">
        <v>8581</v>
      </c>
    </row>
    <row r="17" spans="1:3" x14ac:dyDescent="0.5">
      <c r="A17" s="2" t="str">
        <f>PastDue!A4</f>
        <v>Educator</v>
      </c>
      <c r="B17" s="2">
        <f ca="1">PastDue!B4</f>
        <v>1</v>
      </c>
      <c r="C17" s="29">
        <f ca="1">PastDue!C4</f>
        <v>625</v>
      </c>
    </row>
    <row r="18" spans="1:3" x14ac:dyDescent="0.5">
      <c r="A18" s="2" t="str">
        <f>PastDue!A5</f>
        <v>NGO</v>
      </c>
      <c r="B18" s="2">
        <f ca="1">PastDue!B5</f>
        <v>4</v>
      </c>
      <c r="C18" s="29">
        <f ca="1">PastDue!C5</f>
        <v>4180</v>
      </c>
    </row>
    <row r="19" spans="1:3" x14ac:dyDescent="0.5">
      <c r="A19" s="2" t="str">
        <f>PastDue!A6</f>
        <v>Govt</v>
      </c>
      <c r="B19" s="2">
        <f ca="1">PastDue!B6</f>
        <v>0</v>
      </c>
      <c r="C19" s="29">
        <f ca="1">PastDue!C6</f>
        <v>0</v>
      </c>
    </row>
    <row r="20" spans="1:3" x14ac:dyDescent="0.5">
      <c r="A20" s="2" t="str">
        <f>PastDue!A7</f>
        <v>Exec Search</v>
      </c>
      <c r="B20" s="2">
        <f ca="1">PastDue!B7</f>
        <v>0</v>
      </c>
      <c r="C20" s="29">
        <f ca="1">PastDue!C7</f>
        <v>0</v>
      </c>
    </row>
    <row r="21" spans="1:3" x14ac:dyDescent="0.5">
      <c r="A21" s="2" t="str">
        <f>PastDue!A8</f>
        <v>Honors</v>
      </c>
      <c r="B21" s="2">
        <f ca="1">PastDue!B8</f>
        <v>0</v>
      </c>
      <c r="C21" s="29">
        <f ca="1">PastDue!C8</f>
        <v>0</v>
      </c>
    </row>
    <row r="22" spans="1:3" x14ac:dyDescent="0.5">
      <c r="A22" s="2" t="str">
        <f>PastDue!A9</f>
        <v>Retired</v>
      </c>
      <c r="B22" s="2">
        <f ca="1">PastDue!B9</f>
        <v>0</v>
      </c>
      <c r="C22" s="29">
        <f ca="1">PastDue!C9</f>
        <v>0</v>
      </c>
    </row>
    <row r="23" spans="1:3" x14ac:dyDescent="0.5">
      <c r="A23" s="2" t="str">
        <f>PastDue!A10</f>
        <v>Life</v>
      </c>
      <c r="B23" s="2">
        <f ca="1">PastDue!B10</f>
        <v>0</v>
      </c>
      <c r="C23" s="29">
        <f ca="1">PastDue!C10</f>
        <v>0</v>
      </c>
    </row>
    <row r="24" spans="1:3" x14ac:dyDescent="0.5">
      <c r="A24" s="2">
        <f>PastDue!A11</f>
        <v>0</v>
      </c>
      <c r="B24" s="2">
        <f>PastDue!B11</f>
        <v>0</v>
      </c>
      <c r="C24" s="29">
        <f>PastDue!C11</f>
        <v>0</v>
      </c>
    </row>
    <row r="25" spans="1:3" x14ac:dyDescent="0.5">
      <c r="A25" s="2" t="str">
        <f>PastDue!A12</f>
        <v>Canada</v>
      </c>
      <c r="B25" s="2">
        <f ca="1">PastDue!B12</f>
        <v>0</v>
      </c>
      <c r="C25" s="29">
        <f>PastDue!C12</f>
        <v>0</v>
      </c>
    </row>
    <row r="26" spans="1:3" x14ac:dyDescent="0.5">
      <c r="A26" s="2" t="str">
        <f>PastDue!A13</f>
        <v>Europe</v>
      </c>
      <c r="B26" s="2">
        <f ca="1">PastDue!B13</f>
        <v>4</v>
      </c>
      <c r="C26" s="29">
        <f>PastDue!C13</f>
        <v>0</v>
      </c>
    </row>
    <row r="27" spans="1:3" x14ac:dyDescent="0.5">
      <c r="A27" s="2" t="str">
        <f>PastDue!A14</f>
        <v>ME/Africa</v>
      </c>
      <c r="B27" s="2">
        <f ca="1">PastDue!B14</f>
        <v>0</v>
      </c>
      <c r="C27" s="29">
        <f>PastDue!C14</f>
        <v>0</v>
      </c>
    </row>
    <row r="28" spans="1:3" x14ac:dyDescent="0.5">
      <c r="A28" s="2" t="str">
        <f>PastDue!A15</f>
        <v>Asia: Other</v>
      </c>
      <c r="B28" s="2">
        <f ca="1">PastDue!B15</f>
        <v>0</v>
      </c>
      <c r="C28" s="29">
        <f>PastDue!C15</f>
        <v>0</v>
      </c>
    </row>
    <row r="29" spans="1:3" x14ac:dyDescent="0.5">
      <c r="A29" s="2" t="str">
        <f>PastDue!A16</f>
        <v>Australia</v>
      </c>
      <c r="B29" s="2">
        <f ca="1">PastDue!B16</f>
        <v>0</v>
      </c>
      <c r="C29" s="29">
        <f>PastDue!C16</f>
        <v>0</v>
      </c>
    </row>
    <row r="30" spans="1:3" x14ac:dyDescent="0.5">
      <c r="A30" s="2" t="str">
        <f>PastDue!A17</f>
        <v>India</v>
      </c>
      <c r="B30" s="2">
        <f ca="1">PastDue!B17</f>
        <v>0</v>
      </c>
      <c r="C30" s="29">
        <f>PastDue!C17</f>
        <v>0</v>
      </c>
    </row>
    <row r="31" spans="1:3" x14ac:dyDescent="0.5">
      <c r="A31" s="2" t="str">
        <f>PastDue!A18</f>
        <v>LatAm</v>
      </c>
      <c r="B31" s="2">
        <f ca="1">PastDue!B18</f>
        <v>0</v>
      </c>
      <c r="C31" s="29">
        <f>PastDue!C18</f>
        <v>0</v>
      </c>
    </row>
    <row r="32" spans="1:3" x14ac:dyDescent="0.5">
      <c r="A32" s="2"/>
      <c r="B32" s="2"/>
      <c r="C32" s="29"/>
    </row>
    <row r="33" spans="1:3" x14ac:dyDescent="0.5">
      <c r="A33" s="4" t="str">
        <f>PastDue!A20</f>
        <v>Total</v>
      </c>
      <c r="B33" s="4">
        <f ca="1">PastDue!B20</f>
        <v>21</v>
      </c>
      <c r="C33" s="31">
        <f ca="1">PastDue!C20</f>
        <v>36305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09BD-01BB-44C4-94BA-72062FA6FF02}">
  <dimension ref="A1:AL838"/>
  <sheetViews>
    <sheetView workbookViewId="0">
      <selection activeCell="A2" sqref="A2:XFD838"/>
    </sheetView>
  </sheetViews>
  <sheetFormatPr defaultColWidth="9.1171875" defaultRowHeight="14.35" x14ac:dyDescent="0.5"/>
  <cols>
    <col min="1" max="9" width="9.1171875" style="17"/>
    <col min="10" max="11" width="10.29296875" style="19" bestFit="1" customWidth="1"/>
    <col min="12" max="20" width="9.1171875" style="17"/>
    <col min="21" max="21" width="29.05859375" style="24" bestFit="1" customWidth="1"/>
    <col min="22" max="24" width="9.1171875" style="17"/>
    <col min="25" max="25" width="28.17578125" style="24" bestFit="1" customWidth="1"/>
    <col min="26" max="16384" width="9.1171875" style="17"/>
  </cols>
  <sheetData>
    <row r="1" spans="1:38" x14ac:dyDescent="0.5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8" t="s">
        <v>30</v>
      </c>
      <c r="K1" s="18" t="s">
        <v>31</v>
      </c>
      <c r="L1" s="15" t="s">
        <v>32</v>
      </c>
      <c r="M1" s="15" t="s">
        <v>33</v>
      </c>
      <c r="N1" s="15" t="s">
        <v>34</v>
      </c>
      <c r="O1" s="15" t="s">
        <v>35</v>
      </c>
      <c r="P1" s="15" t="s">
        <v>36</v>
      </c>
      <c r="Q1" s="15" t="s">
        <v>37</v>
      </c>
      <c r="R1" s="15" t="s">
        <v>38</v>
      </c>
      <c r="S1" s="15" t="s">
        <v>39</v>
      </c>
      <c r="T1" s="15" t="s">
        <v>40</v>
      </c>
      <c r="U1" s="23" t="s">
        <v>41</v>
      </c>
      <c r="V1" s="15" t="s">
        <v>42</v>
      </c>
      <c r="W1" s="15" t="s">
        <v>43</v>
      </c>
      <c r="X1" s="15" t="s">
        <v>44</v>
      </c>
      <c r="Y1" s="23" t="s">
        <v>45</v>
      </c>
      <c r="Z1" s="15" t="s">
        <v>46</v>
      </c>
      <c r="AA1" s="15" t="s">
        <v>47</v>
      </c>
      <c r="AB1" s="15" t="s">
        <v>48</v>
      </c>
      <c r="AC1" s="15" t="s">
        <v>49</v>
      </c>
      <c r="AD1" s="15" t="s">
        <v>50</v>
      </c>
      <c r="AE1" s="15" t="s">
        <v>51</v>
      </c>
      <c r="AF1" s="15" t="s">
        <v>52</v>
      </c>
      <c r="AG1" s="15" t="s">
        <v>53</v>
      </c>
      <c r="AH1" s="15" t="s">
        <v>54</v>
      </c>
      <c r="AI1" s="15" t="s">
        <v>55</v>
      </c>
      <c r="AJ1" s="15" t="s">
        <v>56</v>
      </c>
      <c r="AK1" s="15" t="s">
        <v>57</v>
      </c>
      <c r="AL1" s="15" t="s">
        <v>58</v>
      </c>
    </row>
    <row r="2" spans="1:38" x14ac:dyDescent="0.5">
      <c r="A2">
        <v>4</v>
      </c>
      <c r="B2" s="16" t="s">
        <v>59</v>
      </c>
      <c r="C2" s="16" t="s">
        <v>59</v>
      </c>
      <c r="D2" s="16" t="s">
        <v>60</v>
      </c>
      <c r="E2" s="16" t="s">
        <v>61</v>
      </c>
      <c r="F2" s="17" t="s">
        <v>62</v>
      </c>
      <c r="G2" s="17" t="s">
        <v>63</v>
      </c>
      <c r="H2" s="16" t="s">
        <v>64</v>
      </c>
      <c r="I2" s="16" t="s">
        <v>65</v>
      </c>
      <c r="J2" s="33">
        <v>35065</v>
      </c>
      <c r="K2" s="33">
        <v>43465</v>
      </c>
      <c r="L2" s="16" t="s">
        <v>66</v>
      </c>
      <c r="M2" s="16" t="s">
        <v>67</v>
      </c>
      <c r="N2" s="16" t="s">
        <v>68</v>
      </c>
      <c r="O2" s="16" t="s">
        <v>69</v>
      </c>
      <c r="P2" s="16" t="s">
        <v>70</v>
      </c>
      <c r="Q2" s="16" t="s">
        <v>71</v>
      </c>
      <c r="R2" s="17" t="s">
        <v>72</v>
      </c>
      <c r="S2" s="16" t="s">
        <v>73</v>
      </c>
      <c r="T2" s="16" t="s">
        <v>74</v>
      </c>
      <c r="U2" s="16" t="s">
        <v>75</v>
      </c>
      <c r="V2" s="16" t="s">
        <v>76</v>
      </c>
      <c r="W2" s="16"/>
      <c r="X2" s="16" t="s">
        <v>77</v>
      </c>
      <c r="Y2" s="16" t="s">
        <v>78</v>
      </c>
      <c r="Z2" s="16" t="s">
        <v>79</v>
      </c>
      <c r="AA2" s="16" t="s">
        <v>80</v>
      </c>
      <c r="AB2" s="17" t="s">
        <v>81</v>
      </c>
      <c r="AC2" s="16" t="s">
        <v>71</v>
      </c>
      <c r="AD2" s="17" t="s">
        <v>81</v>
      </c>
      <c r="AF2" s="17" t="s">
        <v>82</v>
      </c>
      <c r="AG2" s="16"/>
      <c r="AH2" s="16"/>
      <c r="AI2" s="16"/>
      <c r="AJ2" s="16"/>
      <c r="AK2" s="16"/>
      <c r="AL2" s="16" t="s">
        <v>83</v>
      </c>
    </row>
    <row r="3" spans="1:38" x14ac:dyDescent="0.5">
      <c r="A3">
        <v>10</v>
      </c>
      <c r="B3" s="16" t="s">
        <v>84</v>
      </c>
      <c r="C3" s="16" t="s">
        <v>84</v>
      </c>
      <c r="D3" s="16" t="s">
        <v>85</v>
      </c>
      <c r="E3" s="16" t="s">
        <v>86</v>
      </c>
      <c r="F3" s="17" t="s">
        <v>87</v>
      </c>
      <c r="H3" s="16" t="s">
        <v>88</v>
      </c>
      <c r="I3" s="16" t="s">
        <v>89</v>
      </c>
      <c r="J3" s="33">
        <v>35796</v>
      </c>
      <c r="K3" s="33">
        <v>43465</v>
      </c>
      <c r="L3" s="16" t="s">
        <v>66</v>
      </c>
      <c r="M3" s="16" t="s">
        <v>90</v>
      </c>
      <c r="N3" s="16" t="s">
        <v>91</v>
      </c>
      <c r="O3" s="16" t="s">
        <v>91</v>
      </c>
      <c r="P3" s="16" t="s">
        <v>70</v>
      </c>
      <c r="Q3" s="16" t="s">
        <v>71</v>
      </c>
      <c r="R3" s="17" t="s">
        <v>92</v>
      </c>
      <c r="S3" s="16" t="s">
        <v>93</v>
      </c>
      <c r="T3" s="16" t="s">
        <v>74</v>
      </c>
      <c r="U3" s="16" t="s">
        <v>75</v>
      </c>
      <c r="V3" s="16" t="s">
        <v>94</v>
      </c>
      <c r="W3" s="16"/>
      <c r="X3" s="16" t="s">
        <v>95</v>
      </c>
      <c r="Y3" s="16" t="s">
        <v>78</v>
      </c>
      <c r="Z3" s="16" t="s">
        <v>96</v>
      </c>
      <c r="AA3" s="16" t="s">
        <v>97</v>
      </c>
      <c r="AB3" s="17" t="s">
        <v>98</v>
      </c>
      <c r="AC3" s="16" t="s">
        <v>71</v>
      </c>
      <c r="AD3" s="17" t="s">
        <v>98</v>
      </c>
      <c r="AF3" s="17" t="s">
        <v>99</v>
      </c>
      <c r="AG3" s="16"/>
      <c r="AH3" s="16"/>
      <c r="AI3" s="16"/>
      <c r="AJ3" s="16"/>
      <c r="AK3" s="16"/>
      <c r="AL3" s="16" t="s">
        <v>100</v>
      </c>
    </row>
    <row r="4" spans="1:38" x14ac:dyDescent="0.5">
      <c r="A4">
        <v>14</v>
      </c>
      <c r="B4" s="16" t="s">
        <v>101</v>
      </c>
      <c r="C4" s="16" t="s">
        <v>102</v>
      </c>
      <c r="D4" s="16" t="s">
        <v>103</v>
      </c>
      <c r="E4" s="16" t="s">
        <v>104</v>
      </c>
      <c r="F4" s="17" t="s">
        <v>105</v>
      </c>
      <c r="G4" s="17" t="s">
        <v>106</v>
      </c>
      <c r="H4" s="16" t="s">
        <v>107</v>
      </c>
      <c r="I4" s="16" t="s">
        <v>108</v>
      </c>
      <c r="J4" s="33">
        <v>35065</v>
      </c>
      <c r="K4" s="33">
        <v>55153</v>
      </c>
      <c r="L4" s="16" t="s">
        <v>66</v>
      </c>
      <c r="M4" s="16" t="s">
        <v>109</v>
      </c>
      <c r="N4" s="16" t="s">
        <v>110</v>
      </c>
      <c r="O4" s="16" t="s">
        <v>111</v>
      </c>
      <c r="P4" s="16" t="s">
        <v>70</v>
      </c>
      <c r="Q4" s="16" t="s">
        <v>71</v>
      </c>
      <c r="R4" s="17" t="s">
        <v>112</v>
      </c>
      <c r="S4" s="16" t="s">
        <v>113</v>
      </c>
      <c r="T4" s="16" t="s">
        <v>74</v>
      </c>
      <c r="U4" s="16" t="s">
        <v>75</v>
      </c>
      <c r="V4" s="16" t="s">
        <v>114</v>
      </c>
      <c r="W4" s="16" t="s">
        <v>115</v>
      </c>
      <c r="X4" s="16" t="s">
        <v>116</v>
      </c>
      <c r="Y4" s="16" t="s">
        <v>78</v>
      </c>
      <c r="Z4" s="16" t="s">
        <v>117</v>
      </c>
      <c r="AA4" s="16" t="s">
        <v>113</v>
      </c>
      <c r="AB4" s="17" t="s">
        <v>118</v>
      </c>
      <c r="AC4" s="16" t="s">
        <v>71</v>
      </c>
      <c r="AD4" s="17" t="s">
        <v>118</v>
      </c>
      <c r="AE4" s="17" t="s">
        <v>119</v>
      </c>
      <c r="AF4" s="17" t="s">
        <v>120</v>
      </c>
      <c r="AG4" s="16"/>
      <c r="AH4" s="16"/>
      <c r="AI4" s="16"/>
      <c r="AJ4" s="16"/>
      <c r="AK4" s="16"/>
      <c r="AL4" s="16" t="s">
        <v>121</v>
      </c>
    </row>
    <row r="5" spans="1:38" x14ac:dyDescent="0.5">
      <c r="A5">
        <v>18</v>
      </c>
      <c r="B5" s="16" t="s">
        <v>122</v>
      </c>
      <c r="C5" s="16" t="s">
        <v>122</v>
      </c>
      <c r="D5" s="16" t="s">
        <v>123</v>
      </c>
      <c r="E5" s="16" t="s">
        <v>124</v>
      </c>
      <c r="F5" s="17" t="s">
        <v>125</v>
      </c>
      <c r="G5" s="17" t="s">
        <v>126</v>
      </c>
      <c r="H5" s="16" t="s">
        <v>127</v>
      </c>
      <c r="I5" s="16"/>
      <c r="J5" s="33">
        <v>33239</v>
      </c>
      <c r="K5" s="33">
        <v>44196</v>
      </c>
      <c r="L5" s="16" t="s">
        <v>66</v>
      </c>
      <c r="M5" s="16" t="s">
        <v>109</v>
      </c>
      <c r="N5" s="16" t="s">
        <v>127</v>
      </c>
      <c r="O5" s="16" t="s">
        <v>127</v>
      </c>
      <c r="P5" s="16" t="s">
        <v>70</v>
      </c>
      <c r="Q5" s="16" t="s">
        <v>71</v>
      </c>
      <c r="R5" s="17" t="s">
        <v>128</v>
      </c>
      <c r="S5" s="16" t="s">
        <v>129</v>
      </c>
      <c r="T5" s="16" t="s">
        <v>74</v>
      </c>
      <c r="U5" s="16" t="s">
        <v>75</v>
      </c>
      <c r="V5" s="16" t="s">
        <v>130</v>
      </c>
      <c r="W5" s="16"/>
      <c r="X5" s="16" t="s">
        <v>131</v>
      </c>
      <c r="Y5" s="16" t="s">
        <v>78</v>
      </c>
      <c r="Z5" s="16" t="s">
        <v>132</v>
      </c>
      <c r="AA5" s="16" t="s">
        <v>133</v>
      </c>
      <c r="AB5" s="17" t="s">
        <v>134</v>
      </c>
      <c r="AC5" s="16" t="s">
        <v>71</v>
      </c>
      <c r="AD5" s="17" t="s">
        <v>134</v>
      </c>
      <c r="AE5" s="17" t="s">
        <v>135</v>
      </c>
      <c r="AF5" s="17" t="s">
        <v>136</v>
      </c>
      <c r="AG5" s="16"/>
      <c r="AH5" s="16"/>
      <c r="AI5" s="16"/>
      <c r="AJ5" s="16"/>
      <c r="AK5" s="16"/>
      <c r="AL5" s="16" t="s">
        <v>137</v>
      </c>
    </row>
    <row r="6" spans="1:38" x14ac:dyDescent="0.5">
      <c r="A6">
        <v>29</v>
      </c>
      <c r="B6" s="16" t="s">
        <v>138</v>
      </c>
      <c r="C6" s="16" t="s">
        <v>138</v>
      </c>
      <c r="D6" s="16"/>
      <c r="E6" s="16" t="s">
        <v>139</v>
      </c>
      <c r="F6" s="17" t="s">
        <v>140</v>
      </c>
      <c r="G6" s="17" t="s">
        <v>141</v>
      </c>
      <c r="H6" s="16" t="s">
        <v>142</v>
      </c>
      <c r="I6" s="16" t="s">
        <v>0</v>
      </c>
      <c r="J6" s="33">
        <v>35065</v>
      </c>
      <c r="K6" s="33">
        <v>43465</v>
      </c>
      <c r="L6" s="16" t="s">
        <v>66</v>
      </c>
      <c r="M6" s="16" t="s">
        <v>67</v>
      </c>
      <c r="N6" s="16" t="s">
        <v>68</v>
      </c>
      <c r="O6" s="16" t="s">
        <v>143</v>
      </c>
      <c r="P6" s="16" t="s">
        <v>70</v>
      </c>
      <c r="Q6" s="16" t="s">
        <v>71</v>
      </c>
      <c r="R6" s="17" t="s">
        <v>144</v>
      </c>
      <c r="S6" s="16" t="s">
        <v>113</v>
      </c>
      <c r="T6" s="16" t="s">
        <v>74</v>
      </c>
      <c r="U6" s="16" t="s">
        <v>75</v>
      </c>
      <c r="V6" s="16" t="s">
        <v>145</v>
      </c>
      <c r="W6" s="16" t="s">
        <v>146</v>
      </c>
      <c r="X6" s="16" t="s">
        <v>147</v>
      </c>
      <c r="Y6" s="16" t="s">
        <v>78</v>
      </c>
      <c r="Z6" s="16" t="s">
        <v>117</v>
      </c>
      <c r="AA6" s="16" t="s">
        <v>113</v>
      </c>
      <c r="AB6" s="17" t="s">
        <v>148</v>
      </c>
      <c r="AC6" s="16" t="s">
        <v>71</v>
      </c>
      <c r="AD6" s="17" t="s">
        <v>148</v>
      </c>
      <c r="AE6" s="17" t="s">
        <v>148</v>
      </c>
      <c r="AF6" s="17" t="s">
        <v>149</v>
      </c>
      <c r="AG6" s="16"/>
      <c r="AH6" s="16"/>
      <c r="AI6" s="16"/>
      <c r="AJ6" s="16"/>
      <c r="AK6" s="16"/>
      <c r="AL6" s="16" t="s">
        <v>150</v>
      </c>
    </row>
    <row r="7" spans="1:38" x14ac:dyDescent="0.5">
      <c r="A7">
        <v>45</v>
      </c>
      <c r="B7" s="16" t="s">
        <v>151</v>
      </c>
      <c r="C7" s="16" t="s">
        <v>151</v>
      </c>
      <c r="D7" s="16"/>
      <c r="E7" s="16" t="s">
        <v>152</v>
      </c>
      <c r="F7" s="17" t="s">
        <v>153</v>
      </c>
      <c r="H7" s="16" t="s">
        <v>154</v>
      </c>
      <c r="I7" s="16" t="s">
        <v>155</v>
      </c>
      <c r="J7" s="33">
        <v>31068</v>
      </c>
      <c r="K7" s="33">
        <v>55153</v>
      </c>
      <c r="L7" s="16" t="s">
        <v>66</v>
      </c>
      <c r="M7" s="16" t="s">
        <v>109</v>
      </c>
      <c r="N7" s="16" t="s">
        <v>110</v>
      </c>
      <c r="O7" s="16" t="s">
        <v>111</v>
      </c>
      <c r="P7" s="16" t="s">
        <v>70</v>
      </c>
      <c r="Q7" s="16" t="s">
        <v>71</v>
      </c>
      <c r="R7" s="17" t="s">
        <v>156</v>
      </c>
      <c r="S7" s="16" t="s">
        <v>113</v>
      </c>
      <c r="T7" s="16" t="s">
        <v>74</v>
      </c>
      <c r="U7" s="16" t="s">
        <v>75</v>
      </c>
      <c r="V7" s="16" t="s">
        <v>157</v>
      </c>
      <c r="W7" s="16"/>
      <c r="X7" s="16" t="s">
        <v>158</v>
      </c>
      <c r="Y7" s="16" t="s">
        <v>78</v>
      </c>
      <c r="Z7" s="16" t="s">
        <v>117</v>
      </c>
      <c r="AA7" s="16" t="s">
        <v>113</v>
      </c>
      <c r="AB7" s="17" t="s">
        <v>159</v>
      </c>
      <c r="AC7" s="16" t="s">
        <v>71</v>
      </c>
      <c r="AD7" s="17" t="s">
        <v>159</v>
      </c>
      <c r="AG7" s="16"/>
      <c r="AH7" s="16"/>
      <c r="AI7" s="16"/>
      <c r="AJ7" s="16"/>
      <c r="AK7" s="16"/>
      <c r="AL7" s="16" t="s">
        <v>160</v>
      </c>
    </row>
    <row r="8" spans="1:38" x14ac:dyDescent="0.5">
      <c r="A8">
        <v>53</v>
      </c>
      <c r="B8" s="16" t="s">
        <v>161</v>
      </c>
      <c r="C8" s="16" t="s">
        <v>161</v>
      </c>
      <c r="D8" s="16" t="s">
        <v>162</v>
      </c>
      <c r="E8" s="16" t="s">
        <v>163</v>
      </c>
      <c r="F8" s="17" t="s">
        <v>164</v>
      </c>
      <c r="G8" s="17" t="s">
        <v>165</v>
      </c>
      <c r="H8" s="16" t="s">
        <v>166</v>
      </c>
      <c r="I8" s="16" t="s">
        <v>108</v>
      </c>
      <c r="J8" s="33">
        <v>33604</v>
      </c>
      <c r="K8" s="33">
        <v>43465</v>
      </c>
      <c r="L8" s="16" t="s">
        <v>66</v>
      </c>
      <c r="M8" s="16" t="s">
        <v>167</v>
      </c>
      <c r="N8" s="16" t="s">
        <v>110</v>
      </c>
      <c r="O8" s="16" t="s">
        <v>111</v>
      </c>
      <c r="P8" s="16" t="s">
        <v>70</v>
      </c>
      <c r="Q8" s="16" t="s">
        <v>71</v>
      </c>
      <c r="R8" s="17" t="s">
        <v>168</v>
      </c>
      <c r="S8" s="16" t="s">
        <v>169</v>
      </c>
      <c r="T8" s="16" t="s">
        <v>74</v>
      </c>
      <c r="U8" s="16" t="s">
        <v>75</v>
      </c>
      <c r="V8" s="16" t="s">
        <v>170</v>
      </c>
      <c r="W8" s="16"/>
      <c r="X8" s="16" t="s">
        <v>171</v>
      </c>
      <c r="Y8" s="16" t="s">
        <v>78</v>
      </c>
      <c r="Z8" s="16" t="s">
        <v>172</v>
      </c>
      <c r="AA8" s="16" t="s">
        <v>173</v>
      </c>
      <c r="AB8" s="17" t="s">
        <v>174</v>
      </c>
      <c r="AC8" s="16" t="s">
        <v>71</v>
      </c>
      <c r="AD8" s="17" t="s">
        <v>174</v>
      </c>
      <c r="AE8" s="17" t="s">
        <v>175</v>
      </c>
      <c r="AG8" s="16"/>
      <c r="AH8" s="16"/>
      <c r="AI8" s="16"/>
      <c r="AJ8" s="16"/>
      <c r="AK8" s="16"/>
      <c r="AL8" s="16" t="s">
        <v>176</v>
      </c>
    </row>
    <row r="9" spans="1:38" x14ac:dyDescent="0.5">
      <c r="A9">
        <v>56</v>
      </c>
      <c r="B9" s="16" t="s">
        <v>177</v>
      </c>
      <c r="C9" s="16" t="s">
        <v>177</v>
      </c>
      <c r="D9" s="16" t="s">
        <v>178</v>
      </c>
      <c r="E9" s="16" t="s">
        <v>179</v>
      </c>
      <c r="F9" s="17" t="s">
        <v>180</v>
      </c>
      <c r="G9" s="17" t="s">
        <v>181</v>
      </c>
      <c r="H9" s="16" t="s">
        <v>182</v>
      </c>
      <c r="I9" s="16" t="s">
        <v>183</v>
      </c>
      <c r="J9" s="33">
        <v>33970</v>
      </c>
      <c r="K9" s="33">
        <v>43465</v>
      </c>
      <c r="L9" s="16" t="s">
        <v>66</v>
      </c>
      <c r="M9" s="16" t="s">
        <v>90</v>
      </c>
      <c r="N9" s="16" t="s">
        <v>91</v>
      </c>
      <c r="O9" s="16" t="s">
        <v>91</v>
      </c>
      <c r="P9" s="16" t="s">
        <v>70</v>
      </c>
      <c r="Q9" s="16" t="s">
        <v>71</v>
      </c>
      <c r="R9" s="17" t="s">
        <v>184</v>
      </c>
      <c r="S9" s="16" t="s">
        <v>185</v>
      </c>
      <c r="T9" s="16" t="s">
        <v>74</v>
      </c>
      <c r="U9" s="16" t="s">
        <v>75</v>
      </c>
      <c r="V9" s="16" t="s">
        <v>186</v>
      </c>
      <c r="W9" s="16" t="s">
        <v>187</v>
      </c>
      <c r="X9" s="16" t="s">
        <v>188</v>
      </c>
      <c r="Y9" s="16" t="s">
        <v>78</v>
      </c>
      <c r="Z9" s="16" t="s">
        <v>189</v>
      </c>
      <c r="AA9" s="16" t="s">
        <v>190</v>
      </c>
      <c r="AB9" s="17" t="s">
        <v>191</v>
      </c>
      <c r="AC9" s="16" t="s">
        <v>71</v>
      </c>
      <c r="AD9" s="17" t="s">
        <v>191</v>
      </c>
      <c r="AE9" s="17" t="s">
        <v>192</v>
      </c>
      <c r="AF9" s="17" t="s">
        <v>193</v>
      </c>
      <c r="AG9" s="16"/>
      <c r="AH9" s="16"/>
      <c r="AI9" s="16"/>
      <c r="AJ9" s="16"/>
      <c r="AK9" s="16"/>
      <c r="AL9" s="16" t="s">
        <v>194</v>
      </c>
    </row>
    <row r="10" spans="1:38" x14ac:dyDescent="0.5">
      <c r="A10">
        <v>67</v>
      </c>
      <c r="B10" s="16" t="s">
        <v>195</v>
      </c>
      <c r="C10" s="16" t="s">
        <v>195</v>
      </c>
      <c r="D10" s="16" t="s">
        <v>196</v>
      </c>
      <c r="E10" s="16" t="s">
        <v>197</v>
      </c>
      <c r="F10" s="17" t="s">
        <v>198</v>
      </c>
      <c r="G10" s="17" t="s">
        <v>199</v>
      </c>
      <c r="H10" s="16" t="s">
        <v>200</v>
      </c>
      <c r="I10" s="16" t="s">
        <v>201</v>
      </c>
      <c r="J10" s="33">
        <v>35065</v>
      </c>
      <c r="K10" s="33">
        <v>43465</v>
      </c>
      <c r="L10" s="16" t="s">
        <v>66</v>
      </c>
      <c r="M10" s="16" t="s">
        <v>67</v>
      </c>
      <c r="N10" s="16" t="s">
        <v>68</v>
      </c>
      <c r="O10" s="16" t="s">
        <v>202</v>
      </c>
      <c r="P10" s="16" t="s">
        <v>70</v>
      </c>
      <c r="Q10" s="16" t="s">
        <v>71</v>
      </c>
      <c r="R10" s="17" t="s">
        <v>203</v>
      </c>
      <c r="S10" s="16" t="s">
        <v>204</v>
      </c>
      <c r="T10" s="16" t="s">
        <v>74</v>
      </c>
      <c r="U10" s="16" t="s">
        <v>75</v>
      </c>
      <c r="V10" s="16" t="s">
        <v>205</v>
      </c>
      <c r="W10" s="16"/>
      <c r="X10" s="16" t="s">
        <v>206</v>
      </c>
      <c r="Y10" s="16" t="s">
        <v>78</v>
      </c>
      <c r="Z10" s="16" t="s">
        <v>207</v>
      </c>
      <c r="AA10" s="16" t="s">
        <v>208</v>
      </c>
      <c r="AB10" s="17" t="s">
        <v>209</v>
      </c>
      <c r="AC10" s="16" t="s">
        <v>71</v>
      </c>
      <c r="AD10" s="17" t="s">
        <v>209</v>
      </c>
      <c r="AE10" s="17" t="s">
        <v>210</v>
      </c>
      <c r="AF10" s="17" t="s">
        <v>211</v>
      </c>
      <c r="AG10" s="16"/>
      <c r="AH10" s="16"/>
      <c r="AI10" s="16"/>
      <c r="AJ10" s="16"/>
      <c r="AK10" s="16"/>
      <c r="AL10" s="16" t="s">
        <v>212</v>
      </c>
    </row>
    <row r="11" spans="1:38" x14ac:dyDescent="0.5">
      <c r="A11">
        <v>71</v>
      </c>
      <c r="B11" s="16" t="s">
        <v>213</v>
      </c>
      <c r="C11" s="16" t="s">
        <v>214</v>
      </c>
      <c r="D11" s="16"/>
      <c r="E11" s="16" t="s">
        <v>215</v>
      </c>
      <c r="F11" s="17" t="s">
        <v>216</v>
      </c>
      <c r="G11" s="17" t="s">
        <v>217</v>
      </c>
      <c r="H11" s="16" t="s">
        <v>218</v>
      </c>
      <c r="I11" s="16" t="s">
        <v>219</v>
      </c>
      <c r="J11" s="33">
        <v>34700</v>
      </c>
      <c r="K11" s="33">
        <v>55153</v>
      </c>
      <c r="L11" s="16" t="s">
        <v>66</v>
      </c>
      <c r="M11" s="16" t="s">
        <v>109</v>
      </c>
      <c r="N11" s="16" t="s">
        <v>91</v>
      </c>
      <c r="O11" s="16" t="s">
        <v>220</v>
      </c>
      <c r="P11" s="16" t="s">
        <v>70</v>
      </c>
      <c r="Q11" s="16" t="s">
        <v>71</v>
      </c>
      <c r="R11" s="17" t="s">
        <v>221</v>
      </c>
      <c r="S11" s="16" t="s">
        <v>222</v>
      </c>
      <c r="T11" s="16" t="s">
        <v>74</v>
      </c>
      <c r="U11" s="16" t="s">
        <v>75</v>
      </c>
      <c r="V11" s="16" t="s">
        <v>223</v>
      </c>
      <c r="W11" s="16" t="s">
        <v>224</v>
      </c>
      <c r="X11" s="16" t="s">
        <v>225</v>
      </c>
      <c r="Y11" s="16" t="s">
        <v>78</v>
      </c>
      <c r="Z11" s="16" t="s">
        <v>189</v>
      </c>
      <c r="AA11" s="16" t="s">
        <v>190</v>
      </c>
      <c r="AB11" s="17" t="s">
        <v>226</v>
      </c>
      <c r="AC11" s="16" t="s">
        <v>71</v>
      </c>
      <c r="AD11" s="17" t="s">
        <v>226</v>
      </c>
      <c r="AE11" s="17" t="s">
        <v>226</v>
      </c>
      <c r="AG11" s="16"/>
      <c r="AH11" s="16"/>
      <c r="AI11" s="16"/>
      <c r="AJ11" s="16"/>
      <c r="AK11" s="16"/>
      <c r="AL11" s="16" t="s">
        <v>227</v>
      </c>
    </row>
    <row r="12" spans="1:38" x14ac:dyDescent="0.5">
      <c r="A12">
        <v>75</v>
      </c>
      <c r="B12" s="16" t="s">
        <v>228</v>
      </c>
      <c r="C12" s="16" t="s">
        <v>229</v>
      </c>
      <c r="D12" s="16" t="s">
        <v>196</v>
      </c>
      <c r="E12" s="16" t="s">
        <v>230</v>
      </c>
      <c r="F12" s="17" t="s">
        <v>231</v>
      </c>
      <c r="G12" s="17" t="s">
        <v>232</v>
      </c>
      <c r="H12" s="16" t="s">
        <v>233</v>
      </c>
      <c r="I12" s="16" t="s">
        <v>234</v>
      </c>
      <c r="J12" s="33">
        <v>35431</v>
      </c>
      <c r="K12" s="33">
        <v>43465</v>
      </c>
      <c r="L12" s="16" t="s">
        <v>66</v>
      </c>
      <c r="M12" s="16" t="s">
        <v>235</v>
      </c>
      <c r="N12" s="16" t="s">
        <v>236</v>
      </c>
      <c r="O12" s="16" t="s">
        <v>237</v>
      </c>
      <c r="P12" s="16" t="s">
        <v>70</v>
      </c>
      <c r="Q12" s="16" t="s">
        <v>71</v>
      </c>
      <c r="R12" s="17" t="s">
        <v>238</v>
      </c>
      <c r="S12" s="16" t="s">
        <v>239</v>
      </c>
      <c r="T12" s="16" t="s">
        <v>74</v>
      </c>
      <c r="U12" s="16" t="s">
        <v>75</v>
      </c>
      <c r="V12" s="16" t="s">
        <v>240</v>
      </c>
      <c r="W12" s="16"/>
      <c r="X12" s="16" t="s">
        <v>241</v>
      </c>
      <c r="Y12" s="16" t="s">
        <v>78</v>
      </c>
      <c r="Z12" s="16" t="s">
        <v>242</v>
      </c>
      <c r="AA12" s="16" t="s">
        <v>243</v>
      </c>
      <c r="AB12" s="17" t="s">
        <v>244</v>
      </c>
      <c r="AC12" s="16" t="s">
        <v>71</v>
      </c>
      <c r="AD12" s="17" t="s">
        <v>244</v>
      </c>
      <c r="AG12" s="16"/>
      <c r="AH12" s="16"/>
      <c r="AI12" s="16"/>
      <c r="AJ12" s="16"/>
      <c r="AK12" s="16"/>
      <c r="AL12" s="16" t="s">
        <v>245</v>
      </c>
    </row>
    <row r="13" spans="1:38" x14ac:dyDescent="0.5">
      <c r="A13">
        <v>79</v>
      </c>
      <c r="B13" s="16" t="s">
        <v>246</v>
      </c>
      <c r="C13" s="16" t="s">
        <v>247</v>
      </c>
      <c r="D13" s="16" t="s">
        <v>196</v>
      </c>
      <c r="E13" s="16" t="s">
        <v>248</v>
      </c>
      <c r="F13" s="17" t="s">
        <v>249</v>
      </c>
      <c r="G13" s="17" t="s">
        <v>250</v>
      </c>
      <c r="H13" s="16" t="s">
        <v>251</v>
      </c>
      <c r="I13" s="16" t="s">
        <v>252</v>
      </c>
      <c r="J13" s="33">
        <v>35796</v>
      </c>
      <c r="K13" s="33">
        <v>43465</v>
      </c>
      <c r="L13" s="16" t="s">
        <v>66</v>
      </c>
      <c r="M13" s="16" t="s">
        <v>167</v>
      </c>
      <c r="N13" s="16" t="s">
        <v>110</v>
      </c>
      <c r="O13" s="16" t="s">
        <v>253</v>
      </c>
      <c r="P13" s="16" t="s">
        <v>70</v>
      </c>
      <c r="Q13" s="16" t="s">
        <v>71</v>
      </c>
      <c r="R13" s="17" t="s">
        <v>254</v>
      </c>
      <c r="S13" s="16" t="s">
        <v>255</v>
      </c>
      <c r="T13" s="16" t="s">
        <v>74</v>
      </c>
      <c r="U13" s="16" t="s">
        <v>75</v>
      </c>
      <c r="V13" s="16" t="s">
        <v>256</v>
      </c>
      <c r="W13" s="16"/>
      <c r="X13" s="16" t="s">
        <v>257</v>
      </c>
      <c r="Y13" s="16" t="s">
        <v>78</v>
      </c>
      <c r="Z13" s="16" t="s">
        <v>117</v>
      </c>
      <c r="AA13" s="16" t="s">
        <v>113</v>
      </c>
      <c r="AB13" s="17" t="s">
        <v>258</v>
      </c>
      <c r="AC13" s="16" t="s">
        <v>71</v>
      </c>
      <c r="AD13" s="17" t="s">
        <v>258</v>
      </c>
      <c r="AE13" s="17" t="s">
        <v>259</v>
      </c>
      <c r="AG13" s="16"/>
      <c r="AH13" s="16"/>
      <c r="AI13" s="16"/>
      <c r="AJ13" s="16"/>
      <c r="AK13" s="16"/>
      <c r="AL13" s="16" t="s">
        <v>260</v>
      </c>
    </row>
    <row r="14" spans="1:38" x14ac:dyDescent="0.5">
      <c r="A14">
        <v>84</v>
      </c>
      <c r="B14" s="16" t="s">
        <v>229</v>
      </c>
      <c r="C14" s="16" t="s">
        <v>229</v>
      </c>
      <c r="D14" s="16" t="s">
        <v>261</v>
      </c>
      <c r="E14" s="16" t="s">
        <v>262</v>
      </c>
      <c r="F14" s="17" t="s">
        <v>263</v>
      </c>
      <c r="H14" s="16" t="s">
        <v>264</v>
      </c>
      <c r="I14" s="16" t="s">
        <v>265</v>
      </c>
      <c r="J14" s="33">
        <v>36185</v>
      </c>
      <c r="K14" s="33">
        <v>55153</v>
      </c>
      <c r="L14" s="16" t="s">
        <v>66</v>
      </c>
      <c r="M14" s="16" t="s">
        <v>109</v>
      </c>
      <c r="N14" s="16" t="s">
        <v>127</v>
      </c>
      <c r="O14" s="16" t="s">
        <v>127</v>
      </c>
      <c r="P14" s="16" t="s">
        <v>70</v>
      </c>
      <c r="Q14" s="16" t="s">
        <v>71</v>
      </c>
      <c r="R14" s="17" t="s">
        <v>266</v>
      </c>
      <c r="S14" s="16" t="s">
        <v>267</v>
      </c>
      <c r="T14" s="16" t="s">
        <v>74</v>
      </c>
      <c r="U14" s="16" t="s">
        <v>75</v>
      </c>
      <c r="V14" s="16" t="s">
        <v>268</v>
      </c>
      <c r="W14" s="16"/>
      <c r="X14" s="16" t="s">
        <v>269</v>
      </c>
      <c r="Y14" s="16" t="s">
        <v>78</v>
      </c>
      <c r="Z14" s="16" t="s">
        <v>270</v>
      </c>
      <c r="AA14" s="16" t="s">
        <v>271</v>
      </c>
      <c r="AB14" s="17" t="s">
        <v>272</v>
      </c>
      <c r="AC14" s="16" t="s">
        <v>71</v>
      </c>
      <c r="AD14" s="17" t="s">
        <v>272</v>
      </c>
      <c r="AE14" s="17" t="s">
        <v>273</v>
      </c>
      <c r="AF14" s="17" t="s">
        <v>274</v>
      </c>
      <c r="AG14" s="16"/>
      <c r="AH14" s="16"/>
      <c r="AI14" s="16"/>
      <c r="AJ14" s="16"/>
      <c r="AK14" s="16"/>
      <c r="AL14" s="16" t="s">
        <v>275</v>
      </c>
    </row>
    <row r="15" spans="1:38" x14ac:dyDescent="0.5">
      <c r="A15">
        <v>88</v>
      </c>
      <c r="B15" s="16" t="s">
        <v>276</v>
      </c>
      <c r="C15" s="16" t="s">
        <v>276</v>
      </c>
      <c r="D15" s="16" t="s">
        <v>277</v>
      </c>
      <c r="E15" s="16" t="s">
        <v>278</v>
      </c>
      <c r="F15" s="17" t="s">
        <v>279</v>
      </c>
      <c r="H15" s="16" t="s">
        <v>251</v>
      </c>
      <c r="I15" s="16" t="s">
        <v>278</v>
      </c>
      <c r="J15" s="33">
        <v>35820</v>
      </c>
      <c r="K15" s="33">
        <v>55153</v>
      </c>
      <c r="L15" s="16" t="s">
        <v>66</v>
      </c>
      <c r="M15" s="16" t="s">
        <v>109</v>
      </c>
      <c r="N15" s="16" t="s">
        <v>110</v>
      </c>
      <c r="O15" s="16" t="s">
        <v>280</v>
      </c>
      <c r="P15" s="16" t="s">
        <v>70</v>
      </c>
      <c r="Q15" s="16" t="s">
        <v>71</v>
      </c>
      <c r="R15" s="17" t="s">
        <v>281</v>
      </c>
      <c r="S15" s="16" t="s">
        <v>113</v>
      </c>
      <c r="T15" s="16" t="s">
        <v>74</v>
      </c>
      <c r="U15" s="16" t="s">
        <v>75</v>
      </c>
      <c r="V15" s="16" t="s">
        <v>282</v>
      </c>
      <c r="W15" s="16"/>
      <c r="X15" s="16" t="s">
        <v>283</v>
      </c>
      <c r="Y15" s="16" t="s">
        <v>78</v>
      </c>
      <c r="Z15" s="16" t="s">
        <v>117</v>
      </c>
      <c r="AA15" s="16" t="s">
        <v>113</v>
      </c>
      <c r="AB15" s="17" t="s">
        <v>284</v>
      </c>
      <c r="AC15" s="16" t="s">
        <v>71</v>
      </c>
      <c r="AD15" s="17" t="s">
        <v>284</v>
      </c>
      <c r="AG15" s="16"/>
      <c r="AH15" s="16"/>
      <c r="AI15" s="16"/>
      <c r="AJ15" s="16"/>
      <c r="AK15" s="16"/>
      <c r="AL15" s="16" t="s">
        <v>285</v>
      </c>
    </row>
    <row r="16" spans="1:38" x14ac:dyDescent="0.5">
      <c r="A16">
        <v>98</v>
      </c>
      <c r="B16" s="16" t="s">
        <v>286</v>
      </c>
      <c r="C16" s="16" t="s">
        <v>287</v>
      </c>
      <c r="D16" s="16" t="s">
        <v>288</v>
      </c>
      <c r="E16" s="16" t="s">
        <v>289</v>
      </c>
      <c r="F16" s="17" t="s">
        <v>290</v>
      </c>
      <c r="H16" s="16" t="s">
        <v>127</v>
      </c>
      <c r="I16" s="16"/>
      <c r="J16" s="33">
        <v>35431</v>
      </c>
      <c r="K16" s="33">
        <v>43465</v>
      </c>
      <c r="L16" s="16" t="s">
        <v>66</v>
      </c>
      <c r="M16" s="16" t="s">
        <v>291</v>
      </c>
      <c r="N16" s="16" t="s">
        <v>127</v>
      </c>
      <c r="O16" s="16" t="s">
        <v>127</v>
      </c>
      <c r="P16" s="16" t="s">
        <v>70</v>
      </c>
      <c r="Q16" s="16" t="s">
        <v>71</v>
      </c>
      <c r="R16" s="17" t="s">
        <v>292</v>
      </c>
      <c r="S16" s="16" t="s">
        <v>293</v>
      </c>
      <c r="T16" s="16" t="s">
        <v>74</v>
      </c>
      <c r="U16" s="16" t="s">
        <v>75</v>
      </c>
      <c r="V16" s="16" t="s">
        <v>294</v>
      </c>
      <c r="W16" s="16"/>
      <c r="X16" s="16" t="s">
        <v>295</v>
      </c>
      <c r="Y16" s="16" t="s">
        <v>78</v>
      </c>
      <c r="Z16" s="16" t="s">
        <v>296</v>
      </c>
      <c r="AA16" s="16" t="s">
        <v>297</v>
      </c>
      <c r="AB16" s="17" t="s">
        <v>298</v>
      </c>
      <c r="AC16" s="16" t="s">
        <v>71</v>
      </c>
      <c r="AD16" s="17" t="s">
        <v>298</v>
      </c>
      <c r="AE16" s="17" t="s">
        <v>299</v>
      </c>
      <c r="AF16" s="17" t="s">
        <v>298</v>
      </c>
      <c r="AG16" s="16"/>
      <c r="AH16" s="16"/>
      <c r="AI16" s="16"/>
      <c r="AJ16" s="16"/>
      <c r="AK16" s="16"/>
      <c r="AL16" s="16" t="s">
        <v>300</v>
      </c>
    </row>
    <row r="17" spans="1:38" x14ac:dyDescent="0.5">
      <c r="A17">
        <v>101</v>
      </c>
      <c r="B17" s="16" t="s">
        <v>301</v>
      </c>
      <c r="C17" s="16" t="s">
        <v>301</v>
      </c>
      <c r="D17" s="16" t="s">
        <v>302</v>
      </c>
      <c r="E17" s="16" t="s">
        <v>303</v>
      </c>
      <c r="F17" s="17" t="s">
        <v>304</v>
      </c>
      <c r="G17" s="17" t="s">
        <v>305</v>
      </c>
      <c r="H17" s="16" t="s">
        <v>306</v>
      </c>
      <c r="I17" s="16" t="s">
        <v>307</v>
      </c>
      <c r="J17" s="33">
        <v>34700</v>
      </c>
      <c r="K17" s="33">
        <v>43465</v>
      </c>
      <c r="L17" s="16" t="s">
        <v>66</v>
      </c>
      <c r="M17" s="16" t="s">
        <v>67</v>
      </c>
      <c r="N17" s="16" t="s">
        <v>68</v>
      </c>
      <c r="O17" s="16" t="s">
        <v>111</v>
      </c>
      <c r="P17" s="16" t="s">
        <v>70</v>
      </c>
      <c r="Q17" s="16" t="s">
        <v>71</v>
      </c>
      <c r="R17" s="17" t="s">
        <v>308</v>
      </c>
      <c r="S17" s="16" t="s">
        <v>113</v>
      </c>
      <c r="T17" s="16" t="s">
        <v>74</v>
      </c>
      <c r="U17" s="16" t="s">
        <v>75</v>
      </c>
      <c r="V17" s="16" t="s">
        <v>309</v>
      </c>
      <c r="W17" s="16"/>
      <c r="X17" s="16" t="s">
        <v>310</v>
      </c>
      <c r="Y17" s="16" t="s">
        <v>78</v>
      </c>
      <c r="Z17" s="16" t="s">
        <v>117</v>
      </c>
      <c r="AA17" s="16" t="s">
        <v>113</v>
      </c>
      <c r="AB17" s="17" t="s">
        <v>311</v>
      </c>
      <c r="AC17" s="16" t="s">
        <v>71</v>
      </c>
      <c r="AD17" s="17" t="s">
        <v>311</v>
      </c>
      <c r="AF17" s="17" t="s">
        <v>312</v>
      </c>
      <c r="AG17" s="16"/>
      <c r="AH17" s="16"/>
      <c r="AI17" s="16"/>
      <c r="AJ17" s="16"/>
      <c r="AK17" s="16"/>
      <c r="AL17" s="16" t="s">
        <v>313</v>
      </c>
    </row>
    <row r="18" spans="1:38" x14ac:dyDescent="0.5">
      <c r="A18">
        <v>104</v>
      </c>
      <c r="B18" s="16" t="s">
        <v>314</v>
      </c>
      <c r="C18" s="16" t="s">
        <v>314</v>
      </c>
      <c r="D18" s="16" t="s">
        <v>162</v>
      </c>
      <c r="E18" s="16" t="s">
        <v>315</v>
      </c>
      <c r="F18" s="17" t="s">
        <v>316</v>
      </c>
      <c r="G18" s="17" t="s">
        <v>316</v>
      </c>
      <c r="H18" s="16" t="s">
        <v>317</v>
      </c>
      <c r="I18" s="16" t="s">
        <v>318</v>
      </c>
      <c r="J18" s="33">
        <v>35796</v>
      </c>
      <c r="K18" s="33">
        <v>43465</v>
      </c>
      <c r="L18" s="16" t="s">
        <v>66</v>
      </c>
      <c r="M18" s="16" t="s">
        <v>291</v>
      </c>
      <c r="N18" s="16" t="s">
        <v>127</v>
      </c>
      <c r="O18" s="16" t="s">
        <v>111</v>
      </c>
      <c r="P18" s="16" t="s">
        <v>70</v>
      </c>
      <c r="Q18" s="16" t="s">
        <v>71</v>
      </c>
      <c r="R18" s="17" t="s">
        <v>319</v>
      </c>
      <c r="S18" s="16" t="s">
        <v>113</v>
      </c>
      <c r="T18" s="16" t="s">
        <v>74</v>
      </c>
      <c r="U18" s="16" t="s">
        <v>75</v>
      </c>
      <c r="V18" s="16" t="s">
        <v>320</v>
      </c>
      <c r="W18" s="16"/>
      <c r="X18" s="16" t="s">
        <v>321</v>
      </c>
      <c r="Y18" s="16" t="s">
        <v>78</v>
      </c>
      <c r="Z18" s="16" t="s">
        <v>117</v>
      </c>
      <c r="AA18" s="16" t="s">
        <v>113</v>
      </c>
      <c r="AB18" s="17" t="s">
        <v>322</v>
      </c>
      <c r="AC18" s="16" t="s">
        <v>71</v>
      </c>
      <c r="AD18" s="17" t="s">
        <v>322</v>
      </c>
      <c r="AE18" s="17" t="s">
        <v>323</v>
      </c>
      <c r="AF18" s="17" t="s">
        <v>324</v>
      </c>
      <c r="AG18" s="16"/>
      <c r="AH18" s="16"/>
      <c r="AI18" s="16"/>
      <c r="AJ18" s="16"/>
      <c r="AK18" s="16"/>
      <c r="AL18" s="16" t="s">
        <v>325</v>
      </c>
    </row>
    <row r="19" spans="1:38" x14ac:dyDescent="0.5">
      <c r="A19">
        <v>112</v>
      </c>
      <c r="B19" s="16" t="s">
        <v>326</v>
      </c>
      <c r="C19" s="16" t="s">
        <v>327</v>
      </c>
      <c r="D19" s="16" t="s">
        <v>328</v>
      </c>
      <c r="E19" s="16" t="s">
        <v>329</v>
      </c>
      <c r="F19" s="17" t="s">
        <v>330</v>
      </c>
      <c r="G19" s="17" t="s">
        <v>331</v>
      </c>
      <c r="H19" s="16" t="s">
        <v>332</v>
      </c>
      <c r="I19" s="16" t="s">
        <v>333</v>
      </c>
      <c r="J19" s="33">
        <v>33263</v>
      </c>
      <c r="K19" s="33">
        <v>43465</v>
      </c>
      <c r="L19" s="16" t="s">
        <v>66</v>
      </c>
      <c r="M19" s="16" t="s">
        <v>291</v>
      </c>
      <c r="N19" s="16" t="s">
        <v>127</v>
      </c>
      <c r="O19" s="16" t="s">
        <v>127</v>
      </c>
      <c r="P19" s="16" t="s">
        <v>70</v>
      </c>
      <c r="Q19" s="16" t="s">
        <v>71</v>
      </c>
      <c r="R19" s="17" t="s">
        <v>334</v>
      </c>
      <c r="S19" s="16" t="s">
        <v>335</v>
      </c>
      <c r="T19" s="16" t="s">
        <v>74</v>
      </c>
      <c r="U19" s="16" t="s">
        <v>75</v>
      </c>
      <c r="V19" s="16" t="s">
        <v>336</v>
      </c>
      <c r="W19" s="16"/>
      <c r="X19" s="16" t="s">
        <v>337</v>
      </c>
      <c r="Y19" s="16" t="s">
        <v>78</v>
      </c>
      <c r="Z19" s="16" t="s">
        <v>189</v>
      </c>
      <c r="AA19" s="16" t="s">
        <v>190</v>
      </c>
      <c r="AB19" s="17" t="s">
        <v>338</v>
      </c>
      <c r="AC19" s="16" t="s">
        <v>71</v>
      </c>
      <c r="AD19" s="17" t="s">
        <v>338</v>
      </c>
      <c r="AE19" s="17" t="s">
        <v>338</v>
      </c>
      <c r="AF19" s="17" t="s">
        <v>338</v>
      </c>
      <c r="AG19" s="16"/>
      <c r="AH19" s="16"/>
      <c r="AI19" s="16"/>
      <c r="AJ19" s="16"/>
      <c r="AK19" s="16"/>
      <c r="AL19" s="16" t="s">
        <v>339</v>
      </c>
    </row>
    <row r="20" spans="1:38" x14ac:dyDescent="0.5">
      <c r="A20">
        <v>114</v>
      </c>
      <c r="B20" s="16" t="s">
        <v>340</v>
      </c>
      <c r="C20" s="16" t="s">
        <v>340</v>
      </c>
      <c r="D20" s="16" t="s">
        <v>302</v>
      </c>
      <c r="E20" s="16" t="s">
        <v>341</v>
      </c>
      <c r="F20" s="17" t="s">
        <v>342</v>
      </c>
      <c r="H20" s="16" t="s">
        <v>343</v>
      </c>
      <c r="I20" s="16" t="s">
        <v>344</v>
      </c>
      <c r="J20" s="33">
        <v>32509</v>
      </c>
      <c r="K20" s="33">
        <v>44561</v>
      </c>
      <c r="L20" s="16" t="s">
        <v>66</v>
      </c>
      <c r="M20" s="16" t="s">
        <v>109</v>
      </c>
      <c r="N20" s="16" t="s">
        <v>110</v>
      </c>
      <c r="O20" s="16" t="s">
        <v>111</v>
      </c>
      <c r="P20" s="16" t="s">
        <v>70</v>
      </c>
      <c r="Q20" s="16" t="s">
        <v>71</v>
      </c>
      <c r="R20" s="17" t="s">
        <v>345</v>
      </c>
      <c r="S20" s="16" t="s">
        <v>346</v>
      </c>
      <c r="T20" s="16" t="s">
        <v>74</v>
      </c>
      <c r="U20" s="16" t="s">
        <v>75</v>
      </c>
      <c r="V20" s="16" t="s">
        <v>347</v>
      </c>
      <c r="W20" s="16"/>
      <c r="X20" s="16" t="s">
        <v>348</v>
      </c>
      <c r="Y20" s="16" t="s">
        <v>78</v>
      </c>
      <c r="Z20" s="16" t="s">
        <v>349</v>
      </c>
      <c r="AA20" s="16" t="s">
        <v>350</v>
      </c>
      <c r="AB20" s="17" t="s">
        <v>351</v>
      </c>
      <c r="AC20" s="16" t="s">
        <v>71</v>
      </c>
      <c r="AD20" s="17" t="s">
        <v>351</v>
      </c>
      <c r="AG20" s="16"/>
      <c r="AH20" s="16"/>
      <c r="AI20" s="16"/>
      <c r="AJ20" s="16"/>
      <c r="AK20" s="16"/>
      <c r="AL20" s="16" t="s">
        <v>352</v>
      </c>
    </row>
    <row r="21" spans="1:38" x14ac:dyDescent="0.5">
      <c r="A21">
        <v>116</v>
      </c>
      <c r="B21" s="16" t="s">
        <v>353</v>
      </c>
      <c r="C21" s="16" t="s">
        <v>353</v>
      </c>
      <c r="D21" s="16" t="s">
        <v>196</v>
      </c>
      <c r="E21" s="16" t="s">
        <v>354</v>
      </c>
      <c r="F21" s="17" t="s">
        <v>355</v>
      </c>
      <c r="G21" s="17" t="s">
        <v>356</v>
      </c>
      <c r="H21" s="16" t="s">
        <v>332</v>
      </c>
      <c r="I21" s="16" t="s">
        <v>357</v>
      </c>
      <c r="J21" s="33">
        <v>34700</v>
      </c>
      <c r="K21" s="33">
        <v>43465</v>
      </c>
      <c r="L21" s="16" t="s">
        <v>66</v>
      </c>
      <c r="M21" s="16" t="s">
        <v>167</v>
      </c>
      <c r="N21" s="16" t="s">
        <v>110</v>
      </c>
      <c r="O21" s="16" t="s">
        <v>111</v>
      </c>
      <c r="P21" s="16" t="s">
        <v>70</v>
      </c>
      <c r="Q21" s="16" t="s">
        <v>71</v>
      </c>
      <c r="R21" s="17" t="s">
        <v>358</v>
      </c>
      <c r="S21" s="16" t="s">
        <v>359</v>
      </c>
      <c r="T21" s="16" t="s">
        <v>74</v>
      </c>
      <c r="U21" s="16" t="s">
        <v>75</v>
      </c>
      <c r="V21" s="16" t="s">
        <v>360</v>
      </c>
      <c r="W21" s="16" t="s">
        <v>361</v>
      </c>
      <c r="X21" s="16" t="s">
        <v>362</v>
      </c>
      <c r="Y21" s="16" t="s">
        <v>78</v>
      </c>
      <c r="Z21" s="16" t="s">
        <v>242</v>
      </c>
      <c r="AA21" s="16" t="s">
        <v>243</v>
      </c>
      <c r="AB21" s="17" t="s">
        <v>363</v>
      </c>
      <c r="AC21" s="16" t="s">
        <v>71</v>
      </c>
      <c r="AD21" s="17" t="s">
        <v>363</v>
      </c>
      <c r="AE21" s="17" t="s">
        <v>364</v>
      </c>
      <c r="AF21" s="17" t="s">
        <v>365</v>
      </c>
      <c r="AG21" s="16"/>
      <c r="AH21" s="16"/>
      <c r="AI21" s="16"/>
      <c r="AJ21" s="16"/>
      <c r="AK21" s="16"/>
      <c r="AL21" s="16" t="s">
        <v>366</v>
      </c>
    </row>
    <row r="22" spans="1:38" x14ac:dyDescent="0.5">
      <c r="A22">
        <v>119</v>
      </c>
      <c r="B22" s="16" t="s">
        <v>367</v>
      </c>
      <c r="C22" s="16" t="s">
        <v>367</v>
      </c>
      <c r="D22" s="16" t="s">
        <v>85</v>
      </c>
      <c r="E22" s="16" t="s">
        <v>368</v>
      </c>
      <c r="F22" s="17" t="s">
        <v>369</v>
      </c>
      <c r="H22" s="16" t="s">
        <v>370</v>
      </c>
      <c r="I22" s="16" t="s">
        <v>371</v>
      </c>
      <c r="J22" s="33">
        <v>33604</v>
      </c>
      <c r="K22" s="33">
        <v>43465</v>
      </c>
      <c r="L22" s="16" t="s">
        <v>66</v>
      </c>
      <c r="M22" s="16" t="s">
        <v>90</v>
      </c>
      <c r="N22" s="16" t="s">
        <v>91</v>
      </c>
      <c r="O22" s="16" t="s">
        <v>91</v>
      </c>
      <c r="P22" s="16" t="s">
        <v>70</v>
      </c>
      <c r="Q22" s="16" t="s">
        <v>71</v>
      </c>
      <c r="R22" s="17" t="s">
        <v>372</v>
      </c>
      <c r="S22" s="16" t="s">
        <v>373</v>
      </c>
      <c r="T22" s="16" t="s">
        <v>74</v>
      </c>
      <c r="U22" s="16" t="s">
        <v>75</v>
      </c>
      <c r="V22" s="16" t="s">
        <v>374</v>
      </c>
      <c r="W22" s="16"/>
      <c r="X22" s="16" t="s">
        <v>375</v>
      </c>
      <c r="Y22" s="16" t="s">
        <v>78</v>
      </c>
      <c r="Z22" s="16" t="s">
        <v>376</v>
      </c>
      <c r="AA22" s="16" t="s">
        <v>377</v>
      </c>
      <c r="AB22" s="17" t="s">
        <v>378</v>
      </c>
      <c r="AC22" s="16" t="s">
        <v>71</v>
      </c>
      <c r="AD22" s="17" t="s">
        <v>378</v>
      </c>
      <c r="AE22" s="17" t="s">
        <v>379</v>
      </c>
      <c r="AG22" s="16"/>
      <c r="AH22" s="16"/>
      <c r="AI22" s="16"/>
      <c r="AJ22" s="16"/>
      <c r="AK22" s="16"/>
      <c r="AL22" s="16" t="s">
        <v>380</v>
      </c>
    </row>
    <row r="23" spans="1:38" x14ac:dyDescent="0.5">
      <c r="A23">
        <v>122</v>
      </c>
      <c r="B23" s="16" t="s">
        <v>381</v>
      </c>
      <c r="C23" s="16" t="s">
        <v>382</v>
      </c>
      <c r="D23" s="16" t="s">
        <v>383</v>
      </c>
      <c r="E23" s="16" t="s">
        <v>384</v>
      </c>
      <c r="F23" s="17" t="s">
        <v>385</v>
      </c>
      <c r="H23" s="16" t="s">
        <v>386</v>
      </c>
      <c r="I23" s="16" t="s">
        <v>387</v>
      </c>
      <c r="J23" s="33">
        <v>34335</v>
      </c>
      <c r="K23" s="33">
        <v>55153</v>
      </c>
      <c r="L23" s="16" t="s">
        <v>66</v>
      </c>
      <c r="M23" s="16" t="s">
        <v>109</v>
      </c>
      <c r="N23" s="16" t="s">
        <v>127</v>
      </c>
      <c r="O23" s="16" t="s">
        <v>127</v>
      </c>
      <c r="P23" s="16" t="s">
        <v>70</v>
      </c>
      <c r="Q23" s="16" t="s">
        <v>71</v>
      </c>
      <c r="R23" s="17" t="s">
        <v>388</v>
      </c>
      <c r="S23" s="16" t="s">
        <v>389</v>
      </c>
      <c r="T23" s="16" t="s">
        <v>74</v>
      </c>
      <c r="U23" s="16" t="s">
        <v>75</v>
      </c>
      <c r="V23" s="16" t="s">
        <v>390</v>
      </c>
      <c r="W23" s="16"/>
      <c r="X23" s="16" t="s">
        <v>391</v>
      </c>
      <c r="Y23" s="16" t="s">
        <v>78</v>
      </c>
      <c r="Z23" s="16" t="s">
        <v>392</v>
      </c>
      <c r="AA23" s="16" t="s">
        <v>393</v>
      </c>
      <c r="AB23" s="17" t="s">
        <v>394</v>
      </c>
      <c r="AC23" s="16" t="s">
        <v>71</v>
      </c>
      <c r="AD23" s="17" t="s">
        <v>394</v>
      </c>
      <c r="AE23" s="17" t="s">
        <v>395</v>
      </c>
      <c r="AG23" s="16"/>
      <c r="AH23" s="16"/>
      <c r="AI23" s="16"/>
      <c r="AJ23" s="16"/>
      <c r="AK23" s="16"/>
      <c r="AL23" s="16" t="s">
        <v>396</v>
      </c>
    </row>
    <row r="24" spans="1:38" x14ac:dyDescent="0.5">
      <c r="A24">
        <v>128</v>
      </c>
      <c r="B24" s="16" t="s">
        <v>397</v>
      </c>
      <c r="C24" s="16" t="s">
        <v>397</v>
      </c>
      <c r="D24" s="16"/>
      <c r="E24" s="16" t="s">
        <v>398</v>
      </c>
      <c r="F24" s="17" t="s">
        <v>399</v>
      </c>
      <c r="G24" s="17" t="s">
        <v>400</v>
      </c>
      <c r="H24" s="16" t="s">
        <v>401</v>
      </c>
      <c r="I24" s="16" t="s">
        <v>402</v>
      </c>
      <c r="J24" s="33">
        <v>32873</v>
      </c>
      <c r="K24" s="33">
        <v>55153</v>
      </c>
      <c r="L24" s="16" t="s">
        <v>66</v>
      </c>
      <c r="M24" s="16" t="s">
        <v>109</v>
      </c>
      <c r="N24" s="16" t="s">
        <v>110</v>
      </c>
      <c r="O24" s="16" t="s">
        <v>253</v>
      </c>
      <c r="P24" s="16" t="s">
        <v>70</v>
      </c>
      <c r="Q24" s="16" t="s">
        <v>71</v>
      </c>
      <c r="R24" s="17" t="s">
        <v>403</v>
      </c>
      <c r="S24" s="16" t="s">
        <v>404</v>
      </c>
      <c r="T24" s="16" t="s">
        <v>74</v>
      </c>
      <c r="U24" s="16" t="s">
        <v>75</v>
      </c>
      <c r="V24" s="16" t="s">
        <v>405</v>
      </c>
      <c r="W24" s="16"/>
      <c r="X24" s="16" t="s">
        <v>406</v>
      </c>
      <c r="Y24" s="16" t="s">
        <v>78</v>
      </c>
      <c r="Z24" s="16" t="s">
        <v>172</v>
      </c>
      <c r="AA24" s="16" t="s">
        <v>173</v>
      </c>
      <c r="AB24" s="17" t="s">
        <v>407</v>
      </c>
      <c r="AC24" s="16" t="s">
        <v>71</v>
      </c>
      <c r="AD24" s="17" t="s">
        <v>407</v>
      </c>
      <c r="AE24" s="17" t="s">
        <v>408</v>
      </c>
      <c r="AF24" s="17" t="s">
        <v>409</v>
      </c>
      <c r="AG24" s="16"/>
      <c r="AH24" s="16"/>
      <c r="AI24" s="16"/>
      <c r="AJ24" s="16"/>
      <c r="AK24" s="16"/>
      <c r="AL24" s="16" t="s">
        <v>410</v>
      </c>
    </row>
    <row r="25" spans="1:38" x14ac:dyDescent="0.5">
      <c r="A25">
        <v>138</v>
      </c>
      <c r="B25" s="16" t="s">
        <v>411</v>
      </c>
      <c r="C25" s="16" t="s">
        <v>411</v>
      </c>
      <c r="D25" s="16" t="s">
        <v>85</v>
      </c>
      <c r="E25" s="16" t="s">
        <v>412</v>
      </c>
      <c r="F25" s="17" t="s">
        <v>413</v>
      </c>
      <c r="G25" s="17" t="s">
        <v>414</v>
      </c>
      <c r="H25" s="16" t="s">
        <v>415</v>
      </c>
      <c r="I25" s="16" t="s">
        <v>183</v>
      </c>
      <c r="J25" s="33">
        <v>33604</v>
      </c>
      <c r="K25" s="33">
        <v>43465</v>
      </c>
      <c r="L25" s="16" t="s">
        <v>66</v>
      </c>
      <c r="M25" s="16" t="s">
        <v>67</v>
      </c>
      <c r="N25" s="16" t="s">
        <v>68</v>
      </c>
      <c r="O25" s="16" t="s">
        <v>220</v>
      </c>
      <c r="P25" s="16" t="s">
        <v>70</v>
      </c>
      <c r="Q25" s="16" t="s">
        <v>71</v>
      </c>
      <c r="R25" s="17" t="s">
        <v>416</v>
      </c>
      <c r="S25" s="16" t="s">
        <v>185</v>
      </c>
      <c r="T25" s="16" t="s">
        <v>74</v>
      </c>
      <c r="U25" s="16" t="s">
        <v>75</v>
      </c>
      <c r="V25" s="16" t="s">
        <v>417</v>
      </c>
      <c r="W25" s="16"/>
      <c r="X25" s="16" t="s">
        <v>188</v>
      </c>
      <c r="Y25" s="16" t="s">
        <v>78</v>
      </c>
      <c r="Z25" s="16" t="s">
        <v>189</v>
      </c>
      <c r="AA25" s="16" t="s">
        <v>190</v>
      </c>
      <c r="AB25" s="17" t="s">
        <v>418</v>
      </c>
      <c r="AC25" s="16" t="s">
        <v>71</v>
      </c>
      <c r="AD25" s="17" t="s">
        <v>418</v>
      </c>
      <c r="AG25" s="16"/>
      <c r="AH25" s="16"/>
      <c r="AI25" s="16"/>
      <c r="AJ25" s="16"/>
      <c r="AK25" s="16"/>
      <c r="AL25" s="16" t="s">
        <v>419</v>
      </c>
    </row>
    <row r="26" spans="1:38" x14ac:dyDescent="0.5">
      <c r="A26">
        <v>141</v>
      </c>
      <c r="B26" s="16" t="s">
        <v>420</v>
      </c>
      <c r="C26" s="16" t="s">
        <v>420</v>
      </c>
      <c r="D26" s="16" t="s">
        <v>421</v>
      </c>
      <c r="E26" s="16" t="s">
        <v>422</v>
      </c>
      <c r="F26" s="17" t="s">
        <v>423</v>
      </c>
      <c r="H26" s="16" t="s">
        <v>127</v>
      </c>
      <c r="I26" s="16"/>
      <c r="J26" s="33">
        <v>35796</v>
      </c>
      <c r="K26" s="33">
        <v>44196</v>
      </c>
      <c r="L26" s="16" t="s">
        <v>66</v>
      </c>
      <c r="M26" s="16" t="s">
        <v>109</v>
      </c>
      <c r="N26" s="16" t="s">
        <v>127</v>
      </c>
      <c r="O26" s="16" t="s">
        <v>127</v>
      </c>
      <c r="P26" s="16" t="s">
        <v>70</v>
      </c>
      <c r="Q26" s="16" t="s">
        <v>71</v>
      </c>
      <c r="R26" s="17" t="s">
        <v>424</v>
      </c>
      <c r="S26" s="16" t="s">
        <v>359</v>
      </c>
      <c r="T26" s="16" t="s">
        <v>74</v>
      </c>
      <c r="U26" s="16" t="s">
        <v>75</v>
      </c>
      <c r="V26" s="16" t="s">
        <v>425</v>
      </c>
      <c r="W26" s="16"/>
      <c r="X26" s="16" t="s">
        <v>426</v>
      </c>
      <c r="Y26" s="16" t="s">
        <v>78</v>
      </c>
      <c r="Z26" s="16" t="s">
        <v>242</v>
      </c>
      <c r="AA26" s="16" t="s">
        <v>243</v>
      </c>
      <c r="AB26" s="17" t="s">
        <v>427</v>
      </c>
      <c r="AC26" s="16" t="s">
        <v>71</v>
      </c>
      <c r="AD26" s="17" t="s">
        <v>427</v>
      </c>
      <c r="AE26" s="17" t="s">
        <v>428</v>
      </c>
      <c r="AG26" s="16"/>
      <c r="AH26" s="16"/>
      <c r="AI26" s="16"/>
      <c r="AJ26" s="16"/>
      <c r="AK26" s="16"/>
      <c r="AL26" s="16" t="s">
        <v>429</v>
      </c>
    </row>
    <row r="27" spans="1:38" x14ac:dyDescent="0.5">
      <c r="A27">
        <v>152</v>
      </c>
      <c r="B27" s="16" t="s">
        <v>430</v>
      </c>
      <c r="C27" s="16" t="s">
        <v>430</v>
      </c>
      <c r="D27" s="16"/>
      <c r="E27" s="16" t="s">
        <v>431</v>
      </c>
      <c r="F27" s="17" t="s">
        <v>432</v>
      </c>
      <c r="G27" s="17" t="s">
        <v>433</v>
      </c>
      <c r="H27" s="16" t="s">
        <v>434</v>
      </c>
      <c r="I27" s="16" t="s">
        <v>435</v>
      </c>
      <c r="J27" s="33">
        <v>35796</v>
      </c>
      <c r="K27" s="33">
        <v>43465</v>
      </c>
      <c r="L27" s="16" t="s">
        <v>66</v>
      </c>
      <c r="M27" s="16" t="s">
        <v>67</v>
      </c>
      <c r="N27" s="16" t="s">
        <v>68</v>
      </c>
      <c r="O27" s="16" t="s">
        <v>436</v>
      </c>
      <c r="P27" s="16" t="s">
        <v>70</v>
      </c>
      <c r="Q27" s="16" t="s">
        <v>71</v>
      </c>
      <c r="R27" s="17" t="s">
        <v>437</v>
      </c>
      <c r="S27" s="16" t="s">
        <v>222</v>
      </c>
      <c r="T27" s="16" t="s">
        <v>74</v>
      </c>
      <c r="U27" s="16" t="s">
        <v>75</v>
      </c>
      <c r="V27" s="16" t="s">
        <v>438</v>
      </c>
      <c r="W27" s="16"/>
      <c r="X27" s="16" t="s">
        <v>225</v>
      </c>
      <c r="Y27" s="16" t="s">
        <v>78</v>
      </c>
      <c r="Z27" s="16" t="s">
        <v>189</v>
      </c>
      <c r="AA27" s="16" t="s">
        <v>190</v>
      </c>
      <c r="AB27" s="17" t="s">
        <v>439</v>
      </c>
      <c r="AC27" s="16" t="s">
        <v>71</v>
      </c>
      <c r="AD27" s="17" t="s">
        <v>439</v>
      </c>
      <c r="AF27" s="17" t="s">
        <v>440</v>
      </c>
      <c r="AG27" s="16"/>
      <c r="AH27" s="16"/>
      <c r="AI27" s="16"/>
      <c r="AJ27" s="16"/>
      <c r="AK27" s="16"/>
      <c r="AL27" s="16" t="s">
        <v>441</v>
      </c>
    </row>
    <row r="28" spans="1:38" x14ac:dyDescent="0.5">
      <c r="A28">
        <v>157</v>
      </c>
      <c r="B28" s="16" t="s">
        <v>442</v>
      </c>
      <c r="C28" s="16" t="s">
        <v>442</v>
      </c>
      <c r="D28" s="16"/>
      <c r="E28" s="16" t="s">
        <v>443</v>
      </c>
      <c r="F28" s="17" t="s">
        <v>444</v>
      </c>
      <c r="H28" s="16" t="s">
        <v>445</v>
      </c>
      <c r="I28" s="16" t="s">
        <v>446</v>
      </c>
      <c r="J28" s="33">
        <v>35796</v>
      </c>
      <c r="K28" s="33">
        <v>43465</v>
      </c>
      <c r="L28" s="16" t="s">
        <v>66</v>
      </c>
      <c r="M28" s="16" t="s">
        <v>167</v>
      </c>
      <c r="N28" s="16" t="s">
        <v>110</v>
      </c>
      <c r="O28" s="16" t="s">
        <v>111</v>
      </c>
      <c r="P28" s="16" t="s">
        <v>70</v>
      </c>
      <c r="Q28" s="16" t="s">
        <v>71</v>
      </c>
      <c r="R28" s="17" t="s">
        <v>447</v>
      </c>
      <c r="S28" s="16" t="s">
        <v>448</v>
      </c>
      <c r="T28" s="16" t="s">
        <v>74</v>
      </c>
      <c r="U28" s="16" t="s">
        <v>75</v>
      </c>
      <c r="V28" s="16" t="s">
        <v>449</v>
      </c>
      <c r="W28" s="16"/>
      <c r="X28" s="16" t="s">
        <v>450</v>
      </c>
      <c r="Y28" s="16" t="s">
        <v>78</v>
      </c>
      <c r="Z28" s="16" t="s">
        <v>189</v>
      </c>
      <c r="AA28" s="16" t="s">
        <v>190</v>
      </c>
      <c r="AB28" s="17" t="s">
        <v>451</v>
      </c>
      <c r="AC28" s="16" t="s">
        <v>71</v>
      </c>
      <c r="AD28" s="17" t="s">
        <v>451</v>
      </c>
      <c r="AG28" s="16"/>
      <c r="AH28" s="16"/>
      <c r="AI28" s="16"/>
      <c r="AJ28" s="16"/>
      <c r="AK28" s="16"/>
      <c r="AL28" s="16" t="s">
        <v>452</v>
      </c>
    </row>
    <row r="29" spans="1:38" x14ac:dyDescent="0.5">
      <c r="A29">
        <v>167</v>
      </c>
      <c r="B29" s="16" t="s">
        <v>453</v>
      </c>
      <c r="C29" s="16" t="s">
        <v>453</v>
      </c>
      <c r="D29" s="16"/>
      <c r="E29" s="16" t="s">
        <v>454</v>
      </c>
      <c r="F29" s="17" t="s">
        <v>455</v>
      </c>
      <c r="H29" s="16" t="s">
        <v>456</v>
      </c>
      <c r="I29" s="16" t="s">
        <v>457</v>
      </c>
      <c r="J29" s="33">
        <v>35796</v>
      </c>
      <c r="K29" s="33">
        <v>43465</v>
      </c>
      <c r="L29" s="16" t="s">
        <v>66</v>
      </c>
      <c r="M29" s="16" t="s">
        <v>67</v>
      </c>
      <c r="N29" s="16" t="s">
        <v>68</v>
      </c>
      <c r="O29" s="16" t="s">
        <v>436</v>
      </c>
      <c r="P29" s="16" t="s">
        <v>70</v>
      </c>
      <c r="Q29" s="16" t="s">
        <v>71</v>
      </c>
      <c r="R29" s="17" t="s">
        <v>458</v>
      </c>
      <c r="S29" s="16" t="s">
        <v>459</v>
      </c>
      <c r="T29" s="16" t="s">
        <v>74</v>
      </c>
      <c r="U29" s="16" t="s">
        <v>75</v>
      </c>
      <c r="V29" s="16" t="s">
        <v>460</v>
      </c>
      <c r="W29" s="16"/>
      <c r="X29" s="16" t="s">
        <v>461</v>
      </c>
      <c r="Y29" s="16" t="s">
        <v>78</v>
      </c>
      <c r="Z29" s="16" t="s">
        <v>242</v>
      </c>
      <c r="AA29" s="16" t="s">
        <v>243</v>
      </c>
      <c r="AB29" s="17" t="s">
        <v>462</v>
      </c>
      <c r="AC29" s="16" t="s">
        <v>71</v>
      </c>
      <c r="AD29" s="17" t="s">
        <v>462</v>
      </c>
      <c r="AG29" s="16"/>
      <c r="AH29" s="16"/>
      <c r="AI29" s="16"/>
      <c r="AJ29" s="16"/>
      <c r="AK29" s="16"/>
      <c r="AL29" s="16" t="s">
        <v>463</v>
      </c>
    </row>
    <row r="30" spans="1:38" x14ac:dyDescent="0.5">
      <c r="A30">
        <v>174</v>
      </c>
      <c r="B30" s="16" t="s">
        <v>464</v>
      </c>
      <c r="C30" s="16" t="s">
        <v>464</v>
      </c>
      <c r="D30" s="16" t="s">
        <v>465</v>
      </c>
      <c r="E30" s="16" t="s">
        <v>466</v>
      </c>
      <c r="F30" s="17" t="s">
        <v>467</v>
      </c>
      <c r="H30" s="16" t="s">
        <v>468</v>
      </c>
      <c r="I30" s="16" t="s">
        <v>469</v>
      </c>
      <c r="J30" s="33">
        <v>34335</v>
      </c>
      <c r="K30" s="33">
        <v>55153</v>
      </c>
      <c r="L30" s="16" t="s">
        <v>66</v>
      </c>
      <c r="M30" s="16" t="s">
        <v>109</v>
      </c>
      <c r="N30" s="16" t="s">
        <v>110</v>
      </c>
      <c r="O30" s="16" t="s">
        <v>280</v>
      </c>
      <c r="P30" s="16" t="s">
        <v>70</v>
      </c>
      <c r="Q30" s="16" t="s">
        <v>71</v>
      </c>
      <c r="R30" s="17" t="s">
        <v>470</v>
      </c>
      <c r="S30" s="16" t="s">
        <v>222</v>
      </c>
      <c r="T30" s="16" t="s">
        <v>74</v>
      </c>
      <c r="U30" s="16" t="s">
        <v>75</v>
      </c>
      <c r="V30" s="16" t="s">
        <v>471</v>
      </c>
      <c r="W30" s="16" t="s">
        <v>472</v>
      </c>
      <c r="X30" s="16" t="s">
        <v>473</v>
      </c>
      <c r="Y30" s="16" t="s">
        <v>78</v>
      </c>
      <c r="Z30" s="16" t="s">
        <v>189</v>
      </c>
      <c r="AA30" s="16" t="s">
        <v>190</v>
      </c>
      <c r="AB30" s="17" t="s">
        <v>474</v>
      </c>
      <c r="AC30" s="16" t="s">
        <v>71</v>
      </c>
      <c r="AD30" s="17" t="s">
        <v>474</v>
      </c>
      <c r="AG30" s="16"/>
      <c r="AH30" s="16"/>
      <c r="AI30" s="16"/>
      <c r="AJ30" s="16"/>
      <c r="AK30" s="16"/>
      <c r="AL30" s="16" t="s">
        <v>475</v>
      </c>
    </row>
    <row r="31" spans="1:38" x14ac:dyDescent="0.5">
      <c r="A31">
        <v>176</v>
      </c>
      <c r="B31" s="16" t="s">
        <v>476</v>
      </c>
      <c r="C31" s="16" t="s">
        <v>477</v>
      </c>
      <c r="D31" s="16" t="s">
        <v>302</v>
      </c>
      <c r="E31" s="16" t="s">
        <v>478</v>
      </c>
      <c r="F31" s="17" t="s">
        <v>479</v>
      </c>
      <c r="H31" s="16" t="s">
        <v>142</v>
      </c>
      <c r="I31" s="16" t="s">
        <v>478</v>
      </c>
      <c r="J31" s="33">
        <v>33970</v>
      </c>
      <c r="K31" s="33">
        <v>43465</v>
      </c>
      <c r="L31" s="16" t="s">
        <v>66</v>
      </c>
      <c r="M31" s="16" t="s">
        <v>167</v>
      </c>
      <c r="N31" s="16" t="s">
        <v>110</v>
      </c>
      <c r="O31" s="16" t="s">
        <v>280</v>
      </c>
      <c r="P31" s="16" t="s">
        <v>70</v>
      </c>
      <c r="Q31" s="16" t="s">
        <v>71</v>
      </c>
      <c r="R31" s="17" t="s">
        <v>480</v>
      </c>
      <c r="S31" s="16" t="s">
        <v>113</v>
      </c>
      <c r="T31" s="16" t="s">
        <v>74</v>
      </c>
      <c r="U31" s="16" t="s">
        <v>75</v>
      </c>
      <c r="V31" s="16" t="s">
        <v>481</v>
      </c>
      <c r="W31" s="16"/>
      <c r="X31" s="16" t="s">
        <v>482</v>
      </c>
      <c r="Y31" s="16" t="s">
        <v>78</v>
      </c>
      <c r="Z31" s="16" t="s">
        <v>117</v>
      </c>
      <c r="AA31" s="16" t="s">
        <v>113</v>
      </c>
      <c r="AB31" s="17" t="s">
        <v>483</v>
      </c>
      <c r="AC31" s="16" t="s">
        <v>71</v>
      </c>
      <c r="AD31" s="17" t="s">
        <v>483</v>
      </c>
      <c r="AG31" s="16"/>
      <c r="AH31" s="16"/>
      <c r="AI31" s="16"/>
      <c r="AJ31" s="16"/>
      <c r="AK31" s="16"/>
      <c r="AL31" s="16" t="s">
        <v>484</v>
      </c>
    </row>
    <row r="32" spans="1:38" x14ac:dyDescent="0.5">
      <c r="A32">
        <v>180</v>
      </c>
      <c r="B32" s="16" t="s">
        <v>246</v>
      </c>
      <c r="C32" s="16" t="s">
        <v>247</v>
      </c>
      <c r="D32" s="16" t="s">
        <v>485</v>
      </c>
      <c r="E32" s="16" t="s">
        <v>486</v>
      </c>
      <c r="F32" s="17" t="s">
        <v>487</v>
      </c>
      <c r="G32" s="17" t="s">
        <v>487</v>
      </c>
      <c r="H32" s="16" t="s">
        <v>127</v>
      </c>
      <c r="I32" s="16"/>
      <c r="J32" s="33">
        <v>35431</v>
      </c>
      <c r="K32" s="33">
        <v>43465</v>
      </c>
      <c r="L32" s="16" t="s">
        <v>66</v>
      </c>
      <c r="M32" s="16" t="s">
        <v>291</v>
      </c>
      <c r="N32" s="16" t="s">
        <v>127</v>
      </c>
      <c r="O32" s="16" t="s">
        <v>127</v>
      </c>
      <c r="P32" s="16" t="s">
        <v>70</v>
      </c>
      <c r="Q32" s="16" t="s">
        <v>71</v>
      </c>
      <c r="R32" s="17" t="s">
        <v>488</v>
      </c>
      <c r="S32" s="16" t="s">
        <v>489</v>
      </c>
      <c r="T32" s="16" t="s">
        <v>74</v>
      </c>
      <c r="U32" s="16" t="s">
        <v>75</v>
      </c>
      <c r="V32" s="16" t="s">
        <v>490</v>
      </c>
      <c r="W32" s="16"/>
      <c r="X32" s="16" t="s">
        <v>491</v>
      </c>
      <c r="Y32" s="16" t="s">
        <v>78</v>
      </c>
      <c r="Z32" s="16" t="s">
        <v>492</v>
      </c>
      <c r="AA32" s="16" t="s">
        <v>493</v>
      </c>
      <c r="AB32" s="17" t="s">
        <v>494</v>
      </c>
      <c r="AC32" s="16" t="s">
        <v>495</v>
      </c>
      <c r="AE32" s="17" t="s">
        <v>494</v>
      </c>
      <c r="AF32" s="17" t="s">
        <v>496</v>
      </c>
      <c r="AG32" s="16"/>
      <c r="AH32" s="16"/>
      <c r="AI32" s="16"/>
      <c r="AJ32" s="16"/>
      <c r="AK32" s="16"/>
      <c r="AL32" s="16" t="s">
        <v>497</v>
      </c>
    </row>
    <row r="33" spans="1:38" x14ac:dyDescent="0.5">
      <c r="A33">
        <v>184</v>
      </c>
      <c r="B33" s="16" t="s">
        <v>498</v>
      </c>
      <c r="C33" s="16" t="s">
        <v>499</v>
      </c>
      <c r="D33" s="16" t="s">
        <v>261</v>
      </c>
      <c r="E33" s="16" t="s">
        <v>500</v>
      </c>
      <c r="F33" s="17" t="s">
        <v>501</v>
      </c>
      <c r="H33" s="16" t="s">
        <v>502</v>
      </c>
      <c r="I33" s="16" t="s">
        <v>503</v>
      </c>
      <c r="J33" s="33">
        <v>34700</v>
      </c>
      <c r="K33" s="33">
        <v>55153</v>
      </c>
      <c r="L33" s="16" t="s">
        <v>66</v>
      </c>
      <c r="M33" s="16" t="s">
        <v>109</v>
      </c>
      <c r="N33" s="16" t="s">
        <v>91</v>
      </c>
      <c r="O33" s="16" t="s">
        <v>220</v>
      </c>
      <c r="P33" s="16" t="s">
        <v>70</v>
      </c>
      <c r="Q33" s="16" t="s">
        <v>71</v>
      </c>
      <c r="R33" s="17" t="s">
        <v>504</v>
      </c>
      <c r="S33" s="16" t="s">
        <v>505</v>
      </c>
      <c r="T33" s="16" t="s">
        <v>74</v>
      </c>
      <c r="U33" s="16" t="s">
        <v>75</v>
      </c>
      <c r="V33" s="16" t="s">
        <v>506</v>
      </c>
      <c r="W33" s="16"/>
      <c r="X33" s="16" t="s">
        <v>507</v>
      </c>
      <c r="Y33" s="16" t="s">
        <v>78</v>
      </c>
      <c r="Z33" s="16" t="s">
        <v>508</v>
      </c>
      <c r="AA33" s="16" t="s">
        <v>509</v>
      </c>
      <c r="AB33" s="17" t="s">
        <v>510</v>
      </c>
      <c r="AC33" s="16" t="s">
        <v>71</v>
      </c>
      <c r="AD33" s="17" t="s">
        <v>510</v>
      </c>
      <c r="AE33" s="17" t="s">
        <v>511</v>
      </c>
      <c r="AF33" s="17" t="s">
        <v>510</v>
      </c>
      <c r="AG33" s="16"/>
      <c r="AH33" s="16"/>
      <c r="AI33" s="16"/>
      <c r="AJ33" s="16"/>
      <c r="AK33" s="16"/>
      <c r="AL33" s="16" t="s">
        <v>512</v>
      </c>
    </row>
    <row r="34" spans="1:38" x14ac:dyDescent="0.5">
      <c r="A34">
        <v>186</v>
      </c>
      <c r="B34" s="16" t="s">
        <v>513</v>
      </c>
      <c r="C34" s="16" t="s">
        <v>276</v>
      </c>
      <c r="D34" s="16" t="s">
        <v>261</v>
      </c>
      <c r="E34" s="16" t="s">
        <v>514</v>
      </c>
      <c r="F34" s="17" t="s">
        <v>515</v>
      </c>
      <c r="H34" s="16" t="s">
        <v>127</v>
      </c>
      <c r="I34" s="16"/>
      <c r="J34" s="33">
        <v>32143</v>
      </c>
      <c r="K34" s="33">
        <v>44196</v>
      </c>
      <c r="L34" s="16" t="s">
        <v>66</v>
      </c>
      <c r="M34" s="16" t="s">
        <v>109</v>
      </c>
      <c r="N34" s="16" t="s">
        <v>127</v>
      </c>
      <c r="O34" s="16" t="s">
        <v>127</v>
      </c>
      <c r="P34" s="16" t="s">
        <v>70</v>
      </c>
      <c r="Q34" s="16" t="s">
        <v>71</v>
      </c>
      <c r="R34" s="17" t="s">
        <v>516</v>
      </c>
      <c r="S34" s="16" t="s">
        <v>517</v>
      </c>
      <c r="T34" s="16" t="s">
        <v>74</v>
      </c>
      <c r="U34" s="16" t="s">
        <v>75</v>
      </c>
      <c r="V34" s="16" t="s">
        <v>518</v>
      </c>
      <c r="W34" s="16"/>
      <c r="X34" s="16" t="s">
        <v>519</v>
      </c>
      <c r="Y34" s="16" t="s">
        <v>78</v>
      </c>
      <c r="Z34" s="16" t="s">
        <v>242</v>
      </c>
      <c r="AA34" s="16" t="s">
        <v>243</v>
      </c>
      <c r="AB34" s="17" t="s">
        <v>520</v>
      </c>
      <c r="AC34" s="16" t="s">
        <v>71</v>
      </c>
      <c r="AD34" s="17" t="s">
        <v>520</v>
      </c>
      <c r="AE34" s="17" t="s">
        <v>520</v>
      </c>
      <c r="AG34" s="16"/>
      <c r="AH34" s="16"/>
      <c r="AI34" s="16"/>
      <c r="AJ34" s="16"/>
      <c r="AK34" s="16"/>
      <c r="AL34" s="16" t="s">
        <v>521</v>
      </c>
    </row>
    <row r="35" spans="1:38" x14ac:dyDescent="0.5">
      <c r="A35">
        <v>196</v>
      </c>
      <c r="B35" s="16" t="s">
        <v>381</v>
      </c>
      <c r="C35" s="16" t="s">
        <v>382</v>
      </c>
      <c r="D35" s="16" t="s">
        <v>383</v>
      </c>
      <c r="E35" s="16" t="s">
        <v>522</v>
      </c>
      <c r="F35" s="17" t="s">
        <v>523</v>
      </c>
      <c r="G35" s="17" t="s">
        <v>523</v>
      </c>
      <c r="H35" s="16" t="s">
        <v>524</v>
      </c>
      <c r="I35" s="16" t="s">
        <v>525</v>
      </c>
      <c r="J35" s="33">
        <v>31413</v>
      </c>
      <c r="K35" s="33">
        <v>44196</v>
      </c>
      <c r="L35" s="16" t="s">
        <v>66</v>
      </c>
      <c r="M35" s="16" t="s">
        <v>109</v>
      </c>
      <c r="N35" s="16" t="s">
        <v>110</v>
      </c>
      <c r="O35" s="16" t="s">
        <v>253</v>
      </c>
      <c r="P35" s="16" t="s">
        <v>70</v>
      </c>
      <c r="Q35" s="16" t="s">
        <v>71</v>
      </c>
      <c r="R35" s="17" t="s">
        <v>526</v>
      </c>
      <c r="S35" s="16" t="s">
        <v>527</v>
      </c>
      <c r="T35" s="16" t="s">
        <v>74</v>
      </c>
      <c r="U35" s="16" t="s">
        <v>75</v>
      </c>
      <c r="V35" s="16" t="s">
        <v>528</v>
      </c>
      <c r="W35" s="16"/>
      <c r="X35" s="16" t="s">
        <v>529</v>
      </c>
      <c r="Y35" s="16" t="s">
        <v>78</v>
      </c>
      <c r="Z35" s="16" t="s">
        <v>207</v>
      </c>
      <c r="AA35" s="16" t="s">
        <v>208</v>
      </c>
      <c r="AB35" s="17" t="s">
        <v>530</v>
      </c>
      <c r="AC35" s="16" t="s">
        <v>71</v>
      </c>
      <c r="AD35" s="17" t="s">
        <v>530</v>
      </c>
      <c r="AE35" s="17" t="s">
        <v>530</v>
      </c>
      <c r="AF35" s="17" t="s">
        <v>530</v>
      </c>
      <c r="AG35" s="16"/>
      <c r="AH35" s="16"/>
      <c r="AI35" s="16"/>
      <c r="AJ35" s="16"/>
      <c r="AK35" s="16"/>
      <c r="AL35" s="16" t="s">
        <v>531</v>
      </c>
    </row>
    <row r="36" spans="1:38" x14ac:dyDescent="0.5">
      <c r="A36">
        <v>202</v>
      </c>
      <c r="B36" s="16" t="s">
        <v>532</v>
      </c>
      <c r="C36" s="16" t="s">
        <v>532</v>
      </c>
      <c r="D36" s="16" t="s">
        <v>533</v>
      </c>
      <c r="E36" s="16" t="s">
        <v>534</v>
      </c>
      <c r="F36" s="17" t="s">
        <v>535</v>
      </c>
      <c r="H36" s="16" t="s">
        <v>536</v>
      </c>
      <c r="I36" s="16" t="s">
        <v>537</v>
      </c>
      <c r="J36" s="33">
        <v>33604</v>
      </c>
      <c r="K36" s="33">
        <v>43465</v>
      </c>
      <c r="L36" s="16" t="s">
        <v>66</v>
      </c>
      <c r="M36" s="16" t="s">
        <v>67</v>
      </c>
      <c r="N36" s="16" t="s">
        <v>68</v>
      </c>
      <c r="O36" s="16" t="s">
        <v>436</v>
      </c>
      <c r="P36" s="16" t="s">
        <v>70</v>
      </c>
      <c r="Q36" s="16" t="s">
        <v>71</v>
      </c>
      <c r="R36" s="17" t="s">
        <v>538</v>
      </c>
      <c r="S36" s="16" t="s">
        <v>539</v>
      </c>
      <c r="T36" s="16" t="s">
        <v>74</v>
      </c>
      <c r="U36" s="16" t="s">
        <v>75</v>
      </c>
      <c r="V36" s="16" t="s">
        <v>540</v>
      </c>
      <c r="W36" s="16"/>
      <c r="X36" s="16" t="s">
        <v>541</v>
      </c>
      <c r="Y36" s="16" t="s">
        <v>78</v>
      </c>
      <c r="Z36" s="16" t="s">
        <v>189</v>
      </c>
      <c r="AA36" s="16" t="s">
        <v>190</v>
      </c>
      <c r="AB36" s="17" t="s">
        <v>542</v>
      </c>
      <c r="AC36" s="16" t="s">
        <v>71</v>
      </c>
      <c r="AD36" s="17" t="s">
        <v>542</v>
      </c>
      <c r="AF36" s="17" t="s">
        <v>543</v>
      </c>
      <c r="AG36" s="16"/>
      <c r="AH36" s="16"/>
      <c r="AI36" s="16"/>
      <c r="AJ36" s="16"/>
      <c r="AK36" s="16"/>
      <c r="AL36" s="16" t="s">
        <v>544</v>
      </c>
    </row>
    <row r="37" spans="1:38" x14ac:dyDescent="0.5">
      <c r="A37">
        <v>204</v>
      </c>
      <c r="B37" s="16" t="s">
        <v>246</v>
      </c>
      <c r="C37" s="16" t="s">
        <v>246</v>
      </c>
      <c r="D37" s="16" t="s">
        <v>302</v>
      </c>
      <c r="E37" s="16" t="s">
        <v>545</v>
      </c>
      <c r="F37" s="17" t="s">
        <v>546</v>
      </c>
      <c r="G37" s="17" t="s">
        <v>547</v>
      </c>
      <c r="H37" s="16" t="s">
        <v>127</v>
      </c>
      <c r="I37" s="16"/>
      <c r="J37" s="33">
        <v>33239</v>
      </c>
      <c r="K37" s="33">
        <v>55153</v>
      </c>
      <c r="L37" s="16" t="s">
        <v>66</v>
      </c>
      <c r="M37" s="16" t="s">
        <v>109</v>
      </c>
      <c r="N37" s="16" t="s">
        <v>127</v>
      </c>
      <c r="O37" s="16" t="s">
        <v>127</v>
      </c>
      <c r="P37" s="16" t="s">
        <v>70</v>
      </c>
      <c r="Q37" s="16" t="s">
        <v>71</v>
      </c>
      <c r="R37" s="17" t="s">
        <v>548</v>
      </c>
      <c r="S37" s="16" t="s">
        <v>549</v>
      </c>
      <c r="T37" s="16" t="s">
        <v>74</v>
      </c>
      <c r="U37" s="16" t="s">
        <v>75</v>
      </c>
      <c r="V37" s="16" t="s">
        <v>550</v>
      </c>
      <c r="W37" s="16"/>
      <c r="X37" s="16" t="s">
        <v>551</v>
      </c>
      <c r="Y37" s="16" t="s">
        <v>78</v>
      </c>
      <c r="Z37" s="16" t="s">
        <v>392</v>
      </c>
      <c r="AA37" s="16" t="s">
        <v>393</v>
      </c>
      <c r="AB37" s="17" t="s">
        <v>552</v>
      </c>
      <c r="AC37" s="16" t="s">
        <v>71</v>
      </c>
      <c r="AD37" s="17" t="s">
        <v>552</v>
      </c>
      <c r="AE37" s="17" t="s">
        <v>553</v>
      </c>
      <c r="AF37" s="17" t="s">
        <v>554</v>
      </c>
      <c r="AG37" s="16"/>
      <c r="AH37" s="16"/>
      <c r="AI37" s="16"/>
      <c r="AJ37" s="16"/>
      <c r="AK37" s="16"/>
      <c r="AL37" s="16" t="s">
        <v>555</v>
      </c>
    </row>
    <row r="38" spans="1:38" x14ac:dyDescent="0.5">
      <c r="A38">
        <v>208</v>
      </c>
      <c r="B38" s="16" t="s">
        <v>246</v>
      </c>
      <c r="C38" s="16" t="s">
        <v>247</v>
      </c>
      <c r="D38" s="16" t="s">
        <v>123</v>
      </c>
      <c r="E38" s="16" t="s">
        <v>556</v>
      </c>
      <c r="F38" s="17" t="s">
        <v>557</v>
      </c>
      <c r="H38" s="16"/>
      <c r="I38" s="16" t="s">
        <v>558</v>
      </c>
      <c r="J38" s="33">
        <v>32143</v>
      </c>
      <c r="K38" s="33">
        <v>43465</v>
      </c>
      <c r="L38" s="16" t="s">
        <v>66</v>
      </c>
      <c r="M38" s="16" t="s">
        <v>291</v>
      </c>
      <c r="N38" s="16" t="s">
        <v>127</v>
      </c>
      <c r="O38" s="16" t="s">
        <v>127</v>
      </c>
      <c r="P38" s="16" t="s">
        <v>70</v>
      </c>
      <c r="Q38" s="16" t="s">
        <v>71</v>
      </c>
      <c r="R38" s="17" t="s">
        <v>559</v>
      </c>
      <c r="S38" s="16" t="s">
        <v>560</v>
      </c>
      <c r="T38" s="16" t="s">
        <v>74</v>
      </c>
      <c r="U38" s="16" t="s">
        <v>75</v>
      </c>
      <c r="V38" s="16" t="s">
        <v>561</v>
      </c>
      <c r="W38" s="16"/>
      <c r="X38" s="16" t="s">
        <v>562</v>
      </c>
      <c r="Y38" s="16" t="s">
        <v>78</v>
      </c>
      <c r="Z38" s="16" t="s">
        <v>296</v>
      </c>
      <c r="AA38" s="16" t="s">
        <v>297</v>
      </c>
      <c r="AB38" s="17" t="s">
        <v>563</v>
      </c>
      <c r="AC38" s="16" t="s">
        <v>71</v>
      </c>
      <c r="AD38" s="17" t="s">
        <v>563</v>
      </c>
      <c r="AF38" s="17" t="s">
        <v>564</v>
      </c>
      <c r="AG38" s="16"/>
      <c r="AH38" s="16"/>
      <c r="AI38" s="16"/>
      <c r="AJ38" s="16"/>
      <c r="AK38" s="16"/>
      <c r="AL38" s="16" t="s">
        <v>565</v>
      </c>
    </row>
    <row r="39" spans="1:38" x14ac:dyDescent="0.5">
      <c r="A39">
        <v>209</v>
      </c>
      <c r="B39" s="16" t="s">
        <v>566</v>
      </c>
      <c r="C39" s="16" t="s">
        <v>567</v>
      </c>
      <c r="D39" s="16" t="s">
        <v>103</v>
      </c>
      <c r="E39" s="16" t="s">
        <v>568</v>
      </c>
      <c r="F39" s="17" t="s">
        <v>569</v>
      </c>
      <c r="H39" s="16" t="s">
        <v>570</v>
      </c>
      <c r="I39" s="16" t="s">
        <v>571</v>
      </c>
      <c r="J39" s="33">
        <v>41036</v>
      </c>
      <c r="K39" s="33">
        <v>43465</v>
      </c>
      <c r="L39" s="16" t="s">
        <v>66</v>
      </c>
      <c r="M39" s="16" t="s">
        <v>67</v>
      </c>
      <c r="N39" s="16" t="s">
        <v>68</v>
      </c>
      <c r="O39" s="16" t="s">
        <v>436</v>
      </c>
      <c r="P39" s="16" t="s">
        <v>572</v>
      </c>
      <c r="Q39" s="16" t="s">
        <v>71</v>
      </c>
      <c r="R39" s="17" t="s">
        <v>573</v>
      </c>
      <c r="S39" s="16" t="s">
        <v>113</v>
      </c>
      <c r="T39" s="16" t="s">
        <v>74</v>
      </c>
      <c r="U39" s="16" t="s">
        <v>75</v>
      </c>
      <c r="V39" s="16" t="s">
        <v>574</v>
      </c>
      <c r="W39" s="16" t="s">
        <v>575</v>
      </c>
      <c r="X39" s="16" t="s">
        <v>576</v>
      </c>
      <c r="Y39" s="16" t="s">
        <v>78</v>
      </c>
      <c r="Z39" s="16" t="s">
        <v>117</v>
      </c>
      <c r="AA39" s="16" t="s">
        <v>113</v>
      </c>
      <c r="AB39" s="17" t="s">
        <v>577</v>
      </c>
      <c r="AC39" s="16" t="s">
        <v>71</v>
      </c>
      <c r="AD39" s="17" t="s">
        <v>577</v>
      </c>
      <c r="AG39" s="16" t="s">
        <v>578</v>
      </c>
      <c r="AH39" s="16" t="s">
        <v>579</v>
      </c>
      <c r="AI39" s="16"/>
      <c r="AJ39" s="16"/>
      <c r="AK39" s="16"/>
      <c r="AL39" s="16" t="s">
        <v>580</v>
      </c>
    </row>
    <row r="40" spans="1:38" x14ac:dyDescent="0.5">
      <c r="A40">
        <v>210</v>
      </c>
      <c r="B40" s="16" t="s">
        <v>340</v>
      </c>
      <c r="C40" s="16" t="s">
        <v>340</v>
      </c>
      <c r="D40" s="16" t="s">
        <v>581</v>
      </c>
      <c r="E40" s="16" t="s">
        <v>582</v>
      </c>
      <c r="F40" s="17" t="s">
        <v>583</v>
      </c>
      <c r="G40" s="17" t="s">
        <v>584</v>
      </c>
      <c r="H40" s="16" t="s">
        <v>585</v>
      </c>
      <c r="I40" s="16" t="s">
        <v>469</v>
      </c>
      <c r="J40" s="33">
        <v>34335</v>
      </c>
      <c r="K40" s="33">
        <v>55153</v>
      </c>
      <c r="L40" s="16" t="s">
        <v>66</v>
      </c>
      <c r="M40" s="16" t="s">
        <v>109</v>
      </c>
      <c r="N40" s="16" t="s">
        <v>110</v>
      </c>
      <c r="O40" s="16" t="s">
        <v>111</v>
      </c>
      <c r="P40" s="16" t="s">
        <v>70</v>
      </c>
      <c r="Q40" s="16" t="s">
        <v>71</v>
      </c>
      <c r="R40" s="17" t="s">
        <v>470</v>
      </c>
      <c r="S40" s="16" t="s">
        <v>222</v>
      </c>
      <c r="T40" s="16" t="s">
        <v>74</v>
      </c>
      <c r="U40" s="16" t="s">
        <v>75</v>
      </c>
      <c r="V40" s="16" t="s">
        <v>471</v>
      </c>
      <c r="W40" s="16" t="s">
        <v>472</v>
      </c>
      <c r="X40" s="16" t="s">
        <v>473</v>
      </c>
      <c r="Y40" s="16" t="s">
        <v>78</v>
      </c>
      <c r="Z40" s="16" t="s">
        <v>189</v>
      </c>
      <c r="AA40" s="16" t="s">
        <v>190</v>
      </c>
      <c r="AB40" s="17" t="s">
        <v>586</v>
      </c>
      <c r="AC40" s="16" t="s">
        <v>71</v>
      </c>
      <c r="AD40" s="17" t="s">
        <v>586</v>
      </c>
      <c r="AE40" s="17" t="s">
        <v>587</v>
      </c>
      <c r="AG40" s="16"/>
      <c r="AH40" s="16"/>
      <c r="AI40" s="16"/>
      <c r="AJ40" s="16"/>
      <c r="AK40" s="16"/>
      <c r="AL40" s="16" t="s">
        <v>588</v>
      </c>
    </row>
    <row r="41" spans="1:38" x14ac:dyDescent="0.5">
      <c r="A41">
        <v>211</v>
      </c>
      <c r="B41" s="16" t="s">
        <v>381</v>
      </c>
      <c r="C41" s="16" t="s">
        <v>382</v>
      </c>
      <c r="D41" s="16" t="s">
        <v>589</v>
      </c>
      <c r="E41" s="16" t="s">
        <v>590</v>
      </c>
      <c r="F41" s="17" t="s">
        <v>591</v>
      </c>
      <c r="G41" s="17" t="s">
        <v>592</v>
      </c>
      <c r="H41" s="16" t="s">
        <v>593</v>
      </c>
      <c r="I41" s="16" t="s">
        <v>594</v>
      </c>
      <c r="J41" s="33">
        <v>35796</v>
      </c>
      <c r="K41" s="33">
        <v>55153</v>
      </c>
      <c r="L41" s="16" t="s">
        <v>66</v>
      </c>
      <c r="M41" s="16" t="s">
        <v>109</v>
      </c>
      <c r="N41" s="16" t="s">
        <v>91</v>
      </c>
      <c r="O41" s="16" t="s">
        <v>91</v>
      </c>
      <c r="P41" s="16" t="s">
        <v>70</v>
      </c>
      <c r="Q41" s="16" t="s">
        <v>71</v>
      </c>
      <c r="R41" s="17" t="s">
        <v>595</v>
      </c>
      <c r="S41" s="16" t="s">
        <v>596</v>
      </c>
      <c r="T41" s="16" t="s">
        <v>74</v>
      </c>
      <c r="U41" s="16" t="s">
        <v>75</v>
      </c>
      <c r="V41" s="16" t="s">
        <v>597</v>
      </c>
      <c r="W41" s="16"/>
      <c r="X41" s="16" t="s">
        <v>598</v>
      </c>
      <c r="Y41" s="16" t="s">
        <v>78</v>
      </c>
      <c r="Z41" s="16" t="s">
        <v>599</v>
      </c>
      <c r="AA41" s="16" t="s">
        <v>600</v>
      </c>
      <c r="AB41" s="17" t="s">
        <v>601</v>
      </c>
      <c r="AC41" s="16" t="s">
        <v>71</v>
      </c>
      <c r="AD41" s="17" t="s">
        <v>601</v>
      </c>
      <c r="AE41" s="17" t="s">
        <v>602</v>
      </c>
      <c r="AG41" s="16"/>
      <c r="AH41" s="16"/>
      <c r="AI41" s="16"/>
      <c r="AJ41" s="16"/>
      <c r="AK41" s="16"/>
      <c r="AL41" s="16" t="s">
        <v>603</v>
      </c>
    </row>
    <row r="42" spans="1:38" x14ac:dyDescent="0.5">
      <c r="A42">
        <v>212</v>
      </c>
      <c r="B42" s="16" t="s">
        <v>604</v>
      </c>
      <c r="C42" s="16" t="s">
        <v>604</v>
      </c>
      <c r="D42" s="16" t="s">
        <v>261</v>
      </c>
      <c r="E42" s="16" t="s">
        <v>605</v>
      </c>
      <c r="F42" s="17" t="s">
        <v>606</v>
      </c>
      <c r="H42" s="16" t="s">
        <v>317</v>
      </c>
      <c r="I42" s="16" t="s">
        <v>607</v>
      </c>
      <c r="J42" s="33">
        <v>35431</v>
      </c>
      <c r="K42" s="33">
        <v>55153</v>
      </c>
      <c r="L42" s="16" t="s">
        <v>66</v>
      </c>
      <c r="M42" s="16" t="s">
        <v>109</v>
      </c>
      <c r="N42" s="16" t="s">
        <v>110</v>
      </c>
      <c r="O42" s="16" t="s">
        <v>111</v>
      </c>
      <c r="P42" s="16" t="s">
        <v>70</v>
      </c>
      <c r="Q42" s="16" t="s">
        <v>71</v>
      </c>
      <c r="R42" s="17" t="s">
        <v>608</v>
      </c>
      <c r="S42" s="16" t="s">
        <v>609</v>
      </c>
      <c r="T42" s="16" t="s">
        <v>74</v>
      </c>
      <c r="U42" s="16" t="s">
        <v>75</v>
      </c>
      <c r="V42" s="16" t="s">
        <v>610</v>
      </c>
      <c r="W42" s="16"/>
      <c r="X42" s="16" t="s">
        <v>611</v>
      </c>
      <c r="Y42" s="16" t="s">
        <v>78</v>
      </c>
      <c r="Z42" s="16" t="s">
        <v>508</v>
      </c>
      <c r="AA42" s="16" t="s">
        <v>509</v>
      </c>
      <c r="AB42" s="17" t="s">
        <v>612</v>
      </c>
      <c r="AC42" s="16" t="s">
        <v>71</v>
      </c>
      <c r="AD42" s="17" t="s">
        <v>612</v>
      </c>
      <c r="AG42" s="16"/>
      <c r="AH42" s="16"/>
      <c r="AI42" s="16"/>
      <c r="AJ42" s="16"/>
      <c r="AK42" s="16"/>
      <c r="AL42" s="16" t="s">
        <v>613</v>
      </c>
    </row>
    <row r="43" spans="1:38" x14ac:dyDescent="0.5">
      <c r="A43">
        <v>213</v>
      </c>
      <c r="B43" s="16" t="s">
        <v>614</v>
      </c>
      <c r="C43" s="16" t="s">
        <v>614</v>
      </c>
      <c r="D43" s="16"/>
      <c r="E43" s="16" t="s">
        <v>615</v>
      </c>
      <c r="F43" s="17" t="s">
        <v>616</v>
      </c>
      <c r="G43" s="17" t="s">
        <v>617</v>
      </c>
      <c r="H43" s="16" t="s">
        <v>618</v>
      </c>
      <c r="I43" s="16" t="s">
        <v>619</v>
      </c>
      <c r="J43" s="33">
        <v>35796</v>
      </c>
      <c r="K43" s="33">
        <v>55153</v>
      </c>
      <c r="L43" s="16" t="s">
        <v>66</v>
      </c>
      <c r="M43" s="16" t="s">
        <v>109</v>
      </c>
      <c r="N43" s="16" t="s">
        <v>127</v>
      </c>
      <c r="O43" s="16" t="s">
        <v>127</v>
      </c>
      <c r="P43" s="16" t="s">
        <v>70</v>
      </c>
      <c r="Q43" s="16" t="s">
        <v>71</v>
      </c>
      <c r="R43" s="17" t="s">
        <v>620</v>
      </c>
      <c r="S43" s="16" t="s">
        <v>621</v>
      </c>
      <c r="T43" s="16" t="s">
        <v>74</v>
      </c>
      <c r="U43" s="16" t="s">
        <v>75</v>
      </c>
      <c r="V43" s="16" t="s">
        <v>622</v>
      </c>
      <c r="W43" s="16"/>
      <c r="X43" s="16" t="s">
        <v>623</v>
      </c>
      <c r="Y43" s="16" t="s">
        <v>78</v>
      </c>
      <c r="Z43" s="16" t="s">
        <v>172</v>
      </c>
      <c r="AA43" s="16" t="s">
        <v>173</v>
      </c>
      <c r="AB43" s="17" t="s">
        <v>624</v>
      </c>
      <c r="AC43" s="16" t="s">
        <v>71</v>
      </c>
      <c r="AD43" s="17" t="s">
        <v>624</v>
      </c>
      <c r="AG43" s="16"/>
      <c r="AH43" s="16"/>
      <c r="AI43" s="16"/>
      <c r="AJ43" s="16"/>
      <c r="AK43" s="16"/>
      <c r="AL43" s="16" t="s">
        <v>625</v>
      </c>
    </row>
    <row r="44" spans="1:38" x14ac:dyDescent="0.5">
      <c r="A44">
        <v>238</v>
      </c>
      <c r="B44" s="16" t="s">
        <v>213</v>
      </c>
      <c r="C44" s="16" t="s">
        <v>626</v>
      </c>
      <c r="D44" s="16" t="s">
        <v>383</v>
      </c>
      <c r="E44" s="16" t="s">
        <v>627</v>
      </c>
      <c r="F44" s="17" t="s">
        <v>628</v>
      </c>
      <c r="H44" s="16" t="s">
        <v>629</v>
      </c>
      <c r="I44" s="16" t="s">
        <v>630</v>
      </c>
      <c r="J44" s="33">
        <v>31778</v>
      </c>
      <c r="K44" s="33">
        <v>44196</v>
      </c>
      <c r="L44" s="16" t="s">
        <v>66</v>
      </c>
      <c r="M44" s="16" t="s">
        <v>109</v>
      </c>
      <c r="N44" s="16" t="s">
        <v>127</v>
      </c>
      <c r="O44" s="16" t="s">
        <v>127</v>
      </c>
      <c r="P44" s="16" t="s">
        <v>70</v>
      </c>
      <c r="Q44" s="16" t="s">
        <v>71</v>
      </c>
      <c r="R44" s="17" t="s">
        <v>631</v>
      </c>
      <c r="S44" s="16" t="s">
        <v>632</v>
      </c>
      <c r="T44" s="16" t="s">
        <v>74</v>
      </c>
      <c r="U44" s="16" t="s">
        <v>75</v>
      </c>
      <c r="V44" s="16" t="s">
        <v>633</v>
      </c>
      <c r="W44" s="16"/>
      <c r="X44" s="16" t="s">
        <v>634</v>
      </c>
      <c r="Y44" s="16" t="s">
        <v>78</v>
      </c>
      <c r="Z44" s="16" t="s">
        <v>635</v>
      </c>
      <c r="AA44" s="16" t="s">
        <v>636</v>
      </c>
      <c r="AB44" s="17" t="s">
        <v>637</v>
      </c>
      <c r="AC44" s="16" t="s">
        <v>71</v>
      </c>
      <c r="AD44" s="17" t="s">
        <v>637</v>
      </c>
      <c r="AE44" s="17" t="s">
        <v>638</v>
      </c>
      <c r="AG44" s="16"/>
      <c r="AH44" s="16"/>
      <c r="AI44" s="16"/>
      <c r="AJ44" s="16"/>
      <c r="AK44" s="16"/>
      <c r="AL44" s="16" t="s">
        <v>639</v>
      </c>
    </row>
    <row r="45" spans="1:38" x14ac:dyDescent="0.5">
      <c r="A45">
        <v>248</v>
      </c>
      <c r="B45" s="16" t="s">
        <v>228</v>
      </c>
      <c r="C45" s="16" t="s">
        <v>228</v>
      </c>
      <c r="D45" s="16" t="s">
        <v>85</v>
      </c>
      <c r="E45" s="16" t="s">
        <v>643</v>
      </c>
      <c r="F45" s="17" t="s">
        <v>644</v>
      </c>
      <c r="G45" s="17" t="s">
        <v>645</v>
      </c>
      <c r="H45" s="16" t="s">
        <v>646</v>
      </c>
      <c r="I45" s="16" t="s">
        <v>647</v>
      </c>
      <c r="J45" s="33">
        <v>35065</v>
      </c>
      <c r="K45" s="33">
        <v>43465</v>
      </c>
      <c r="L45" s="16" t="s">
        <v>66</v>
      </c>
      <c r="M45" s="16" t="s">
        <v>67</v>
      </c>
      <c r="N45" s="16" t="s">
        <v>68</v>
      </c>
      <c r="O45" s="16" t="s">
        <v>436</v>
      </c>
      <c r="P45" s="16"/>
      <c r="Q45" s="16" t="s">
        <v>71</v>
      </c>
      <c r="R45" s="17" t="s">
        <v>648</v>
      </c>
      <c r="S45" s="16" t="s">
        <v>649</v>
      </c>
      <c r="T45" s="16" t="s">
        <v>74</v>
      </c>
      <c r="U45" s="16" t="s">
        <v>75</v>
      </c>
      <c r="V45" s="16" t="s">
        <v>650</v>
      </c>
      <c r="W45" s="16"/>
      <c r="X45" s="16" t="s">
        <v>651</v>
      </c>
      <c r="Y45" s="16" t="s">
        <v>78</v>
      </c>
      <c r="Z45" s="16" t="s">
        <v>242</v>
      </c>
      <c r="AA45" s="16" t="s">
        <v>243</v>
      </c>
      <c r="AB45" s="17" t="s">
        <v>652</v>
      </c>
      <c r="AC45" s="16" t="s">
        <v>71</v>
      </c>
      <c r="AD45" s="17" t="s">
        <v>652</v>
      </c>
      <c r="AG45" s="16" t="s">
        <v>653</v>
      </c>
      <c r="AH45" s="16"/>
      <c r="AI45" s="16"/>
      <c r="AJ45" s="16"/>
      <c r="AK45" s="16"/>
      <c r="AL45" s="16" t="s">
        <v>654</v>
      </c>
    </row>
    <row r="46" spans="1:38" x14ac:dyDescent="0.5">
      <c r="A46">
        <v>250</v>
      </c>
      <c r="B46" s="16" t="s">
        <v>247</v>
      </c>
      <c r="C46" s="16" t="s">
        <v>247</v>
      </c>
      <c r="D46" s="16" t="s">
        <v>655</v>
      </c>
      <c r="E46" s="16" t="s">
        <v>656</v>
      </c>
      <c r="F46" s="17" t="s">
        <v>657</v>
      </c>
      <c r="H46" s="16" t="s">
        <v>658</v>
      </c>
      <c r="I46" s="16"/>
      <c r="J46" s="33">
        <v>31413</v>
      </c>
      <c r="K46" s="33">
        <v>43830</v>
      </c>
      <c r="L46" s="16" t="s">
        <v>66</v>
      </c>
      <c r="M46" s="16" t="s">
        <v>659</v>
      </c>
      <c r="N46" s="16" t="s">
        <v>127</v>
      </c>
      <c r="O46" s="16" t="s">
        <v>127</v>
      </c>
      <c r="P46" s="16" t="s">
        <v>660</v>
      </c>
      <c r="Q46" s="16" t="s">
        <v>71</v>
      </c>
      <c r="R46" s="17" t="s">
        <v>661</v>
      </c>
      <c r="S46" s="16" t="s">
        <v>662</v>
      </c>
      <c r="T46" s="16" t="s">
        <v>74</v>
      </c>
      <c r="U46" s="16" t="s">
        <v>75</v>
      </c>
      <c r="V46" s="16" t="s">
        <v>663</v>
      </c>
      <c r="W46" s="16" t="s">
        <v>664</v>
      </c>
      <c r="X46" s="16" t="s">
        <v>665</v>
      </c>
      <c r="Y46" s="16" t="s">
        <v>78</v>
      </c>
      <c r="Z46" s="16" t="s">
        <v>666</v>
      </c>
      <c r="AA46" s="16" t="s">
        <v>667</v>
      </c>
      <c r="AB46" s="17" t="s">
        <v>668</v>
      </c>
      <c r="AC46" s="16" t="s">
        <v>71</v>
      </c>
      <c r="AD46" s="17" t="s">
        <v>668</v>
      </c>
      <c r="AE46" s="17" t="s">
        <v>669</v>
      </c>
      <c r="AG46" s="16"/>
      <c r="AH46" s="16"/>
      <c r="AI46" s="16"/>
      <c r="AJ46" s="16"/>
      <c r="AK46" s="16"/>
      <c r="AL46" s="16" t="s">
        <v>670</v>
      </c>
    </row>
    <row r="47" spans="1:38" x14ac:dyDescent="0.5">
      <c r="A47">
        <v>261</v>
      </c>
      <c r="B47" s="16" t="s">
        <v>671</v>
      </c>
      <c r="C47" s="16" t="s">
        <v>671</v>
      </c>
      <c r="D47" s="16"/>
      <c r="E47" s="16" t="s">
        <v>672</v>
      </c>
      <c r="F47" s="17" t="s">
        <v>673</v>
      </c>
      <c r="G47" s="17" t="s">
        <v>673</v>
      </c>
      <c r="H47" s="16" t="s">
        <v>142</v>
      </c>
      <c r="I47" s="16" t="s">
        <v>674</v>
      </c>
      <c r="J47" s="33">
        <v>35796</v>
      </c>
      <c r="K47" s="33">
        <v>43465</v>
      </c>
      <c r="L47" s="16" t="s">
        <v>66</v>
      </c>
      <c r="M47" s="16" t="s">
        <v>167</v>
      </c>
      <c r="N47" s="16" t="s">
        <v>110</v>
      </c>
      <c r="O47" s="16" t="s">
        <v>253</v>
      </c>
      <c r="P47" s="16" t="s">
        <v>70</v>
      </c>
      <c r="Q47" s="16" t="s">
        <v>71</v>
      </c>
      <c r="R47" s="17" t="s">
        <v>675</v>
      </c>
      <c r="S47" s="16" t="s">
        <v>113</v>
      </c>
      <c r="T47" s="16" t="s">
        <v>74</v>
      </c>
      <c r="U47" s="16" t="s">
        <v>75</v>
      </c>
      <c r="V47" s="16" t="s">
        <v>676</v>
      </c>
      <c r="W47" s="16"/>
      <c r="X47" s="16" t="s">
        <v>677</v>
      </c>
      <c r="Y47" s="16" t="s">
        <v>78</v>
      </c>
      <c r="Z47" s="16" t="s">
        <v>117</v>
      </c>
      <c r="AA47" s="16" t="s">
        <v>113</v>
      </c>
      <c r="AB47" s="17" t="s">
        <v>678</v>
      </c>
      <c r="AC47" s="16" t="s">
        <v>71</v>
      </c>
      <c r="AD47" s="17" t="s">
        <v>678</v>
      </c>
      <c r="AE47" s="17" t="s">
        <v>679</v>
      </c>
      <c r="AF47" s="17" t="s">
        <v>680</v>
      </c>
      <c r="AG47" s="16"/>
      <c r="AH47" s="16"/>
      <c r="AI47" s="16"/>
      <c r="AJ47" s="16"/>
      <c r="AK47" s="16"/>
      <c r="AL47" s="16" t="s">
        <v>681</v>
      </c>
    </row>
    <row r="48" spans="1:38" x14ac:dyDescent="0.5">
      <c r="A48">
        <v>266</v>
      </c>
      <c r="B48" s="16" t="s">
        <v>682</v>
      </c>
      <c r="C48" s="16" t="s">
        <v>682</v>
      </c>
      <c r="D48" s="16"/>
      <c r="E48" s="16" t="s">
        <v>683</v>
      </c>
      <c r="F48" s="17" t="s">
        <v>684</v>
      </c>
      <c r="H48" s="16" t="s">
        <v>685</v>
      </c>
      <c r="I48" s="16" t="s">
        <v>686</v>
      </c>
      <c r="J48" s="33">
        <v>35796</v>
      </c>
      <c r="K48" s="33">
        <v>43465</v>
      </c>
      <c r="L48" s="16" t="s">
        <v>66</v>
      </c>
      <c r="M48" s="16" t="s">
        <v>167</v>
      </c>
      <c r="N48" s="16" t="s">
        <v>110</v>
      </c>
      <c r="O48" s="16" t="s">
        <v>253</v>
      </c>
      <c r="P48" s="16" t="s">
        <v>70</v>
      </c>
      <c r="Q48" s="16" t="s">
        <v>71</v>
      </c>
      <c r="R48" s="17" t="s">
        <v>687</v>
      </c>
      <c r="S48" s="16" t="s">
        <v>688</v>
      </c>
      <c r="T48" s="16" t="s">
        <v>74</v>
      </c>
      <c r="U48" s="16" t="s">
        <v>75</v>
      </c>
      <c r="V48" s="16" t="s">
        <v>689</v>
      </c>
      <c r="W48" s="16"/>
      <c r="X48" s="16" t="s">
        <v>690</v>
      </c>
      <c r="Y48" s="16" t="s">
        <v>78</v>
      </c>
      <c r="Z48" s="16" t="s">
        <v>296</v>
      </c>
      <c r="AA48" s="16" t="s">
        <v>297</v>
      </c>
      <c r="AB48" s="17" t="s">
        <v>691</v>
      </c>
      <c r="AC48" s="16" t="s">
        <v>71</v>
      </c>
      <c r="AD48" s="17" t="s">
        <v>691</v>
      </c>
      <c r="AE48" s="17" t="s">
        <v>692</v>
      </c>
      <c r="AF48" s="17" t="s">
        <v>691</v>
      </c>
      <c r="AG48" s="16"/>
      <c r="AH48" s="16"/>
      <c r="AI48" s="16"/>
      <c r="AJ48" s="16"/>
      <c r="AK48" s="16"/>
      <c r="AL48" s="16" t="s">
        <v>693</v>
      </c>
    </row>
    <row r="49" spans="1:38" x14ac:dyDescent="0.5">
      <c r="A49">
        <v>268</v>
      </c>
      <c r="B49" s="16" t="s">
        <v>694</v>
      </c>
      <c r="C49" s="16" t="s">
        <v>694</v>
      </c>
      <c r="D49" s="16" t="s">
        <v>695</v>
      </c>
      <c r="E49" s="16" t="s">
        <v>696</v>
      </c>
      <c r="F49" s="17" t="s">
        <v>697</v>
      </c>
      <c r="G49" s="17" t="s">
        <v>698</v>
      </c>
      <c r="H49" s="16" t="s">
        <v>699</v>
      </c>
      <c r="I49" s="16" t="s">
        <v>700</v>
      </c>
      <c r="J49" s="33">
        <v>33970</v>
      </c>
      <c r="K49" s="33">
        <v>43465</v>
      </c>
      <c r="L49" s="16" t="s">
        <v>66</v>
      </c>
      <c r="M49" s="16" t="s">
        <v>167</v>
      </c>
      <c r="N49" s="16" t="s">
        <v>110</v>
      </c>
      <c r="O49" s="16" t="s">
        <v>253</v>
      </c>
      <c r="P49" s="16" t="s">
        <v>70</v>
      </c>
      <c r="Q49" s="16" t="s">
        <v>71</v>
      </c>
      <c r="R49" s="17" t="s">
        <v>701</v>
      </c>
      <c r="S49" s="16" t="s">
        <v>702</v>
      </c>
      <c r="T49" s="16" t="s">
        <v>74</v>
      </c>
      <c r="U49" s="16" t="s">
        <v>75</v>
      </c>
      <c r="V49" s="16" t="s">
        <v>703</v>
      </c>
      <c r="W49" s="16"/>
      <c r="X49" s="16" t="s">
        <v>704</v>
      </c>
      <c r="Y49" s="16" t="s">
        <v>78</v>
      </c>
      <c r="Z49" s="16" t="s">
        <v>242</v>
      </c>
      <c r="AA49" s="16" t="s">
        <v>243</v>
      </c>
      <c r="AB49" s="17" t="s">
        <v>705</v>
      </c>
      <c r="AC49" s="16" t="s">
        <v>71</v>
      </c>
      <c r="AD49" s="17" t="s">
        <v>705</v>
      </c>
      <c r="AE49" s="17" t="s">
        <v>706</v>
      </c>
      <c r="AF49" s="17" t="s">
        <v>705</v>
      </c>
      <c r="AG49" s="16"/>
      <c r="AH49" s="16"/>
      <c r="AI49" s="16"/>
      <c r="AJ49" s="16"/>
      <c r="AK49" s="16"/>
      <c r="AL49" s="16" t="s">
        <v>707</v>
      </c>
    </row>
    <row r="50" spans="1:38" x14ac:dyDescent="0.5">
      <c r="A50">
        <v>271</v>
      </c>
      <c r="B50" s="16" t="s">
        <v>708</v>
      </c>
      <c r="C50" s="16" t="s">
        <v>708</v>
      </c>
      <c r="D50" s="16" t="s">
        <v>328</v>
      </c>
      <c r="E50" s="16" t="s">
        <v>709</v>
      </c>
      <c r="F50" s="17" t="s">
        <v>710</v>
      </c>
      <c r="G50" s="17" t="s">
        <v>711</v>
      </c>
      <c r="H50" s="16" t="s">
        <v>332</v>
      </c>
      <c r="I50" s="16" t="s">
        <v>712</v>
      </c>
      <c r="J50" s="33">
        <v>31778</v>
      </c>
      <c r="K50" s="33">
        <v>44196</v>
      </c>
      <c r="L50" s="16" t="s">
        <v>66</v>
      </c>
      <c r="M50" s="16" t="s">
        <v>109</v>
      </c>
      <c r="N50" s="16" t="s">
        <v>127</v>
      </c>
      <c r="O50" s="16" t="s">
        <v>127</v>
      </c>
      <c r="P50" s="16" t="s">
        <v>70</v>
      </c>
      <c r="Q50" s="16" t="s">
        <v>71</v>
      </c>
      <c r="R50" s="17" t="s">
        <v>713</v>
      </c>
      <c r="S50" s="16" t="s">
        <v>714</v>
      </c>
      <c r="T50" s="16" t="s">
        <v>74</v>
      </c>
      <c r="U50" s="16" t="s">
        <v>75</v>
      </c>
      <c r="V50" s="16" t="s">
        <v>715</v>
      </c>
      <c r="W50" s="16" t="s">
        <v>716</v>
      </c>
      <c r="X50" s="16" t="s">
        <v>717</v>
      </c>
      <c r="Y50" s="16" t="s">
        <v>78</v>
      </c>
      <c r="Z50" s="16" t="s">
        <v>270</v>
      </c>
      <c r="AA50" s="16" t="s">
        <v>271</v>
      </c>
      <c r="AB50" s="17" t="s">
        <v>718</v>
      </c>
      <c r="AC50" s="16" t="s">
        <v>71</v>
      </c>
      <c r="AD50" s="17" t="s">
        <v>718</v>
      </c>
      <c r="AE50" s="17" t="s">
        <v>719</v>
      </c>
      <c r="AF50" s="17" t="s">
        <v>718</v>
      </c>
      <c r="AG50" s="16"/>
      <c r="AH50" s="16"/>
      <c r="AI50" s="16"/>
      <c r="AJ50" s="16"/>
      <c r="AK50" s="16"/>
      <c r="AL50" s="16" t="s">
        <v>720</v>
      </c>
    </row>
    <row r="51" spans="1:38" x14ac:dyDescent="0.5">
      <c r="A51">
        <v>279</v>
      </c>
      <c r="B51" s="16" t="s">
        <v>340</v>
      </c>
      <c r="C51" s="16" t="s">
        <v>340</v>
      </c>
      <c r="D51" s="16" t="s">
        <v>721</v>
      </c>
      <c r="E51" s="16" t="s">
        <v>722</v>
      </c>
      <c r="F51" s="17" t="s">
        <v>723</v>
      </c>
      <c r="H51" s="16" t="s">
        <v>724</v>
      </c>
      <c r="I51" s="16" t="s">
        <v>725</v>
      </c>
      <c r="J51" s="33">
        <v>35065</v>
      </c>
      <c r="K51" s="33">
        <v>43465</v>
      </c>
      <c r="L51" s="16" t="s">
        <v>66</v>
      </c>
      <c r="M51" s="16" t="s">
        <v>67</v>
      </c>
      <c r="N51" s="16" t="s">
        <v>68</v>
      </c>
      <c r="O51" s="16" t="s">
        <v>202</v>
      </c>
      <c r="P51" s="16" t="s">
        <v>70</v>
      </c>
      <c r="Q51" s="16" t="s">
        <v>71</v>
      </c>
      <c r="R51" s="17" t="s">
        <v>726</v>
      </c>
      <c r="S51" s="16" t="s">
        <v>727</v>
      </c>
      <c r="T51" s="16" t="s">
        <v>74</v>
      </c>
      <c r="U51" s="16" t="s">
        <v>75</v>
      </c>
      <c r="V51" s="16" t="s">
        <v>728</v>
      </c>
      <c r="W51" s="16"/>
      <c r="X51" s="16" t="s">
        <v>729</v>
      </c>
      <c r="Y51" s="16" t="s">
        <v>78</v>
      </c>
      <c r="Z51" s="16" t="s">
        <v>189</v>
      </c>
      <c r="AA51" s="16" t="s">
        <v>190</v>
      </c>
      <c r="AB51" s="17" t="s">
        <v>730</v>
      </c>
      <c r="AC51" s="16" t="s">
        <v>71</v>
      </c>
      <c r="AD51" s="17" t="s">
        <v>730</v>
      </c>
      <c r="AF51" s="17" t="s">
        <v>731</v>
      </c>
      <c r="AG51" s="16"/>
      <c r="AH51" s="16"/>
      <c r="AI51" s="16"/>
      <c r="AJ51" s="16"/>
      <c r="AK51" s="16"/>
      <c r="AL51" s="16" t="s">
        <v>732</v>
      </c>
    </row>
    <row r="52" spans="1:38" x14ac:dyDescent="0.5">
      <c r="A52">
        <v>290</v>
      </c>
      <c r="B52" s="16" t="s">
        <v>733</v>
      </c>
      <c r="C52" s="16" t="s">
        <v>733</v>
      </c>
      <c r="D52" s="16"/>
      <c r="E52" s="16" t="s">
        <v>734</v>
      </c>
      <c r="F52" s="17" t="s">
        <v>735</v>
      </c>
      <c r="H52" s="16" t="s">
        <v>736</v>
      </c>
      <c r="I52" s="16" t="s">
        <v>737</v>
      </c>
      <c r="J52" s="33">
        <v>32874</v>
      </c>
      <c r="K52" s="33">
        <v>55153</v>
      </c>
      <c r="L52" s="16" t="s">
        <v>66</v>
      </c>
      <c r="M52" s="16" t="s">
        <v>109</v>
      </c>
      <c r="N52" s="16" t="s">
        <v>110</v>
      </c>
      <c r="O52" s="16" t="s">
        <v>253</v>
      </c>
      <c r="P52" s="16" t="s">
        <v>70</v>
      </c>
      <c r="Q52" s="16" t="s">
        <v>71</v>
      </c>
      <c r="R52" s="17" t="s">
        <v>738</v>
      </c>
      <c r="S52" s="16" t="s">
        <v>739</v>
      </c>
      <c r="T52" s="16" t="s">
        <v>740</v>
      </c>
      <c r="U52" s="16" t="s">
        <v>741</v>
      </c>
      <c r="V52" s="16" t="s">
        <v>742</v>
      </c>
      <c r="W52" s="16"/>
      <c r="X52" s="16" t="s">
        <v>743</v>
      </c>
      <c r="Y52" s="16" t="s">
        <v>744</v>
      </c>
      <c r="Z52" s="16"/>
      <c r="AA52" s="16"/>
      <c r="AB52" s="17" t="s">
        <v>745</v>
      </c>
      <c r="AC52" s="16" t="s">
        <v>71</v>
      </c>
      <c r="AD52" s="17" t="s">
        <v>745</v>
      </c>
      <c r="AG52" s="16"/>
      <c r="AH52" s="16"/>
      <c r="AI52" s="16"/>
      <c r="AJ52" s="16"/>
      <c r="AK52" s="16"/>
      <c r="AL52" s="16" t="s">
        <v>746</v>
      </c>
    </row>
    <row r="53" spans="1:38" x14ac:dyDescent="0.5">
      <c r="A53">
        <v>292</v>
      </c>
      <c r="B53" s="16" t="s">
        <v>286</v>
      </c>
      <c r="C53" s="16" t="s">
        <v>747</v>
      </c>
      <c r="D53" s="16" t="s">
        <v>123</v>
      </c>
      <c r="E53" s="16" t="s">
        <v>748</v>
      </c>
      <c r="F53" s="17" t="s">
        <v>749</v>
      </c>
      <c r="H53" s="16" t="s">
        <v>251</v>
      </c>
      <c r="I53" s="16" t="s">
        <v>750</v>
      </c>
      <c r="J53" s="33">
        <v>36194</v>
      </c>
      <c r="K53" s="33">
        <v>43465</v>
      </c>
      <c r="L53" s="16" t="s">
        <v>66</v>
      </c>
      <c r="M53" s="16" t="s">
        <v>167</v>
      </c>
      <c r="N53" s="16" t="s">
        <v>110</v>
      </c>
      <c r="O53" s="16" t="s">
        <v>280</v>
      </c>
      <c r="P53" s="16" t="s">
        <v>70</v>
      </c>
      <c r="Q53" s="16" t="s">
        <v>71</v>
      </c>
      <c r="R53" s="17" t="s">
        <v>751</v>
      </c>
      <c r="S53" s="16" t="s">
        <v>752</v>
      </c>
      <c r="T53" s="16" t="s">
        <v>74</v>
      </c>
      <c r="U53" s="16" t="s">
        <v>75</v>
      </c>
      <c r="V53" s="16" t="s">
        <v>753</v>
      </c>
      <c r="W53" s="16" t="s">
        <v>754</v>
      </c>
      <c r="X53" s="16" t="s">
        <v>755</v>
      </c>
      <c r="Y53" s="16" t="s">
        <v>78</v>
      </c>
      <c r="Z53" s="16" t="s">
        <v>132</v>
      </c>
      <c r="AA53" s="16" t="s">
        <v>133</v>
      </c>
      <c r="AB53" s="17" t="s">
        <v>756</v>
      </c>
      <c r="AC53" s="16" t="s">
        <v>71</v>
      </c>
      <c r="AD53" s="17" t="s">
        <v>756</v>
      </c>
      <c r="AF53" s="17" t="s">
        <v>757</v>
      </c>
      <c r="AG53" s="16"/>
      <c r="AH53" s="16"/>
      <c r="AI53" s="16"/>
      <c r="AJ53" s="16"/>
      <c r="AK53" s="16"/>
      <c r="AL53" s="16" t="s">
        <v>758</v>
      </c>
    </row>
    <row r="54" spans="1:38" x14ac:dyDescent="0.5">
      <c r="A54">
        <v>301</v>
      </c>
      <c r="B54" s="16" t="s">
        <v>759</v>
      </c>
      <c r="C54" s="16" t="s">
        <v>759</v>
      </c>
      <c r="D54" s="16" t="s">
        <v>123</v>
      </c>
      <c r="E54" s="16" t="s">
        <v>760</v>
      </c>
      <c r="F54" s="17" t="s">
        <v>761</v>
      </c>
      <c r="G54" s="17" t="s">
        <v>762</v>
      </c>
      <c r="H54" s="16" t="s">
        <v>127</v>
      </c>
      <c r="I54" s="16"/>
      <c r="J54" s="33">
        <v>35065</v>
      </c>
      <c r="K54" s="33">
        <v>43465</v>
      </c>
      <c r="L54" s="16" t="s">
        <v>66</v>
      </c>
      <c r="M54" s="16" t="s">
        <v>291</v>
      </c>
      <c r="N54" s="16" t="s">
        <v>127</v>
      </c>
      <c r="O54" s="16" t="s">
        <v>127</v>
      </c>
      <c r="P54" s="16" t="s">
        <v>70</v>
      </c>
      <c r="Q54" s="16" t="s">
        <v>71</v>
      </c>
      <c r="R54" s="17" t="s">
        <v>763</v>
      </c>
      <c r="S54" s="16" t="s">
        <v>764</v>
      </c>
      <c r="T54" s="16" t="s">
        <v>74</v>
      </c>
      <c r="U54" s="16" t="s">
        <v>75</v>
      </c>
      <c r="V54" s="16" t="s">
        <v>765</v>
      </c>
      <c r="W54" s="16"/>
      <c r="X54" s="16" t="s">
        <v>766</v>
      </c>
      <c r="Y54" s="16" t="s">
        <v>78</v>
      </c>
      <c r="Z54" s="16" t="s">
        <v>189</v>
      </c>
      <c r="AA54" s="16" t="s">
        <v>190</v>
      </c>
      <c r="AB54" s="17" t="s">
        <v>767</v>
      </c>
      <c r="AC54" s="16" t="s">
        <v>71</v>
      </c>
      <c r="AD54" s="17" t="s">
        <v>767</v>
      </c>
      <c r="AE54" s="17" t="s">
        <v>768</v>
      </c>
      <c r="AG54" s="16"/>
      <c r="AH54" s="16"/>
      <c r="AI54" s="16"/>
      <c r="AJ54" s="16"/>
      <c r="AK54" s="16"/>
      <c r="AL54" s="16" t="s">
        <v>769</v>
      </c>
    </row>
    <row r="55" spans="1:38" x14ac:dyDescent="0.5">
      <c r="A55">
        <v>305</v>
      </c>
      <c r="B55" s="16" t="s">
        <v>770</v>
      </c>
      <c r="C55" s="16" t="s">
        <v>178</v>
      </c>
      <c r="D55" s="16"/>
      <c r="E55" s="16" t="s">
        <v>771</v>
      </c>
      <c r="F55" s="17" t="s">
        <v>772</v>
      </c>
      <c r="H55" s="16" t="s">
        <v>773</v>
      </c>
      <c r="I55" s="16" t="s">
        <v>774</v>
      </c>
      <c r="J55" s="33">
        <v>42377</v>
      </c>
      <c r="K55" s="33">
        <v>43465</v>
      </c>
      <c r="L55" s="16" t="s">
        <v>66</v>
      </c>
      <c r="M55" s="16" t="s">
        <v>167</v>
      </c>
      <c r="N55" s="16" t="s">
        <v>110</v>
      </c>
      <c r="O55" s="16" t="s">
        <v>280</v>
      </c>
      <c r="P55" s="16" t="s">
        <v>572</v>
      </c>
      <c r="Q55" s="16" t="s">
        <v>71</v>
      </c>
      <c r="R55" s="17" t="s">
        <v>775</v>
      </c>
      <c r="S55" s="16" t="s">
        <v>373</v>
      </c>
      <c r="T55" s="16" t="s">
        <v>74</v>
      </c>
      <c r="U55" s="16" t="s">
        <v>75</v>
      </c>
      <c r="V55" s="16" t="s">
        <v>776</v>
      </c>
      <c r="W55" s="16" t="s">
        <v>777</v>
      </c>
      <c r="X55" s="16" t="s">
        <v>778</v>
      </c>
      <c r="Y55" s="16" t="s">
        <v>78</v>
      </c>
      <c r="Z55" s="16" t="s">
        <v>376</v>
      </c>
      <c r="AA55" s="16" t="s">
        <v>377</v>
      </c>
      <c r="AB55" s="17" t="s">
        <v>779</v>
      </c>
      <c r="AC55" s="16" t="s">
        <v>71</v>
      </c>
      <c r="AD55" s="17" t="s">
        <v>779</v>
      </c>
      <c r="AG55" s="16" t="s">
        <v>780</v>
      </c>
      <c r="AH55" s="16" t="s">
        <v>781</v>
      </c>
      <c r="AI55" s="16"/>
      <c r="AJ55" s="16"/>
      <c r="AK55" s="16"/>
      <c r="AL55" s="16" t="s">
        <v>699</v>
      </c>
    </row>
    <row r="56" spans="1:38" x14ac:dyDescent="0.5">
      <c r="A56">
        <v>311</v>
      </c>
      <c r="B56" s="16" t="s">
        <v>782</v>
      </c>
      <c r="C56" s="16" t="s">
        <v>782</v>
      </c>
      <c r="D56" s="16" t="s">
        <v>533</v>
      </c>
      <c r="E56" s="16" t="s">
        <v>783</v>
      </c>
      <c r="F56" s="17" t="s">
        <v>784</v>
      </c>
      <c r="H56" s="16" t="s">
        <v>785</v>
      </c>
      <c r="I56" s="16" t="s">
        <v>786</v>
      </c>
      <c r="J56" s="33">
        <v>35431</v>
      </c>
      <c r="K56" s="33">
        <v>43465</v>
      </c>
      <c r="L56" s="16" t="s">
        <v>66</v>
      </c>
      <c r="M56" s="16" t="s">
        <v>90</v>
      </c>
      <c r="N56" s="16" t="s">
        <v>91</v>
      </c>
      <c r="O56" s="16" t="s">
        <v>91</v>
      </c>
      <c r="P56" s="16" t="s">
        <v>70</v>
      </c>
      <c r="Q56" s="16" t="s">
        <v>71</v>
      </c>
      <c r="R56" s="17" t="s">
        <v>787</v>
      </c>
      <c r="S56" s="16" t="s">
        <v>788</v>
      </c>
      <c r="T56" s="16" t="s">
        <v>74</v>
      </c>
      <c r="U56" s="16" t="s">
        <v>75</v>
      </c>
      <c r="V56" s="16" t="s">
        <v>789</v>
      </c>
      <c r="W56" s="16"/>
      <c r="X56" s="16" t="s">
        <v>790</v>
      </c>
      <c r="Y56" s="16" t="s">
        <v>78</v>
      </c>
      <c r="Z56" s="16" t="s">
        <v>242</v>
      </c>
      <c r="AA56" s="16" t="s">
        <v>243</v>
      </c>
      <c r="AB56" s="17" t="s">
        <v>791</v>
      </c>
      <c r="AC56" s="16" t="s">
        <v>71</v>
      </c>
      <c r="AD56" s="17" t="s">
        <v>791</v>
      </c>
      <c r="AG56" s="16"/>
      <c r="AH56" s="16"/>
      <c r="AI56" s="16"/>
      <c r="AJ56" s="16"/>
      <c r="AK56" s="16"/>
      <c r="AL56" s="16" t="s">
        <v>792</v>
      </c>
    </row>
    <row r="57" spans="1:38" x14ac:dyDescent="0.5">
      <c r="A57">
        <v>314</v>
      </c>
      <c r="B57" s="16" t="s">
        <v>793</v>
      </c>
      <c r="C57" s="16" t="s">
        <v>793</v>
      </c>
      <c r="D57" s="16" t="s">
        <v>794</v>
      </c>
      <c r="E57" s="16" t="s">
        <v>795</v>
      </c>
      <c r="F57" s="17" t="s">
        <v>796</v>
      </c>
      <c r="H57" s="16" t="s">
        <v>797</v>
      </c>
      <c r="I57" s="16" t="s">
        <v>8583</v>
      </c>
      <c r="J57" s="33">
        <v>31413</v>
      </c>
      <c r="K57" s="33">
        <v>55153</v>
      </c>
      <c r="L57" s="16" t="s">
        <v>66</v>
      </c>
      <c r="M57" s="16" t="s">
        <v>109</v>
      </c>
      <c r="N57" s="16" t="s">
        <v>91</v>
      </c>
      <c r="O57" s="16" t="s">
        <v>91</v>
      </c>
      <c r="P57" s="16" t="s">
        <v>70</v>
      </c>
      <c r="Q57" s="16" t="s">
        <v>71</v>
      </c>
      <c r="R57" s="17" t="s">
        <v>798</v>
      </c>
      <c r="S57" s="16" t="s">
        <v>799</v>
      </c>
      <c r="T57" s="16" t="s">
        <v>74</v>
      </c>
      <c r="U57" s="16" t="s">
        <v>75</v>
      </c>
      <c r="V57" s="16" t="s">
        <v>800</v>
      </c>
      <c r="W57" s="16"/>
      <c r="X57" s="16" t="s">
        <v>801</v>
      </c>
      <c r="Y57" s="16" t="s">
        <v>78</v>
      </c>
      <c r="Z57" s="16" t="s">
        <v>376</v>
      </c>
      <c r="AA57" s="16" t="s">
        <v>377</v>
      </c>
      <c r="AB57" s="17" t="s">
        <v>802</v>
      </c>
      <c r="AC57" s="16" t="s">
        <v>71</v>
      </c>
      <c r="AD57" s="17" t="s">
        <v>802</v>
      </c>
      <c r="AE57" s="17" t="s">
        <v>802</v>
      </c>
      <c r="AF57" s="17" t="s">
        <v>802</v>
      </c>
      <c r="AG57" s="16"/>
      <c r="AH57" s="16"/>
      <c r="AI57" s="16"/>
      <c r="AJ57" s="16"/>
      <c r="AK57" s="16"/>
      <c r="AL57" s="16" t="s">
        <v>803</v>
      </c>
    </row>
    <row r="58" spans="1:38" x14ac:dyDescent="0.5">
      <c r="A58">
        <v>319</v>
      </c>
      <c r="B58" s="16" t="s">
        <v>804</v>
      </c>
      <c r="C58" s="16" t="s">
        <v>805</v>
      </c>
      <c r="D58" s="16"/>
      <c r="E58" s="16" t="s">
        <v>806</v>
      </c>
      <c r="F58" s="17" t="s">
        <v>807</v>
      </c>
      <c r="H58" s="16" t="s">
        <v>317</v>
      </c>
      <c r="I58" s="16" t="s">
        <v>808</v>
      </c>
      <c r="J58" s="33">
        <v>35796</v>
      </c>
      <c r="K58" s="33">
        <v>43465</v>
      </c>
      <c r="L58" s="16" t="s">
        <v>66</v>
      </c>
      <c r="M58" s="16" t="s">
        <v>167</v>
      </c>
      <c r="N58" s="16" t="s">
        <v>110</v>
      </c>
      <c r="O58" s="16" t="s">
        <v>253</v>
      </c>
      <c r="P58" s="16" t="s">
        <v>70</v>
      </c>
      <c r="Q58" s="16" t="s">
        <v>71</v>
      </c>
      <c r="R58" s="17" t="s">
        <v>809</v>
      </c>
      <c r="S58" s="16" t="s">
        <v>810</v>
      </c>
      <c r="T58" s="16" t="s">
        <v>74</v>
      </c>
      <c r="U58" s="16" t="s">
        <v>75</v>
      </c>
      <c r="V58" s="16" t="s">
        <v>811</v>
      </c>
      <c r="W58" s="16"/>
      <c r="X58" s="16" t="s">
        <v>812</v>
      </c>
      <c r="Y58" s="16" t="s">
        <v>78</v>
      </c>
      <c r="Z58" s="16" t="s">
        <v>296</v>
      </c>
      <c r="AA58" s="16" t="s">
        <v>297</v>
      </c>
      <c r="AB58" s="17" t="s">
        <v>813</v>
      </c>
      <c r="AC58" s="16" t="s">
        <v>71</v>
      </c>
      <c r="AD58" s="17" t="s">
        <v>813</v>
      </c>
      <c r="AE58" s="17" t="s">
        <v>814</v>
      </c>
      <c r="AF58" s="17" t="s">
        <v>813</v>
      </c>
      <c r="AG58" s="16"/>
      <c r="AH58" s="16"/>
      <c r="AI58" s="16"/>
      <c r="AJ58" s="16"/>
      <c r="AK58" s="16"/>
      <c r="AL58" s="16" t="s">
        <v>815</v>
      </c>
    </row>
    <row r="59" spans="1:38" x14ac:dyDescent="0.5">
      <c r="A59">
        <v>325</v>
      </c>
      <c r="B59" s="16" t="s">
        <v>816</v>
      </c>
      <c r="C59" s="16" t="s">
        <v>816</v>
      </c>
      <c r="D59" s="16" t="s">
        <v>103</v>
      </c>
      <c r="E59" s="16" t="s">
        <v>817</v>
      </c>
      <c r="F59" s="17" t="s">
        <v>818</v>
      </c>
      <c r="H59" s="16" t="s">
        <v>819</v>
      </c>
      <c r="I59" s="16" t="s">
        <v>820</v>
      </c>
      <c r="J59" s="33">
        <v>35796</v>
      </c>
      <c r="K59" s="33">
        <v>51501</v>
      </c>
      <c r="L59" s="16" t="s">
        <v>66</v>
      </c>
      <c r="M59" s="16" t="s">
        <v>109</v>
      </c>
      <c r="N59" s="16" t="s">
        <v>110</v>
      </c>
      <c r="O59" s="16" t="s">
        <v>253</v>
      </c>
      <c r="P59" s="16" t="s">
        <v>70</v>
      </c>
      <c r="Q59" s="16" t="s">
        <v>71</v>
      </c>
      <c r="R59" s="17" t="s">
        <v>821</v>
      </c>
      <c r="S59" s="16" t="s">
        <v>822</v>
      </c>
      <c r="T59" s="16" t="s">
        <v>74</v>
      </c>
      <c r="U59" s="16" t="s">
        <v>75</v>
      </c>
      <c r="V59" s="16" t="s">
        <v>823</v>
      </c>
      <c r="W59" s="16"/>
      <c r="X59" s="16" t="s">
        <v>824</v>
      </c>
      <c r="Y59" s="16" t="s">
        <v>78</v>
      </c>
      <c r="Z59" s="16" t="s">
        <v>825</v>
      </c>
      <c r="AA59" s="16" t="s">
        <v>826</v>
      </c>
      <c r="AB59" s="17" t="s">
        <v>827</v>
      </c>
      <c r="AC59" s="16" t="s">
        <v>71</v>
      </c>
      <c r="AD59" s="17" t="s">
        <v>827</v>
      </c>
      <c r="AE59" s="17" t="s">
        <v>828</v>
      </c>
      <c r="AF59" s="17" t="s">
        <v>829</v>
      </c>
      <c r="AG59" s="16"/>
      <c r="AH59" s="16"/>
      <c r="AI59" s="16"/>
      <c r="AJ59" s="16"/>
      <c r="AK59" s="16"/>
      <c r="AL59" s="16" t="s">
        <v>830</v>
      </c>
    </row>
    <row r="60" spans="1:38" x14ac:dyDescent="0.5">
      <c r="A60">
        <v>336</v>
      </c>
      <c r="B60" s="16" t="s">
        <v>831</v>
      </c>
      <c r="C60" s="16" t="s">
        <v>831</v>
      </c>
      <c r="D60" s="16" t="s">
        <v>85</v>
      </c>
      <c r="E60" s="16" t="s">
        <v>832</v>
      </c>
      <c r="F60" s="17" t="s">
        <v>833</v>
      </c>
      <c r="G60" s="17" t="s">
        <v>834</v>
      </c>
      <c r="H60" s="16" t="s">
        <v>585</v>
      </c>
      <c r="I60" s="16" t="s">
        <v>469</v>
      </c>
      <c r="J60" s="33">
        <v>36300</v>
      </c>
      <c r="K60" s="33">
        <v>43465</v>
      </c>
      <c r="L60" s="16" t="s">
        <v>66</v>
      </c>
      <c r="M60" s="16" t="s">
        <v>167</v>
      </c>
      <c r="N60" s="16" t="s">
        <v>110</v>
      </c>
      <c r="O60" s="16" t="s">
        <v>111</v>
      </c>
      <c r="P60" s="16" t="s">
        <v>70</v>
      </c>
      <c r="Q60" s="16" t="s">
        <v>71</v>
      </c>
      <c r="R60" s="17" t="s">
        <v>835</v>
      </c>
      <c r="S60" s="16" t="s">
        <v>621</v>
      </c>
      <c r="T60" s="16" t="s">
        <v>74</v>
      </c>
      <c r="U60" s="16" t="s">
        <v>75</v>
      </c>
      <c r="V60" s="16" t="s">
        <v>836</v>
      </c>
      <c r="W60" s="16"/>
      <c r="X60" s="16" t="s">
        <v>837</v>
      </c>
      <c r="Y60" s="16" t="s">
        <v>78</v>
      </c>
      <c r="Z60" s="16" t="s">
        <v>172</v>
      </c>
      <c r="AA60" s="16" t="s">
        <v>173</v>
      </c>
      <c r="AB60" s="17" t="s">
        <v>838</v>
      </c>
      <c r="AC60" s="16" t="s">
        <v>71</v>
      </c>
      <c r="AD60" s="17" t="s">
        <v>838</v>
      </c>
      <c r="AE60" s="17" t="s">
        <v>839</v>
      </c>
      <c r="AF60" s="17" t="s">
        <v>838</v>
      </c>
      <c r="AG60" s="16" t="s">
        <v>840</v>
      </c>
      <c r="AH60" s="16"/>
      <c r="AI60" s="16"/>
      <c r="AJ60" s="16"/>
      <c r="AK60" s="16"/>
      <c r="AL60" s="16" t="s">
        <v>841</v>
      </c>
    </row>
    <row r="61" spans="1:38" x14ac:dyDescent="0.5">
      <c r="A61">
        <v>337</v>
      </c>
      <c r="B61" s="16" t="s">
        <v>842</v>
      </c>
      <c r="C61" s="16" t="s">
        <v>842</v>
      </c>
      <c r="D61" s="16" t="s">
        <v>103</v>
      </c>
      <c r="E61" s="16" t="s">
        <v>843</v>
      </c>
      <c r="F61" s="17" t="s">
        <v>844</v>
      </c>
      <c r="H61" s="16" t="s">
        <v>127</v>
      </c>
      <c r="I61" s="16"/>
      <c r="J61" s="33">
        <v>36304</v>
      </c>
      <c r="K61" s="33">
        <v>43465</v>
      </c>
      <c r="L61" s="16" t="s">
        <v>66</v>
      </c>
      <c r="M61" s="16" t="s">
        <v>291</v>
      </c>
      <c r="N61" s="16" t="s">
        <v>127</v>
      </c>
      <c r="O61" s="16" t="s">
        <v>127</v>
      </c>
      <c r="P61" s="16" t="s">
        <v>70</v>
      </c>
      <c r="Q61" s="16" t="s">
        <v>71</v>
      </c>
      <c r="R61" s="17" t="s">
        <v>845</v>
      </c>
      <c r="S61" s="16" t="s">
        <v>846</v>
      </c>
      <c r="T61" s="16" t="s">
        <v>74</v>
      </c>
      <c r="U61" s="16" t="s">
        <v>75</v>
      </c>
      <c r="V61" s="16" t="s">
        <v>847</v>
      </c>
      <c r="W61" s="16"/>
      <c r="X61" s="16" t="s">
        <v>848</v>
      </c>
      <c r="Y61" s="16" t="s">
        <v>78</v>
      </c>
      <c r="Z61" s="16" t="s">
        <v>172</v>
      </c>
      <c r="AA61" s="16" t="s">
        <v>173</v>
      </c>
      <c r="AB61" s="17" t="s">
        <v>849</v>
      </c>
      <c r="AC61" s="16" t="s">
        <v>71</v>
      </c>
      <c r="AD61" s="17" t="s">
        <v>849</v>
      </c>
      <c r="AG61" s="16"/>
      <c r="AH61" s="16"/>
      <c r="AI61" s="16"/>
      <c r="AJ61" s="16"/>
      <c r="AK61" s="16"/>
      <c r="AL61" s="16" t="s">
        <v>850</v>
      </c>
    </row>
    <row r="62" spans="1:38" x14ac:dyDescent="0.5">
      <c r="A62">
        <v>360</v>
      </c>
      <c r="B62" s="16" t="s">
        <v>851</v>
      </c>
      <c r="C62" s="16" t="s">
        <v>851</v>
      </c>
      <c r="D62" s="16"/>
      <c r="E62" s="16" t="s">
        <v>852</v>
      </c>
      <c r="F62" s="17" t="s">
        <v>853</v>
      </c>
      <c r="G62" s="17" t="s">
        <v>854</v>
      </c>
      <c r="H62" s="16" t="s">
        <v>332</v>
      </c>
      <c r="I62" s="16" t="s">
        <v>855</v>
      </c>
      <c r="J62" s="33">
        <v>36368</v>
      </c>
      <c r="K62" s="33">
        <v>43465</v>
      </c>
      <c r="L62" s="16" t="s">
        <v>66</v>
      </c>
      <c r="M62" s="16" t="s">
        <v>167</v>
      </c>
      <c r="N62" s="16" t="s">
        <v>110</v>
      </c>
      <c r="O62" s="16" t="s">
        <v>253</v>
      </c>
      <c r="P62" s="16" t="s">
        <v>70</v>
      </c>
      <c r="Q62" s="16" t="s">
        <v>71</v>
      </c>
      <c r="R62" s="17" t="s">
        <v>856</v>
      </c>
      <c r="S62" s="16" t="s">
        <v>113</v>
      </c>
      <c r="T62" s="16" t="s">
        <v>74</v>
      </c>
      <c r="U62" s="16" t="s">
        <v>75</v>
      </c>
      <c r="V62" s="16" t="s">
        <v>857</v>
      </c>
      <c r="W62" s="16"/>
      <c r="X62" s="16" t="s">
        <v>858</v>
      </c>
      <c r="Y62" s="16" t="s">
        <v>78</v>
      </c>
      <c r="Z62" s="16" t="s">
        <v>117</v>
      </c>
      <c r="AA62" s="16" t="s">
        <v>113</v>
      </c>
      <c r="AB62" s="17" t="s">
        <v>859</v>
      </c>
      <c r="AC62" s="16" t="s">
        <v>71</v>
      </c>
      <c r="AD62" s="17" t="s">
        <v>859</v>
      </c>
      <c r="AE62" s="17" t="s">
        <v>860</v>
      </c>
      <c r="AF62" s="17" t="s">
        <v>860</v>
      </c>
      <c r="AG62" s="16"/>
      <c r="AH62" s="16"/>
      <c r="AI62" s="16"/>
      <c r="AJ62" s="16"/>
      <c r="AK62" s="16"/>
      <c r="AL62" s="16" t="s">
        <v>861</v>
      </c>
    </row>
    <row r="63" spans="1:38" x14ac:dyDescent="0.5">
      <c r="A63">
        <v>361</v>
      </c>
      <c r="B63" s="16" t="s">
        <v>532</v>
      </c>
      <c r="C63" s="16" t="s">
        <v>532</v>
      </c>
      <c r="D63" s="16"/>
      <c r="E63" s="16" t="s">
        <v>862</v>
      </c>
      <c r="F63" s="17" t="s">
        <v>863</v>
      </c>
      <c r="G63" s="17" t="s">
        <v>864</v>
      </c>
      <c r="H63" s="16" t="s">
        <v>699</v>
      </c>
      <c r="I63" s="16" t="s">
        <v>865</v>
      </c>
      <c r="J63" s="33">
        <v>36368</v>
      </c>
      <c r="K63" s="33">
        <v>43465</v>
      </c>
      <c r="L63" s="16" t="s">
        <v>66</v>
      </c>
      <c r="M63" s="16" t="s">
        <v>167</v>
      </c>
      <c r="N63" s="16" t="s">
        <v>110</v>
      </c>
      <c r="O63" s="16" t="s">
        <v>253</v>
      </c>
      <c r="P63" s="16" t="s">
        <v>70</v>
      </c>
      <c r="Q63" s="16" t="s">
        <v>71</v>
      </c>
      <c r="R63" s="17" t="s">
        <v>866</v>
      </c>
      <c r="S63" s="16" t="s">
        <v>222</v>
      </c>
      <c r="T63" s="16" t="s">
        <v>74</v>
      </c>
      <c r="U63" s="16" t="s">
        <v>75</v>
      </c>
      <c r="V63" s="16" t="s">
        <v>867</v>
      </c>
      <c r="W63" s="16"/>
      <c r="X63" s="16" t="s">
        <v>868</v>
      </c>
      <c r="Y63" s="16" t="s">
        <v>78</v>
      </c>
      <c r="Z63" s="16" t="s">
        <v>189</v>
      </c>
      <c r="AA63" s="16" t="s">
        <v>190</v>
      </c>
      <c r="AB63" s="17" t="s">
        <v>869</v>
      </c>
      <c r="AC63" s="16" t="s">
        <v>71</v>
      </c>
      <c r="AD63" s="17" t="s">
        <v>869</v>
      </c>
      <c r="AE63" s="17" t="s">
        <v>870</v>
      </c>
      <c r="AF63" s="17" t="s">
        <v>869</v>
      </c>
      <c r="AG63" s="16" t="s">
        <v>871</v>
      </c>
      <c r="AH63" s="16" t="s">
        <v>872</v>
      </c>
      <c r="AI63" s="16"/>
      <c r="AJ63" s="16"/>
      <c r="AK63" s="16"/>
      <c r="AL63" s="16" t="s">
        <v>873</v>
      </c>
    </row>
    <row r="64" spans="1:38" x14ac:dyDescent="0.5">
      <c r="A64">
        <v>363</v>
      </c>
      <c r="B64" s="16" t="s">
        <v>874</v>
      </c>
      <c r="C64" s="16" t="s">
        <v>874</v>
      </c>
      <c r="D64" s="16" t="s">
        <v>288</v>
      </c>
      <c r="E64" s="16" t="s">
        <v>875</v>
      </c>
      <c r="F64" s="17" t="s">
        <v>876</v>
      </c>
      <c r="G64" s="17" t="s">
        <v>877</v>
      </c>
      <c r="H64" s="16" t="s">
        <v>878</v>
      </c>
      <c r="I64" s="16" t="s">
        <v>8584</v>
      </c>
      <c r="J64" s="33">
        <v>36368</v>
      </c>
      <c r="K64" s="33">
        <v>43465</v>
      </c>
      <c r="L64" s="16" t="s">
        <v>66</v>
      </c>
      <c r="M64" s="16" t="s">
        <v>167</v>
      </c>
      <c r="N64" s="16" t="s">
        <v>110</v>
      </c>
      <c r="O64" s="16" t="s">
        <v>253</v>
      </c>
      <c r="P64" s="16" t="s">
        <v>70</v>
      </c>
      <c r="Q64" s="16" t="s">
        <v>71</v>
      </c>
      <c r="R64" s="17" t="s">
        <v>879</v>
      </c>
      <c r="S64" s="16" t="s">
        <v>880</v>
      </c>
      <c r="T64" s="16" t="s">
        <v>74</v>
      </c>
      <c r="U64" s="16" t="s">
        <v>75</v>
      </c>
      <c r="V64" s="16" t="s">
        <v>881</v>
      </c>
      <c r="W64" s="16"/>
      <c r="X64" s="16" t="s">
        <v>882</v>
      </c>
      <c r="Y64" s="16" t="s">
        <v>78</v>
      </c>
      <c r="Z64" s="16" t="s">
        <v>883</v>
      </c>
      <c r="AA64" s="16" t="s">
        <v>884</v>
      </c>
      <c r="AB64" s="17" t="s">
        <v>885</v>
      </c>
      <c r="AC64" s="16" t="s">
        <v>71</v>
      </c>
      <c r="AD64" s="17" t="s">
        <v>885</v>
      </c>
      <c r="AE64" s="17" t="s">
        <v>886</v>
      </c>
      <c r="AF64" s="17" t="s">
        <v>887</v>
      </c>
      <c r="AG64" s="16"/>
      <c r="AH64" s="16"/>
      <c r="AI64" s="16"/>
      <c r="AJ64" s="16"/>
      <c r="AK64" s="16"/>
      <c r="AL64" s="16" t="s">
        <v>888</v>
      </c>
    </row>
    <row r="65" spans="1:38" x14ac:dyDescent="0.5">
      <c r="A65">
        <v>368</v>
      </c>
      <c r="B65" s="16" t="s">
        <v>793</v>
      </c>
      <c r="C65" s="16" t="s">
        <v>793</v>
      </c>
      <c r="D65" s="16" t="s">
        <v>277</v>
      </c>
      <c r="E65" s="16" t="s">
        <v>889</v>
      </c>
      <c r="F65" s="17" t="s">
        <v>890</v>
      </c>
      <c r="G65" s="17" t="s">
        <v>891</v>
      </c>
      <c r="H65" s="16" t="s">
        <v>386</v>
      </c>
      <c r="I65" s="16" t="s">
        <v>892</v>
      </c>
      <c r="J65" s="33">
        <v>36397</v>
      </c>
      <c r="K65" s="33">
        <v>43465</v>
      </c>
      <c r="L65" s="16" t="s">
        <v>66</v>
      </c>
      <c r="M65" s="16" t="s">
        <v>90</v>
      </c>
      <c r="N65" s="16" t="s">
        <v>91</v>
      </c>
      <c r="O65" s="16" t="s">
        <v>91</v>
      </c>
      <c r="P65" s="16" t="s">
        <v>70</v>
      </c>
      <c r="Q65" s="16" t="s">
        <v>71</v>
      </c>
      <c r="R65" s="17" t="s">
        <v>893</v>
      </c>
      <c r="S65" s="16" t="s">
        <v>894</v>
      </c>
      <c r="T65" s="16" t="s">
        <v>74</v>
      </c>
      <c r="U65" s="16" t="s">
        <v>75</v>
      </c>
      <c r="V65" s="16" t="s">
        <v>895</v>
      </c>
      <c r="W65" s="16"/>
      <c r="X65" s="16" t="s">
        <v>896</v>
      </c>
      <c r="Y65" s="16" t="s">
        <v>78</v>
      </c>
      <c r="Z65" s="16" t="s">
        <v>270</v>
      </c>
      <c r="AA65" s="16" t="s">
        <v>271</v>
      </c>
      <c r="AB65" s="17" t="s">
        <v>897</v>
      </c>
      <c r="AC65" s="16" t="s">
        <v>71</v>
      </c>
      <c r="AD65" s="17" t="s">
        <v>897</v>
      </c>
      <c r="AE65" s="17" t="s">
        <v>898</v>
      </c>
      <c r="AG65" s="16" t="s">
        <v>899</v>
      </c>
      <c r="AH65" s="16" t="s">
        <v>900</v>
      </c>
      <c r="AI65" s="16"/>
      <c r="AJ65" s="16"/>
      <c r="AK65" s="16"/>
      <c r="AL65" s="16" t="s">
        <v>901</v>
      </c>
    </row>
    <row r="66" spans="1:38" x14ac:dyDescent="0.5">
      <c r="A66">
        <v>371</v>
      </c>
      <c r="B66" s="16" t="s">
        <v>902</v>
      </c>
      <c r="C66" s="16" t="s">
        <v>902</v>
      </c>
      <c r="D66" s="16" t="s">
        <v>302</v>
      </c>
      <c r="E66" s="16" t="s">
        <v>903</v>
      </c>
      <c r="F66" s="17" t="s">
        <v>904</v>
      </c>
      <c r="H66" s="16" t="s">
        <v>585</v>
      </c>
      <c r="I66" s="16" t="s">
        <v>469</v>
      </c>
      <c r="J66" s="33">
        <v>36397</v>
      </c>
      <c r="K66" s="33">
        <v>55153</v>
      </c>
      <c r="L66" s="16" t="s">
        <v>66</v>
      </c>
      <c r="M66" s="16" t="s">
        <v>109</v>
      </c>
      <c r="N66" s="16" t="s">
        <v>110</v>
      </c>
      <c r="O66" s="16" t="s">
        <v>111</v>
      </c>
      <c r="P66" s="16" t="s">
        <v>70</v>
      </c>
      <c r="Q66" s="16" t="s">
        <v>71</v>
      </c>
      <c r="R66" s="17" t="s">
        <v>905</v>
      </c>
      <c r="S66" s="16" t="s">
        <v>222</v>
      </c>
      <c r="T66" s="16" t="s">
        <v>74</v>
      </c>
      <c r="U66" s="16" t="s">
        <v>75</v>
      </c>
      <c r="V66" s="16" t="s">
        <v>906</v>
      </c>
      <c r="W66" s="16"/>
      <c r="X66" s="16" t="s">
        <v>907</v>
      </c>
      <c r="Y66" s="16" t="s">
        <v>78</v>
      </c>
      <c r="Z66" s="16" t="s">
        <v>189</v>
      </c>
      <c r="AA66" s="16" t="s">
        <v>190</v>
      </c>
      <c r="AB66" s="17" t="s">
        <v>908</v>
      </c>
      <c r="AC66" s="16" t="s">
        <v>71</v>
      </c>
      <c r="AD66" s="17" t="s">
        <v>908</v>
      </c>
      <c r="AF66" s="17" t="s">
        <v>908</v>
      </c>
      <c r="AG66" s="16"/>
      <c r="AH66" s="16"/>
      <c r="AI66" s="16"/>
      <c r="AJ66" s="16"/>
      <c r="AK66" s="16"/>
      <c r="AL66" s="16" t="s">
        <v>909</v>
      </c>
    </row>
    <row r="67" spans="1:38" x14ac:dyDescent="0.5">
      <c r="A67">
        <v>376</v>
      </c>
      <c r="B67" s="16" t="s">
        <v>286</v>
      </c>
      <c r="C67" s="16" t="s">
        <v>286</v>
      </c>
      <c r="D67" s="16" t="s">
        <v>261</v>
      </c>
      <c r="E67" s="16" t="s">
        <v>910</v>
      </c>
      <c r="F67" s="17" t="s">
        <v>911</v>
      </c>
      <c r="G67" s="17" t="s">
        <v>912</v>
      </c>
      <c r="H67" s="16" t="s">
        <v>913</v>
      </c>
      <c r="I67" s="16" t="s">
        <v>914</v>
      </c>
      <c r="J67" s="33">
        <v>36397</v>
      </c>
      <c r="K67" s="33">
        <v>43465</v>
      </c>
      <c r="L67" s="16" t="s">
        <v>66</v>
      </c>
      <c r="M67" s="16" t="s">
        <v>90</v>
      </c>
      <c r="N67" s="16" t="s">
        <v>91</v>
      </c>
      <c r="O67" s="16" t="s">
        <v>91</v>
      </c>
      <c r="P67" s="16" t="s">
        <v>70</v>
      </c>
      <c r="Q67" s="16" t="s">
        <v>71</v>
      </c>
      <c r="R67" s="17" t="s">
        <v>915</v>
      </c>
      <c r="S67" s="16" t="s">
        <v>662</v>
      </c>
      <c r="T67" s="16" t="s">
        <v>74</v>
      </c>
      <c r="U67" s="16" t="s">
        <v>75</v>
      </c>
      <c r="V67" s="16" t="s">
        <v>916</v>
      </c>
      <c r="W67" s="16" t="s">
        <v>917</v>
      </c>
      <c r="X67" s="16" t="s">
        <v>918</v>
      </c>
      <c r="Y67" s="16" t="s">
        <v>78</v>
      </c>
      <c r="Z67" s="16" t="s">
        <v>666</v>
      </c>
      <c r="AA67" s="16" t="s">
        <v>667</v>
      </c>
      <c r="AB67" s="17" t="s">
        <v>919</v>
      </c>
      <c r="AC67" s="16" t="s">
        <v>71</v>
      </c>
      <c r="AD67" s="17" t="s">
        <v>919</v>
      </c>
      <c r="AG67" s="16"/>
      <c r="AH67" s="16"/>
      <c r="AI67" s="16"/>
      <c r="AJ67" s="16"/>
      <c r="AK67" s="16"/>
      <c r="AL67" s="16" t="s">
        <v>920</v>
      </c>
    </row>
    <row r="68" spans="1:38" x14ac:dyDescent="0.5">
      <c r="A68">
        <v>378</v>
      </c>
      <c r="B68" s="16" t="s">
        <v>921</v>
      </c>
      <c r="C68" s="16" t="s">
        <v>921</v>
      </c>
      <c r="D68" s="16" t="s">
        <v>328</v>
      </c>
      <c r="E68" s="16" t="s">
        <v>655</v>
      </c>
      <c r="F68" s="17" t="s">
        <v>922</v>
      </c>
      <c r="H68" s="16" t="s">
        <v>923</v>
      </c>
      <c r="I68" s="16" t="s">
        <v>924</v>
      </c>
      <c r="J68" s="33">
        <v>36397</v>
      </c>
      <c r="K68" s="33">
        <v>43465</v>
      </c>
      <c r="L68" s="16" t="s">
        <v>66</v>
      </c>
      <c r="M68" s="16" t="s">
        <v>90</v>
      </c>
      <c r="N68" s="16" t="s">
        <v>91</v>
      </c>
      <c r="O68" s="16" t="s">
        <v>91</v>
      </c>
      <c r="P68" s="16" t="s">
        <v>70</v>
      </c>
      <c r="Q68" s="16" t="s">
        <v>71</v>
      </c>
      <c r="R68" s="17" t="s">
        <v>925</v>
      </c>
      <c r="S68" s="16" t="s">
        <v>926</v>
      </c>
      <c r="T68" s="16" t="s">
        <v>74</v>
      </c>
      <c r="U68" s="16" t="s">
        <v>75</v>
      </c>
      <c r="V68" s="16" t="s">
        <v>927</v>
      </c>
      <c r="W68" s="16"/>
      <c r="X68" s="16" t="s">
        <v>928</v>
      </c>
      <c r="Y68" s="16" t="s">
        <v>78</v>
      </c>
      <c r="Z68" s="16" t="s">
        <v>117</v>
      </c>
      <c r="AA68" s="16" t="s">
        <v>113</v>
      </c>
      <c r="AB68" s="17" t="s">
        <v>929</v>
      </c>
      <c r="AC68" s="16" t="s">
        <v>71</v>
      </c>
      <c r="AD68" s="17" t="s">
        <v>929</v>
      </c>
      <c r="AE68" s="17" t="s">
        <v>930</v>
      </c>
      <c r="AG68" s="16" t="s">
        <v>899</v>
      </c>
      <c r="AH68" s="16" t="s">
        <v>900</v>
      </c>
      <c r="AI68" s="16"/>
      <c r="AJ68" s="16"/>
      <c r="AK68" s="16"/>
      <c r="AL68" s="16" t="s">
        <v>931</v>
      </c>
    </row>
    <row r="69" spans="1:38" x14ac:dyDescent="0.5">
      <c r="A69">
        <v>412</v>
      </c>
      <c r="B69" s="16" t="s">
        <v>804</v>
      </c>
      <c r="C69" s="16" t="s">
        <v>805</v>
      </c>
      <c r="D69" s="16" t="s">
        <v>581</v>
      </c>
      <c r="E69" s="16" t="s">
        <v>932</v>
      </c>
      <c r="F69" s="17" t="s">
        <v>933</v>
      </c>
      <c r="H69" s="16" t="s">
        <v>819</v>
      </c>
      <c r="I69" s="16" t="s">
        <v>934</v>
      </c>
      <c r="J69" s="33">
        <v>36713</v>
      </c>
      <c r="K69" s="33">
        <v>43465</v>
      </c>
      <c r="L69" s="16" t="s">
        <v>66</v>
      </c>
      <c r="M69" s="16" t="s">
        <v>167</v>
      </c>
      <c r="N69" s="16" t="s">
        <v>110</v>
      </c>
      <c r="O69" s="16" t="s">
        <v>280</v>
      </c>
      <c r="P69" s="16" t="s">
        <v>70</v>
      </c>
      <c r="Q69" s="16" t="s">
        <v>71</v>
      </c>
      <c r="R69" s="17" t="s">
        <v>935</v>
      </c>
      <c r="S69" s="16" t="s">
        <v>936</v>
      </c>
      <c r="T69" s="16" t="s">
        <v>74</v>
      </c>
      <c r="U69" s="16" t="s">
        <v>75</v>
      </c>
      <c r="V69" s="16" t="s">
        <v>937</v>
      </c>
      <c r="W69" s="16"/>
      <c r="X69" s="16" t="s">
        <v>938</v>
      </c>
      <c r="Y69" s="16" t="s">
        <v>78</v>
      </c>
      <c r="Z69" s="16" t="s">
        <v>242</v>
      </c>
      <c r="AA69" s="16" t="s">
        <v>243</v>
      </c>
      <c r="AB69" s="17" t="s">
        <v>939</v>
      </c>
      <c r="AC69" s="16" t="s">
        <v>71</v>
      </c>
      <c r="AD69" s="17" t="s">
        <v>939</v>
      </c>
      <c r="AE69" s="17" t="s">
        <v>940</v>
      </c>
      <c r="AF69" s="17" t="s">
        <v>941</v>
      </c>
      <c r="AG69" s="16"/>
      <c r="AH69" s="16"/>
      <c r="AI69" s="16"/>
      <c r="AJ69" s="16"/>
      <c r="AK69" s="16"/>
      <c r="AL69" s="16" t="s">
        <v>942</v>
      </c>
    </row>
    <row r="70" spans="1:38" x14ac:dyDescent="0.5">
      <c r="A70">
        <v>414</v>
      </c>
      <c r="B70" s="16" t="s">
        <v>943</v>
      </c>
      <c r="C70" s="16" t="s">
        <v>944</v>
      </c>
      <c r="D70" s="16" t="s">
        <v>85</v>
      </c>
      <c r="E70" s="16" t="s">
        <v>945</v>
      </c>
      <c r="F70" s="17" t="s">
        <v>946</v>
      </c>
      <c r="H70" s="16" t="s">
        <v>127</v>
      </c>
      <c r="I70" s="16"/>
      <c r="J70" s="33">
        <v>36761</v>
      </c>
      <c r="K70" s="33">
        <v>43465</v>
      </c>
      <c r="L70" s="16" t="s">
        <v>66</v>
      </c>
      <c r="M70" s="16" t="s">
        <v>291</v>
      </c>
      <c r="N70" s="16" t="s">
        <v>127</v>
      </c>
      <c r="O70" s="16" t="s">
        <v>127</v>
      </c>
      <c r="P70" s="16" t="s">
        <v>70</v>
      </c>
      <c r="Q70" s="16" t="s">
        <v>71</v>
      </c>
      <c r="R70" s="17" t="s">
        <v>947</v>
      </c>
      <c r="S70" s="16" t="s">
        <v>948</v>
      </c>
      <c r="T70" s="16" t="s">
        <v>74</v>
      </c>
      <c r="U70" s="16" t="s">
        <v>75</v>
      </c>
      <c r="V70" s="16" t="s">
        <v>949</v>
      </c>
      <c r="W70" s="16"/>
      <c r="X70" s="16" t="s">
        <v>950</v>
      </c>
      <c r="Y70" s="16" t="s">
        <v>78</v>
      </c>
      <c r="Z70" s="16" t="s">
        <v>492</v>
      </c>
      <c r="AA70" s="16" t="s">
        <v>493</v>
      </c>
      <c r="AB70" s="17" t="s">
        <v>951</v>
      </c>
      <c r="AC70" s="16" t="s">
        <v>71</v>
      </c>
      <c r="AD70" s="17" t="s">
        <v>951</v>
      </c>
      <c r="AG70" s="16"/>
      <c r="AH70" s="16"/>
      <c r="AI70" s="16"/>
      <c r="AJ70" s="16"/>
      <c r="AK70" s="16"/>
      <c r="AL70" s="16" t="s">
        <v>952</v>
      </c>
    </row>
    <row r="71" spans="1:38" x14ac:dyDescent="0.5">
      <c r="A71">
        <v>416</v>
      </c>
      <c r="B71" s="16" t="s">
        <v>84</v>
      </c>
      <c r="C71" s="16" t="s">
        <v>84</v>
      </c>
      <c r="D71" s="16"/>
      <c r="E71" s="16" t="s">
        <v>953</v>
      </c>
      <c r="F71" s="17" t="s">
        <v>954</v>
      </c>
      <c r="G71" s="17" t="s">
        <v>955</v>
      </c>
      <c r="H71" s="16" t="s">
        <v>956</v>
      </c>
      <c r="I71" s="16" t="s">
        <v>957</v>
      </c>
      <c r="J71" s="33">
        <v>36761</v>
      </c>
      <c r="K71" s="33">
        <v>43465</v>
      </c>
      <c r="L71" s="16" t="s">
        <v>66</v>
      </c>
      <c r="M71" s="16" t="s">
        <v>67</v>
      </c>
      <c r="N71" s="16" t="s">
        <v>68</v>
      </c>
      <c r="O71" s="16" t="s">
        <v>958</v>
      </c>
      <c r="P71" s="16" t="s">
        <v>70</v>
      </c>
      <c r="Q71" s="16" t="s">
        <v>71</v>
      </c>
      <c r="R71" s="17" t="s">
        <v>959</v>
      </c>
      <c r="S71" s="16" t="s">
        <v>960</v>
      </c>
      <c r="T71" s="16" t="s">
        <v>74</v>
      </c>
      <c r="U71" s="16" t="s">
        <v>75</v>
      </c>
      <c r="V71" s="16" t="s">
        <v>961</v>
      </c>
      <c r="W71" s="16"/>
      <c r="X71" s="16" t="s">
        <v>962</v>
      </c>
      <c r="Y71" s="16"/>
      <c r="Z71" s="16" t="s">
        <v>963</v>
      </c>
      <c r="AA71" s="16" t="s">
        <v>964</v>
      </c>
      <c r="AB71" s="17" t="s">
        <v>965</v>
      </c>
      <c r="AC71" s="16" t="s">
        <v>966</v>
      </c>
      <c r="AD71" s="17" t="s">
        <v>967</v>
      </c>
      <c r="AF71" s="17" t="s">
        <v>965</v>
      </c>
      <c r="AG71" s="16"/>
      <c r="AH71" s="16"/>
      <c r="AI71" s="16"/>
      <c r="AJ71" s="16"/>
      <c r="AK71" s="16"/>
      <c r="AL71" s="16" t="s">
        <v>968</v>
      </c>
    </row>
    <row r="72" spans="1:38" x14ac:dyDescent="0.5">
      <c r="A72">
        <v>425</v>
      </c>
      <c r="B72" s="16" t="s">
        <v>381</v>
      </c>
      <c r="C72" s="16" t="s">
        <v>381</v>
      </c>
      <c r="D72" s="16"/>
      <c r="E72" s="16" t="s">
        <v>969</v>
      </c>
      <c r="F72" s="17" t="s">
        <v>970</v>
      </c>
      <c r="G72" s="17" t="s">
        <v>971</v>
      </c>
      <c r="H72" s="16" t="s">
        <v>142</v>
      </c>
      <c r="I72" s="16" t="s">
        <v>972</v>
      </c>
      <c r="J72" s="33">
        <v>36787</v>
      </c>
      <c r="K72" s="33">
        <v>43465</v>
      </c>
      <c r="L72" s="16" t="s">
        <v>66</v>
      </c>
      <c r="M72" s="16" t="s">
        <v>167</v>
      </c>
      <c r="N72" s="16" t="s">
        <v>110</v>
      </c>
      <c r="O72" s="16" t="s">
        <v>253</v>
      </c>
      <c r="P72" s="16" t="s">
        <v>70</v>
      </c>
      <c r="Q72" s="16" t="s">
        <v>71</v>
      </c>
      <c r="R72" s="17" t="s">
        <v>973</v>
      </c>
      <c r="S72" s="16" t="s">
        <v>974</v>
      </c>
      <c r="T72" s="16" t="s">
        <v>74</v>
      </c>
      <c r="U72" s="16" t="s">
        <v>75</v>
      </c>
      <c r="V72" s="16" t="s">
        <v>975</v>
      </c>
      <c r="W72" s="16"/>
      <c r="X72" s="16" t="s">
        <v>976</v>
      </c>
      <c r="Y72" s="16" t="s">
        <v>78</v>
      </c>
      <c r="Z72" s="16" t="s">
        <v>79</v>
      </c>
      <c r="AA72" s="16" t="s">
        <v>80</v>
      </c>
      <c r="AB72" s="17" t="s">
        <v>977</v>
      </c>
      <c r="AC72" s="16" t="s">
        <v>71</v>
      </c>
      <c r="AD72" s="17" t="s">
        <v>977</v>
      </c>
      <c r="AE72" s="17" t="s">
        <v>978</v>
      </c>
      <c r="AF72" s="17" t="s">
        <v>977</v>
      </c>
      <c r="AG72" s="16"/>
      <c r="AH72" s="16"/>
      <c r="AI72" s="16"/>
      <c r="AJ72" s="16"/>
      <c r="AK72" s="16"/>
      <c r="AL72" s="16" t="s">
        <v>979</v>
      </c>
    </row>
    <row r="73" spans="1:38" x14ac:dyDescent="0.5">
      <c r="A73">
        <v>443</v>
      </c>
      <c r="B73" s="16" t="s">
        <v>980</v>
      </c>
      <c r="C73" s="16" t="s">
        <v>980</v>
      </c>
      <c r="D73" s="16" t="s">
        <v>581</v>
      </c>
      <c r="E73" s="16" t="s">
        <v>981</v>
      </c>
      <c r="F73" s="17" t="s">
        <v>982</v>
      </c>
      <c r="G73" s="17" t="s">
        <v>983</v>
      </c>
      <c r="H73" s="16" t="s">
        <v>984</v>
      </c>
      <c r="I73" s="16" t="s">
        <v>985</v>
      </c>
      <c r="J73" s="33">
        <v>37847</v>
      </c>
      <c r="K73" s="33">
        <v>55153</v>
      </c>
      <c r="L73" s="16" t="s">
        <v>66</v>
      </c>
      <c r="M73" s="16" t="s">
        <v>109</v>
      </c>
      <c r="N73" s="16"/>
      <c r="O73" s="16" t="s">
        <v>436</v>
      </c>
      <c r="P73" s="16" t="s">
        <v>70</v>
      </c>
      <c r="Q73" s="16" t="s">
        <v>71</v>
      </c>
      <c r="R73" s="17" t="s">
        <v>986</v>
      </c>
      <c r="S73" s="16" t="s">
        <v>527</v>
      </c>
      <c r="T73" s="16" t="s">
        <v>74</v>
      </c>
      <c r="U73" s="16" t="s">
        <v>75</v>
      </c>
      <c r="V73" s="16" t="s">
        <v>987</v>
      </c>
      <c r="W73" s="16"/>
      <c r="X73" s="16" t="s">
        <v>988</v>
      </c>
      <c r="Y73" s="16" t="s">
        <v>78</v>
      </c>
      <c r="Z73" s="16" t="s">
        <v>207</v>
      </c>
      <c r="AA73" s="16" t="s">
        <v>208</v>
      </c>
      <c r="AB73" s="17" t="s">
        <v>989</v>
      </c>
      <c r="AC73" s="16" t="s">
        <v>966</v>
      </c>
      <c r="AF73" s="17" t="s">
        <v>989</v>
      </c>
      <c r="AG73" s="16"/>
      <c r="AH73" s="16"/>
      <c r="AI73" s="16"/>
      <c r="AJ73" s="16"/>
      <c r="AK73" s="16"/>
      <c r="AL73" s="16" t="s">
        <v>990</v>
      </c>
    </row>
    <row r="74" spans="1:38" x14ac:dyDescent="0.5">
      <c r="A74">
        <v>456</v>
      </c>
      <c r="B74" s="16" t="s">
        <v>770</v>
      </c>
      <c r="C74" s="16" t="s">
        <v>178</v>
      </c>
      <c r="D74" s="16" t="s">
        <v>103</v>
      </c>
      <c r="E74" s="16" t="s">
        <v>991</v>
      </c>
      <c r="F74" s="17" t="s">
        <v>992</v>
      </c>
      <c r="G74" s="17" t="s">
        <v>992</v>
      </c>
      <c r="H74" s="16" t="s">
        <v>993</v>
      </c>
      <c r="I74" s="16" t="s">
        <v>994</v>
      </c>
      <c r="J74" s="33">
        <v>36936</v>
      </c>
      <c r="K74" s="33">
        <v>43465</v>
      </c>
      <c r="L74" s="16" t="s">
        <v>66</v>
      </c>
      <c r="M74" s="16" t="s">
        <v>90</v>
      </c>
      <c r="N74" s="16" t="s">
        <v>91</v>
      </c>
      <c r="O74" s="16" t="s">
        <v>91</v>
      </c>
      <c r="P74" s="16" t="s">
        <v>70</v>
      </c>
      <c r="Q74" s="16" t="s">
        <v>71</v>
      </c>
      <c r="R74" s="17" t="s">
        <v>995</v>
      </c>
      <c r="S74" s="16" t="s">
        <v>996</v>
      </c>
      <c r="T74" s="16" t="s">
        <v>74</v>
      </c>
      <c r="U74" s="16" t="s">
        <v>75</v>
      </c>
      <c r="V74" s="16" t="s">
        <v>997</v>
      </c>
      <c r="W74" s="16" t="s">
        <v>998</v>
      </c>
      <c r="X74" s="16" t="s">
        <v>999</v>
      </c>
      <c r="Y74" s="16" t="s">
        <v>78</v>
      </c>
      <c r="Z74" s="16" t="s">
        <v>172</v>
      </c>
      <c r="AA74" s="16" t="s">
        <v>173</v>
      </c>
      <c r="AB74" s="17" t="s">
        <v>1000</v>
      </c>
      <c r="AC74" s="16" t="s">
        <v>71</v>
      </c>
      <c r="AD74" s="17" t="s">
        <v>1000</v>
      </c>
      <c r="AE74" s="17" t="s">
        <v>1001</v>
      </c>
      <c r="AG74" s="16" t="s">
        <v>1002</v>
      </c>
      <c r="AH74" s="16" t="s">
        <v>1003</v>
      </c>
      <c r="AI74" s="16"/>
      <c r="AJ74" s="16"/>
      <c r="AK74" s="16"/>
      <c r="AL74" s="16" t="s">
        <v>1004</v>
      </c>
    </row>
    <row r="75" spans="1:38" x14ac:dyDescent="0.5">
      <c r="A75">
        <v>467</v>
      </c>
      <c r="B75" s="16" t="s">
        <v>381</v>
      </c>
      <c r="C75" s="16" t="s">
        <v>382</v>
      </c>
      <c r="D75" s="16" t="s">
        <v>794</v>
      </c>
      <c r="E75" s="16" t="s">
        <v>1005</v>
      </c>
      <c r="F75" s="17" t="s">
        <v>1006</v>
      </c>
      <c r="H75" s="16" t="s">
        <v>1007</v>
      </c>
      <c r="I75" s="16" t="s">
        <v>1008</v>
      </c>
      <c r="J75" s="33">
        <v>36952</v>
      </c>
      <c r="K75" s="33">
        <v>43465</v>
      </c>
      <c r="L75" s="16" t="s">
        <v>66</v>
      </c>
      <c r="M75" s="16" t="s">
        <v>67</v>
      </c>
      <c r="N75" s="16" t="s">
        <v>68</v>
      </c>
      <c r="O75" s="16" t="s">
        <v>253</v>
      </c>
      <c r="P75" s="16" t="s">
        <v>70</v>
      </c>
      <c r="Q75" s="16" t="s">
        <v>71</v>
      </c>
      <c r="R75" s="17" t="s">
        <v>1009</v>
      </c>
      <c r="S75" s="16" t="s">
        <v>1010</v>
      </c>
      <c r="T75" s="16" t="s">
        <v>74</v>
      </c>
      <c r="U75" s="16" t="s">
        <v>75</v>
      </c>
      <c r="V75" s="16" t="s">
        <v>1011</v>
      </c>
      <c r="W75" s="16" t="s">
        <v>1012</v>
      </c>
      <c r="X75" s="16" t="s">
        <v>1013</v>
      </c>
      <c r="Y75" s="16" t="s">
        <v>78</v>
      </c>
      <c r="Z75" s="16" t="s">
        <v>189</v>
      </c>
      <c r="AA75" s="16" t="s">
        <v>190</v>
      </c>
      <c r="AB75" s="17" t="s">
        <v>1014</v>
      </c>
      <c r="AC75" s="16" t="s">
        <v>71</v>
      </c>
      <c r="AD75" s="17" t="s">
        <v>1014</v>
      </c>
      <c r="AF75" s="17" t="s">
        <v>1015</v>
      </c>
      <c r="AG75" s="16" t="s">
        <v>1016</v>
      </c>
      <c r="AH75" s="16" t="s">
        <v>1017</v>
      </c>
      <c r="AI75" s="16"/>
      <c r="AJ75" s="16"/>
      <c r="AK75" s="16"/>
      <c r="AL75" s="16" t="s">
        <v>1018</v>
      </c>
    </row>
    <row r="76" spans="1:38" x14ac:dyDescent="0.5">
      <c r="A76">
        <v>469</v>
      </c>
      <c r="B76" s="16" t="s">
        <v>498</v>
      </c>
      <c r="C76" s="16" t="s">
        <v>499</v>
      </c>
      <c r="D76" s="16" t="s">
        <v>485</v>
      </c>
      <c r="E76" s="16" t="s">
        <v>1019</v>
      </c>
      <c r="F76" s="17" t="s">
        <v>1020</v>
      </c>
      <c r="H76" s="16" t="s">
        <v>127</v>
      </c>
      <c r="I76" s="16"/>
      <c r="J76" s="33">
        <v>36958</v>
      </c>
      <c r="K76" s="33">
        <v>43465</v>
      </c>
      <c r="L76" s="16" t="s">
        <v>66</v>
      </c>
      <c r="M76" s="16" t="s">
        <v>291</v>
      </c>
      <c r="N76" s="16" t="s">
        <v>127</v>
      </c>
      <c r="O76" s="16" t="s">
        <v>127</v>
      </c>
      <c r="P76" s="16" t="s">
        <v>70</v>
      </c>
      <c r="Q76" s="16" t="s">
        <v>71</v>
      </c>
      <c r="R76" s="17" t="s">
        <v>1021</v>
      </c>
      <c r="S76" s="16" t="s">
        <v>1022</v>
      </c>
      <c r="T76" s="16" t="s">
        <v>74</v>
      </c>
      <c r="U76" s="16" t="s">
        <v>75</v>
      </c>
      <c r="V76" s="16" t="s">
        <v>1023</v>
      </c>
      <c r="W76" s="16"/>
      <c r="X76" s="16" t="s">
        <v>1024</v>
      </c>
      <c r="Y76" s="16" t="s">
        <v>78</v>
      </c>
      <c r="Z76" s="16" t="s">
        <v>1025</v>
      </c>
      <c r="AA76" s="16" t="s">
        <v>1026</v>
      </c>
      <c r="AB76" s="17" t="s">
        <v>1027</v>
      </c>
      <c r="AC76" s="16" t="s">
        <v>71</v>
      </c>
      <c r="AD76" s="17" t="s">
        <v>1027</v>
      </c>
      <c r="AF76" s="17" t="s">
        <v>1028</v>
      </c>
      <c r="AG76" s="16" t="s">
        <v>1029</v>
      </c>
      <c r="AH76" s="16" t="s">
        <v>1030</v>
      </c>
      <c r="AI76" s="16"/>
      <c r="AJ76" s="16"/>
      <c r="AK76" s="16"/>
      <c r="AL76" s="16" t="s">
        <v>1031</v>
      </c>
    </row>
    <row r="77" spans="1:38" x14ac:dyDescent="0.5">
      <c r="A77">
        <v>483</v>
      </c>
      <c r="B77" s="16" t="s">
        <v>276</v>
      </c>
      <c r="C77" s="16" t="s">
        <v>276</v>
      </c>
      <c r="D77" s="16" t="s">
        <v>162</v>
      </c>
      <c r="E77" s="16" t="s">
        <v>1032</v>
      </c>
      <c r="F77" s="17" t="s">
        <v>1033</v>
      </c>
      <c r="H77" s="16" t="s">
        <v>1034</v>
      </c>
      <c r="I77" s="16" t="s">
        <v>1035</v>
      </c>
      <c r="J77" s="33">
        <v>37011</v>
      </c>
      <c r="K77" s="33">
        <v>43465</v>
      </c>
      <c r="L77" s="16" t="s">
        <v>66</v>
      </c>
      <c r="M77" s="16" t="s">
        <v>1036</v>
      </c>
      <c r="N77" s="16"/>
      <c r="O77" s="16" t="s">
        <v>1037</v>
      </c>
      <c r="P77" s="16" t="s">
        <v>70</v>
      </c>
      <c r="Q77" s="16" t="s">
        <v>71</v>
      </c>
      <c r="R77" s="17" t="s">
        <v>1038</v>
      </c>
      <c r="S77" s="16" t="s">
        <v>113</v>
      </c>
      <c r="T77" s="16" t="s">
        <v>74</v>
      </c>
      <c r="U77" s="16" t="s">
        <v>75</v>
      </c>
      <c r="V77" s="16" t="s">
        <v>1039</v>
      </c>
      <c r="W77" s="16"/>
      <c r="X77" s="16" t="s">
        <v>1040</v>
      </c>
      <c r="Y77" s="16" t="s">
        <v>78</v>
      </c>
      <c r="Z77" s="16" t="s">
        <v>117</v>
      </c>
      <c r="AA77" s="16" t="s">
        <v>113</v>
      </c>
      <c r="AB77" s="17" t="s">
        <v>1041</v>
      </c>
      <c r="AC77" s="16" t="s">
        <v>71</v>
      </c>
      <c r="AD77" s="17" t="s">
        <v>1041</v>
      </c>
      <c r="AF77" s="17" t="s">
        <v>1042</v>
      </c>
      <c r="AG77" s="16" t="s">
        <v>1030</v>
      </c>
      <c r="AH77" s="16" t="s">
        <v>1029</v>
      </c>
      <c r="AI77" s="16"/>
      <c r="AJ77" s="16"/>
      <c r="AK77" s="16"/>
      <c r="AL77" s="16" t="s">
        <v>1043</v>
      </c>
    </row>
    <row r="78" spans="1:38" x14ac:dyDescent="0.5">
      <c r="A78">
        <v>488</v>
      </c>
      <c r="B78" s="16" t="s">
        <v>614</v>
      </c>
      <c r="C78" s="16" t="s">
        <v>614</v>
      </c>
      <c r="D78" s="16" t="s">
        <v>1044</v>
      </c>
      <c r="E78" s="16" t="s">
        <v>1045</v>
      </c>
      <c r="F78" s="17" t="s">
        <v>1046</v>
      </c>
      <c r="G78" s="17" t="s">
        <v>1047</v>
      </c>
      <c r="H78" s="16" t="s">
        <v>1048</v>
      </c>
      <c r="I78" s="16" t="s">
        <v>1049</v>
      </c>
      <c r="J78" s="33">
        <v>39527</v>
      </c>
      <c r="K78" s="33">
        <v>43465</v>
      </c>
      <c r="L78" s="16" t="s">
        <v>66</v>
      </c>
      <c r="M78" s="16" t="s">
        <v>90</v>
      </c>
      <c r="N78" s="16" t="s">
        <v>91</v>
      </c>
      <c r="O78" s="16" t="s">
        <v>91</v>
      </c>
      <c r="P78" s="16" t="s">
        <v>70</v>
      </c>
      <c r="Q78" s="16" t="s">
        <v>71</v>
      </c>
      <c r="R78" s="17" t="s">
        <v>1050</v>
      </c>
      <c r="S78" s="16" t="s">
        <v>1051</v>
      </c>
      <c r="T78" s="16" t="s">
        <v>74</v>
      </c>
      <c r="U78" s="16" t="s">
        <v>75</v>
      </c>
      <c r="V78" s="16" t="s">
        <v>1052</v>
      </c>
      <c r="W78" s="16" t="s">
        <v>1053</v>
      </c>
      <c r="X78" s="16" t="s">
        <v>1054</v>
      </c>
      <c r="Y78" s="16" t="s">
        <v>78</v>
      </c>
      <c r="Z78" s="16" t="s">
        <v>1055</v>
      </c>
      <c r="AA78" s="16" t="s">
        <v>1056</v>
      </c>
      <c r="AB78" s="17" t="s">
        <v>1057</v>
      </c>
      <c r="AC78" s="16" t="s">
        <v>71</v>
      </c>
      <c r="AD78" s="17" t="s">
        <v>1057</v>
      </c>
      <c r="AE78" s="17" t="s">
        <v>1058</v>
      </c>
      <c r="AF78" s="17" t="s">
        <v>1057</v>
      </c>
      <c r="AG78" s="16" t="s">
        <v>1059</v>
      </c>
      <c r="AH78" s="16" t="s">
        <v>1060</v>
      </c>
      <c r="AI78" s="16" t="s">
        <v>899</v>
      </c>
      <c r="AJ78" s="16"/>
      <c r="AK78" s="16"/>
      <c r="AL78" s="16" t="s">
        <v>1061</v>
      </c>
    </row>
    <row r="79" spans="1:38" x14ac:dyDescent="0.5">
      <c r="A79">
        <v>503</v>
      </c>
      <c r="B79" s="16" t="s">
        <v>1062</v>
      </c>
      <c r="C79" s="16" t="s">
        <v>1063</v>
      </c>
      <c r="D79" s="16" t="s">
        <v>85</v>
      </c>
      <c r="E79" s="16" t="s">
        <v>1064</v>
      </c>
      <c r="F79" s="17" t="s">
        <v>1065</v>
      </c>
      <c r="G79" s="17" t="s">
        <v>1066</v>
      </c>
      <c r="H79" s="16" t="s">
        <v>1067</v>
      </c>
      <c r="I79" s="16"/>
      <c r="J79" s="33">
        <v>37119</v>
      </c>
      <c r="K79" s="33">
        <v>43465</v>
      </c>
      <c r="L79" s="16" t="s">
        <v>66</v>
      </c>
      <c r="M79" s="16" t="s">
        <v>67</v>
      </c>
      <c r="N79" s="16" t="s">
        <v>68</v>
      </c>
      <c r="O79" s="16" t="s">
        <v>436</v>
      </c>
      <c r="P79" s="16" t="s">
        <v>70</v>
      </c>
      <c r="Q79" s="16" t="s">
        <v>71</v>
      </c>
      <c r="R79" s="17" t="s">
        <v>1068</v>
      </c>
      <c r="S79" s="16" t="s">
        <v>1069</v>
      </c>
      <c r="T79" s="16" t="s">
        <v>74</v>
      </c>
      <c r="U79" s="16" t="s">
        <v>75</v>
      </c>
      <c r="V79" s="16" t="s">
        <v>1070</v>
      </c>
      <c r="W79" s="16"/>
      <c r="X79" s="16" t="s">
        <v>1071</v>
      </c>
      <c r="Y79" s="16" t="s">
        <v>78</v>
      </c>
      <c r="Z79" s="16" t="s">
        <v>132</v>
      </c>
      <c r="AA79" s="16" t="s">
        <v>133</v>
      </c>
      <c r="AB79" s="17" t="s">
        <v>1072</v>
      </c>
      <c r="AC79" s="16" t="s">
        <v>71</v>
      </c>
      <c r="AD79" s="17" t="s">
        <v>1072</v>
      </c>
      <c r="AE79" s="17" t="s">
        <v>1073</v>
      </c>
      <c r="AF79" s="17" t="s">
        <v>1074</v>
      </c>
      <c r="AG79" s="16" t="s">
        <v>1075</v>
      </c>
      <c r="AH79" s="16" t="s">
        <v>1076</v>
      </c>
      <c r="AI79" s="16"/>
      <c r="AJ79" s="16"/>
      <c r="AK79" s="16"/>
      <c r="AL79" s="16" t="s">
        <v>1077</v>
      </c>
    </row>
    <row r="80" spans="1:38" x14ac:dyDescent="0.5">
      <c r="A80">
        <v>504</v>
      </c>
      <c r="B80" s="16" t="s">
        <v>1078</v>
      </c>
      <c r="C80" s="16" t="s">
        <v>276</v>
      </c>
      <c r="D80" s="16" t="s">
        <v>103</v>
      </c>
      <c r="E80" s="16" t="s">
        <v>1079</v>
      </c>
      <c r="F80" s="17" t="s">
        <v>1080</v>
      </c>
      <c r="G80" s="17" t="s">
        <v>1080</v>
      </c>
      <c r="H80" s="16" t="s">
        <v>332</v>
      </c>
      <c r="I80" s="16" t="s">
        <v>1081</v>
      </c>
      <c r="J80" s="33">
        <v>37119</v>
      </c>
      <c r="K80" s="33">
        <v>43465</v>
      </c>
      <c r="L80" s="16" t="s">
        <v>66</v>
      </c>
      <c r="M80" s="16" t="s">
        <v>235</v>
      </c>
      <c r="N80" s="16" t="s">
        <v>236</v>
      </c>
      <c r="O80" s="16" t="s">
        <v>1082</v>
      </c>
      <c r="P80" s="16" t="s">
        <v>70</v>
      </c>
      <c r="Q80" s="16" t="s">
        <v>71</v>
      </c>
      <c r="R80" s="17" t="s">
        <v>1083</v>
      </c>
      <c r="S80" s="16" t="s">
        <v>1084</v>
      </c>
      <c r="T80" s="16" t="s">
        <v>74</v>
      </c>
      <c r="U80" s="16" t="s">
        <v>75</v>
      </c>
      <c r="V80" s="16" t="s">
        <v>1085</v>
      </c>
      <c r="W80" s="16"/>
      <c r="X80" s="16" t="s">
        <v>1086</v>
      </c>
      <c r="Y80" s="16" t="s">
        <v>78</v>
      </c>
      <c r="Z80" s="16" t="s">
        <v>635</v>
      </c>
      <c r="AA80" s="16" t="s">
        <v>636</v>
      </c>
      <c r="AB80" s="17" t="s">
        <v>1087</v>
      </c>
      <c r="AC80" s="16" t="s">
        <v>71</v>
      </c>
      <c r="AD80" s="17" t="s">
        <v>1087</v>
      </c>
      <c r="AE80" s="17" t="s">
        <v>1088</v>
      </c>
      <c r="AF80" s="17" t="s">
        <v>1089</v>
      </c>
      <c r="AG80" s="16" t="s">
        <v>1090</v>
      </c>
      <c r="AH80" s="16"/>
      <c r="AI80" s="16"/>
      <c r="AJ80" s="16"/>
      <c r="AK80" s="16"/>
      <c r="AL80" s="16" t="s">
        <v>1091</v>
      </c>
    </row>
    <row r="81" spans="1:38" x14ac:dyDescent="0.5">
      <c r="A81">
        <v>539</v>
      </c>
      <c r="B81" s="16" t="s">
        <v>1092</v>
      </c>
      <c r="C81" s="16" t="s">
        <v>1092</v>
      </c>
      <c r="D81" s="16"/>
      <c r="E81" s="16" t="s">
        <v>1093</v>
      </c>
      <c r="F81" s="17" t="s">
        <v>1094</v>
      </c>
      <c r="G81" s="17" t="s">
        <v>1095</v>
      </c>
      <c r="H81" s="16" t="s">
        <v>1096</v>
      </c>
      <c r="I81" s="16" t="s">
        <v>8585</v>
      </c>
      <c r="J81" s="33">
        <v>37221</v>
      </c>
      <c r="K81" s="33">
        <v>43465</v>
      </c>
      <c r="L81" s="16" t="s">
        <v>66</v>
      </c>
      <c r="M81" s="16" t="s">
        <v>167</v>
      </c>
      <c r="N81" s="16" t="s">
        <v>110</v>
      </c>
      <c r="O81" s="16" t="s">
        <v>253</v>
      </c>
      <c r="P81" s="16" t="s">
        <v>70</v>
      </c>
      <c r="Q81" s="16" t="s">
        <v>71</v>
      </c>
      <c r="R81" s="17" t="s">
        <v>1097</v>
      </c>
      <c r="S81" s="16" t="s">
        <v>1098</v>
      </c>
      <c r="T81" s="16" t="s">
        <v>74</v>
      </c>
      <c r="U81" s="16" t="s">
        <v>75</v>
      </c>
      <c r="V81" s="16" t="s">
        <v>1099</v>
      </c>
      <c r="W81" s="16"/>
      <c r="X81" s="16" t="s">
        <v>1100</v>
      </c>
      <c r="Y81" s="16" t="s">
        <v>78</v>
      </c>
      <c r="Z81" s="16" t="s">
        <v>392</v>
      </c>
      <c r="AA81" s="16" t="s">
        <v>393</v>
      </c>
      <c r="AB81" s="17" t="s">
        <v>1101</v>
      </c>
      <c r="AC81" s="16" t="s">
        <v>71</v>
      </c>
      <c r="AD81" s="17" t="s">
        <v>1101</v>
      </c>
      <c r="AE81" s="17" t="s">
        <v>1102</v>
      </c>
      <c r="AF81" s="17" t="s">
        <v>1101</v>
      </c>
      <c r="AG81" s="16" t="s">
        <v>1103</v>
      </c>
      <c r="AH81" s="16" t="s">
        <v>872</v>
      </c>
      <c r="AI81" s="16"/>
      <c r="AJ81" s="16"/>
      <c r="AK81" s="16"/>
      <c r="AL81" s="16" t="s">
        <v>1104</v>
      </c>
    </row>
    <row r="82" spans="1:38" x14ac:dyDescent="0.5">
      <c r="A82">
        <v>542</v>
      </c>
      <c r="B82" s="16" t="s">
        <v>1105</v>
      </c>
      <c r="C82" s="16" t="s">
        <v>1105</v>
      </c>
      <c r="D82" s="16"/>
      <c r="E82" s="16" t="s">
        <v>1106</v>
      </c>
      <c r="F82" s="17" t="s">
        <v>1107</v>
      </c>
      <c r="H82" s="16" t="s">
        <v>819</v>
      </c>
      <c r="I82" s="16" t="s">
        <v>1108</v>
      </c>
      <c r="J82" s="33">
        <v>37287</v>
      </c>
      <c r="K82" s="33">
        <v>43465</v>
      </c>
      <c r="L82" s="16" t="s">
        <v>66</v>
      </c>
      <c r="M82" s="16" t="s">
        <v>1036</v>
      </c>
      <c r="N82" s="16"/>
      <c r="O82" s="16" t="s">
        <v>1109</v>
      </c>
      <c r="P82" s="16" t="s">
        <v>70</v>
      </c>
      <c r="Q82" s="16" t="s">
        <v>71</v>
      </c>
      <c r="R82" s="17" t="s">
        <v>1110</v>
      </c>
      <c r="S82" s="16" t="s">
        <v>1111</v>
      </c>
      <c r="T82" s="16" t="s">
        <v>74</v>
      </c>
      <c r="U82" s="16" t="s">
        <v>75</v>
      </c>
      <c r="V82" s="16" t="s">
        <v>1112</v>
      </c>
      <c r="W82" s="16"/>
      <c r="X82" s="16" t="s">
        <v>1113</v>
      </c>
      <c r="Y82" s="16" t="s">
        <v>78</v>
      </c>
      <c r="Z82" s="16" t="s">
        <v>207</v>
      </c>
      <c r="AA82" s="16" t="s">
        <v>208</v>
      </c>
      <c r="AB82" s="17" t="s">
        <v>1114</v>
      </c>
      <c r="AC82" s="16" t="s">
        <v>71</v>
      </c>
      <c r="AD82" s="17" t="s">
        <v>1114</v>
      </c>
      <c r="AE82" s="17" t="s">
        <v>1115</v>
      </c>
      <c r="AG82" s="16" t="s">
        <v>1116</v>
      </c>
      <c r="AH82" s="16" t="s">
        <v>1117</v>
      </c>
      <c r="AI82" s="16"/>
      <c r="AJ82" s="16"/>
      <c r="AK82" s="16"/>
      <c r="AL82" s="16" t="s">
        <v>1118</v>
      </c>
    </row>
    <row r="83" spans="1:38" x14ac:dyDescent="0.5">
      <c r="A83">
        <v>555</v>
      </c>
      <c r="B83" s="16" t="s">
        <v>1119</v>
      </c>
      <c r="C83" s="16" t="s">
        <v>1120</v>
      </c>
      <c r="D83" s="16"/>
      <c r="E83" s="16" t="s">
        <v>1121</v>
      </c>
      <c r="F83" s="17" t="s">
        <v>1122</v>
      </c>
      <c r="G83" s="17" t="s">
        <v>1123</v>
      </c>
      <c r="H83" s="16" t="s">
        <v>1124</v>
      </c>
      <c r="I83" s="16" t="s">
        <v>1125</v>
      </c>
      <c r="J83" s="33">
        <v>37298</v>
      </c>
      <c r="K83" s="33">
        <v>43465</v>
      </c>
      <c r="L83" s="16" t="s">
        <v>66</v>
      </c>
      <c r="M83" s="16" t="s">
        <v>67</v>
      </c>
      <c r="N83" s="16" t="s">
        <v>68</v>
      </c>
      <c r="O83" s="16" t="s">
        <v>202</v>
      </c>
      <c r="P83" s="16" t="s">
        <v>70</v>
      </c>
      <c r="Q83" s="16" t="s">
        <v>71</v>
      </c>
      <c r="R83" s="17" t="s">
        <v>1126</v>
      </c>
      <c r="S83" s="16" t="s">
        <v>1127</v>
      </c>
      <c r="T83" s="16" t="s">
        <v>74</v>
      </c>
      <c r="U83" s="16" t="s">
        <v>75</v>
      </c>
      <c r="V83" s="16" t="s">
        <v>1128</v>
      </c>
      <c r="W83" s="16"/>
      <c r="X83" s="16" t="s">
        <v>1129</v>
      </c>
      <c r="Y83" s="16" t="s">
        <v>78</v>
      </c>
      <c r="Z83" s="16" t="s">
        <v>189</v>
      </c>
      <c r="AA83" s="16" t="s">
        <v>190</v>
      </c>
      <c r="AB83" s="17" t="s">
        <v>1130</v>
      </c>
      <c r="AC83" s="16" t="s">
        <v>71</v>
      </c>
      <c r="AD83" s="17" t="s">
        <v>1130</v>
      </c>
      <c r="AE83" s="17" t="s">
        <v>1131</v>
      </c>
      <c r="AF83" s="17" t="s">
        <v>1132</v>
      </c>
      <c r="AG83" s="16" t="s">
        <v>1133</v>
      </c>
      <c r="AH83" s="16" t="s">
        <v>1076</v>
      </c>
      <c r="AI83" s="16"/>
      <c r="AJ83" s="16"/>
      <c r="AK83" s="16"/>
      <c r="AL83" s="16" t="s">
        <v>1134</v>
      </c>
    </row>
    <row r="84" spans="1:38" x14ac:dyDescent="0.5">
      <c r="A84">
        <v>561</v>
      </c>
      <c r="B84" s="16" t="s">
        <v>1135</v>
      </c>
      <c r="C84" s="16" t="s">
        <v>1135</v>
      </c>
      <c r="D84" s="16" t="s">
        <v>162</v>
      </c>
      <c r="E84" s="16" t="s">
        <v>1136</v>
      </c>
      <c r="F84" s="17" t="s">
        <v>1137</v>
      </c>
      <c r="H84" s="16" t="s">
        <v>1138</v>
      </c>
      <c r="I84" s="16" t="s">
        <v>1139</v>
      </c>
      <c r="J84" s="33">
        <v>37337</v>
      </c>
      <c r="K84" s="33">
        <v>43465</v>
      </c>
      <c r="L84" s="16" t="s">
        <v>66</v>
      </c>
      <c r="M84" s="16" t="s">
        <v>67</v>
      </c>
      <c r="N84" s="16" t="s">
        <v>68</v>
      </c>
      <c r="O84" s="16" t="s">
        <v>143</v>
      </c>
      <c r="P84" s="16" t="s">
        <v>70</v>
      </c>
      <c r="Q84" s="16" t="s">
        <v>71</v>
      </c>
      <c r="R84" s="17" t="s">
        <v>1140</v>
      </c>
      <c r="S84" s="16" t="s">
        <v>1141</v>
      </c>
      <c r="T84" s="16" t="s">
        <v>74</v>
      </c>
      <c r="U84" s="16" t="s">
        <v>75</v>
      </c>
      <c r="V84" s="16" t="s">
        <v>1142</v>
      </c>
      <c r="W84" s="16"/>
      <c r="X84" s="16" t="s">
        <v>1143</v>
      </c>
      <c r="Y84" s="16" t="s">
        <v>78</v>
      </c>
      <c r="Z84" s="16" t="s">
        <v>242</v>
      </c>
      <c r="AA84" s="16" t="s">
        <v>243</v>
      </c>
      <c r="AB84" s="17" t="s">
        <v>1144</v>
      </c>
      <c r="AC84" s="16" t="s">
        <v>71</v>
      </c>
      <c r="AD84" s="17" t="s">
        <v>1144</v>
      </c>
      <c r="AE84" s="17" t="s">
        <v>1145</v>
      </c>
      <c r="AF84" s="17" t="s">
        <v>1146</v>
      </c>
      <c r="AG84" s="16" t="s">
        <v>1147</v>
      </c>
      <c r="AH84" s="16" t="s">
        <v>1148</v>
      </c>
      <c r="AI84" s="16"/>
      <c r="AJ84" s="16"/>
      <c r="AK84" s="16"/>
      <c r="AL84" s="16" t="s">
        <v>1149</v>
      </c>
    </row>
    <row r="85" spans="1:38" x14ac:dyDescent="0.5">
      <c r="A85">
        <v>562</v>
      </c>
      <c r="B85" s="16" t="s">
        <v>1150</v>
      </c>
      <c r="C85" s="16" t="s">
        <v>1150</v>
      </c>
      <c r="D85" s="16"/>
      <c r="E85" s="16" t="s">
        <v>1151</v>
      </c>
      <c r="F85" s="17" t="s">
        <v>1152</v>
      </c>
      <c r="G85" s="17" t="s">
        <v>1153</v>
      </c>
      <c r="H85" s="16" t="s">
        <v>142</v>
      </c>
      <c r="I85" s="16" t="s">
        <v>8586</v>
      </c>
      <c r="J85" s="33">
        <v>37398</v>
      </c>
      <c r="K85" s="33">
        <v>43465</v>
      </c>
      <c r="L85" s="16" t="s">
        <v>66</v>
      </c>
      <c r="M85" s="16" t="s">
        <v>67</v>
      </c>
      <c r="N85" s="16" t="s">
        <v>68</v>
      </c>
      <c r="O85" s="16" t="s">
        <v>253</v>
      </c>
      <c r="P85" s="16" t="s">
        <v>70</v>
      </c>
      <c r="Q85" s="16" t="s">
        <v>71</v>
      </c>
      <c r="R85" s="17" t="s">
        <v>1154</v>
      </c>
      <c r="S85" s="16" t="s">
        <v>1155</v>
      </c>
      <c r="T85" s="16" t="s">
        <v>74</v>
      </c>
      <c r="U85" s="16" t="s">
        <v>75</v>
      </c>
      <c r="V85" s="16" t="s">
        <v>1156</v>
      </c>
      <c r="W85" s="16"/>
      <c r="X85" s="16" t="s">
        <v>1157</v>
      </c>
      <c r="Y85" s="16" t="s">
        <v>78</v>
      </c>
      <c r="Z85" s="16" t="s">
        <v>1158</v>
      </c>
      <c r="AA85" s="16" t="s">
        <v>1159</v>
      </c>
      <c r="AB85" s="17" t="s">
        <v>1160</v>
      </c>
      <c r="AC85" s="16" t="s">
        <v>71</v>
      </c>
      <c r="AD85" s="17" t="s">
        <v>1160</v>
      </c>
      <c r="AE85" s="17" t="s">
        <v>1161</v>
      </c>
      <c r="AF85" s="17" t="s">
        <v>1160</v>
      </c>
      <c r="AG85" s="16" t="s">
        <v>1076</v>
      </c>
      <c r="AH85" s="16" t="s">
        <v>872</v>
      </c>
      <c r="AI85" s="16" t="s">
        <v>1162</v>
      </c>
      <c r="AJ85" s="16"/>
      <c r="AK85" s="16"/>
      <c r="AL85" s="16" t="s">
        <v>1163</v>
      </c>
    </row>
    <row r="86" spans="1:38" x14ac:dyDescent="0.5">
      <c r="A86">
        <v>563</v>
      </c>
      <c r="B86" s="16" t="s">
        <v>1164</v>
      </c>
      <c r="C86" s="16" t="s">
        <v>1164</v>
      </c>
      <c r="D86" s="16" t="s">
        <v>103</v>
      </c>
      <c r="E86" s="16" t="s">
        <v>1165</v>
      </c>
      <c r="F86" s="17" t="s">
        <v>1166</v>
      </c>
      <c r="H86" s="16" t="s">
        <v>127</v>
      </c>
      <c r="I86" s="16"/>
      <c r="J86" s="33">
        <v>37414</v>
      </c>
      <c r="K86" s="33">
        <v>43465</v>
      </c>
      <c r="L86" s="16" t="s">
        <v>66</v>
      </c>
      <c r="M86" s="16" t="s">
        <v>291</v>
      </c>
      <c r="N86" s="16" t="s">
        <v>127</v>
      </c>
      <c r="O86" s="16" t="s">
        <v>127</v>
      </c>
      <c r="P86" s="16" t="s">
        <v>70</v>
      </c>
      <c r="Q86" s="16" t="s">
        <v>71</v>
      </c>
      <c r="R86" s="17" t="s">
        <v>1167</v>
      </c>
      <c r="S86" s="16" t="s">
        <v>113</v>
      </c>
      <c r="T86" s="16" t="s">
        <v>74</v>
      </c>
      <c r="U86" s="16" t="s">
        <v>75</v>
      </c>
      <c r="V86" s="16" t="s">
        <v>1168</v>
      </c>
      <c r="W86" s="16"/>
      <c r="X86" s="16" t="s">
        <v>1169</v>
      </c>
      <c r="Y86" s="16" t="s">
        <v>78</v>
      </c>
      <c r="Z86" s="16" t="s">
        <v>117</v>
      </c>
      <c r="AA86" s="16" t="s">
        <v>113</v>
      </c>
      <c r="AB86" s="17" t="s">
        <v>1170</v>
      </c>
      <c r="AC86" s="16" t="s">
        <v>71</v>
      </c>
      <c r="AD86" s="17" t="s">
        <v>1170</v>
      </c>
      <c r="AE86" s="17" t="s">
        <v>1170</v>
      </c>
      <c r="AF86" s="17" t="s">
        <v>1171</v>
      </c>
      <c r="AG86" s="16" t="s">
        <v>1060</v>
      </c>
      <c r="AH86" s="16" t="s">
        <v>579</v>
      </c>
      <c r="AI86" s="16"/>
      <c r="AJ86" s="16"/>
      <c r="AK86" s="16"/>
      <c r="AL86" s="16" t="s">
        <v>1172</v>
      </c>
    </row>
    <row r="87" spans="1:38" x14ac:dyDescent="0.5">
      <c r="A87">
        <v>573</v>
      </c>
      <c r="B87" s="16" t="s">
        <v>1173</v>
      </c>
      <c r="C87" s="16" t="s">
        <v>1174</v>
      </c>
      <c r="D87" s="16"/>
      <c r="E87" s="16" t="s">
        <v>1175</v>
      </c>
      <c r="F87" s="17" t="s">
        <v>1176</v>
      </c>
      <c r="G87" s="17" t="s">
        <v>1177</v>
      </c>
      <c r="H87" s="16" t="s">
        <v>1178</v>
      </c>
      <c r="I87" s="16" t="s">
        <v>1179</v>
      </c>
      <c r="J87" s="33">
        <v>37420</v>
      </c>
      <c r="K87" s="33">
        <v>43465</v>
      </c>
      <c r="L87" s="16" t="s">
        <v>66</v>
      </c>
      <c r="M87" s="16" t="s">
        <v>67</v>
      </c>
      <c r="N87" s="16" t="s">
        <v>68</v>
      </c>
      <c r="O87" s="16" t="s">
        <v>436</v>
      </c>
      <c r="P87" s="16" t="s">
        <v>70</v>
      </c>
      <c r="Q87" s="16" t="s">
        <v>71</v>
      </c>
      <c r="R87" s="17" t="s">
        <v>1180</v>
      </c>
      <c r="S87" s="16" t="s">
        <v>662</v>
      </c>
      <c r="T87" s="16" t="s">
        <v>74</v>
      </c>
      <c r="U87" s="16" t="s">
        <v>75</v>
      </c>
      <c r="V87" s="16" t="s">
        <v>1181</v>
      </c>
      <c r="W87" s="16" t="s">
        <v>1182</v>
      </c>
      <c r="X87" s="16" t="s">
        <v>1183</v>
      </c>
      <c r="Y87" s="16" t="s">
        <v>78</v>
      </c>
      <c r="Z87" s="16" t="s">
        <v>666</v>
      </c>
      <c r="AA87" s="16" t="s">
        <v>667</v>
      </c>
      <c r="AB87" s="17" t="s">
        <v>1184</v>
      </c>
      <c r="AC87" s="16" t="s">
        <v>71</v>
      </c>
      <c r="AD87" s="17" t="s">
        <v>1184</v>
      </c>
      <c r="AE87" s="17" t="s">
        <v>1185</v>
      </c>
      <c r="AF87" s="17" t="s">
        <v>1186</v>
      </c>
      <c r="AG87" s="16" t="s">
        <v>1187</v>
      </c>
      <c r="AH87" s="16" t="s">
        <v>1059</v>
      </c>
      <c r="AI87" s="16"/>
      <c r="AJ87" s="16"/>
      <c r="AK87" s="16"/>
      <c r="AL87" s="16" t="s">
        <v>1188</v>
      </c>
    </row>
    <row r="88" spans="1:38" x14ac:dyDescent="0.5">
      <c r="A88">
        <v>575</v>
      </c>
      <c r="B88" s="16" t="s">
        <v>804</v>
      </c>
      <c r="C88" s="16" t="s">
        <v>805</v>
      </c>
      <c r="D88" s="16" t="s">
        <v>277</v>
      </c>
      <c r="E88" s="16" t="s">
        <v>1189</v>
      </c>
      <c r="F88" s="17" t="s">
        <v>1190</v>
      </c>
      <c r="G88" s="17" t="s">
        <v>1191</v>
      </c>
      <c r="H88" s="16" t="s">
        <v>1192</v>
      </c>
      <c r="I88" s="16" t="s">
        <v>1193</v>
      </c>
      <c r="J88" s="33">
        <v>37420</v>
      </c>
      <c r="K88" s="33">
        <v>43465</v>
      </c>
      <c r="L88" s="16" t="s">
        <v>66</v>
      </c>
      <c r="M88" s="16" t="s">
        <v>167</v>
      </c>
      <c r="N88" s="16" t="s">
        <v>110</v>
      </c>
      <c r="O88" s="16" t="s">
        <v>253</v>
      </c>
      <c r="P88" s="16" t="s">
        <v>70</v>
      </c>
      <c r="Q88" s="16" t="s">
        <v>71</v>
      </c>
      <c r="R88" s="17" t="s">
        <v>1194</v>
      </c>
      <c r="S88" s="16" t="s">
        <v>1195</v>
      </c>
      <c r="T88" s="16" t="s">
        <v>74</v>
      </c>
      <c r="U88" s="16" t="s">
        <v>75</v>
      </c>
      <c r="V88" s="16" t="s">
        <v>1196</v>
      </c>
      <c r="W88" s="16"/>
      <c r="X88" s="16" t="s">
        <v>1197</v>
      </c>
      <c r="Y88" s="16" t="s">
        <v>78</v>
      </c>
      <c r="Z88" s="16" t="s">
        <v>270</v>
      </c>
      <c r="AA88" s="16" t="s">
        <v>271</v>
      </c>
      <c r="AB88" s="17" t="s">
        <v>1198</v>
      </c>
      <c r="AC88" s="16" t="s">
        <v>71</v>
      </c>
      <c r="AD88" s="17" t="s">
        <v>1198</v>
      </c>
      <c r="AE88" s="17" t="s">
        <v>1199</v>
      </c>
      <c r="AG88" s="16" t="s">
        <v>1200</v>
      </c>
      <c r="AH88" s="16" t="s">
        <v>899</v>
      </c>
      <c r="AI88" s="16" t="s">
        <v>1002</v>
      </c>
      <c r="AJ88" s="16"/>
      <c r="AK88" s="16"/>
      <c r="AL88" s="16" t="s">
        <v>1201</v>
      </c>
    </row>
    <row r="89" spans="1:38" x14ac:dyDescent="0.5">
      <c r="A89">
        <v>585</v>
      </c>
      <c r="B89" s="16" t="s">
        <v>1202</v>
      </c>
      <c r="C89" s="16" t="s">
        <v>1203</v>
      </c>
      <c r="D89" s="16"/>
      <c r="E89" s="16" t="s">
        <v>1204</v>
      </c>
      <c r="F89" s="17" t="s">
        <v>1205</v>
      </c>
      <c r="G89" s="17" t="s">
        <v>1206</v>
      </c>
      <c r="H89" s="16" t="s">
        <v>127</v>
      </c>
      <c r="I89" s="16"/>
      <c r="J89" s="33">
        <v>37750</v>
      </c>
      <c r="K89" s="33">
        <v>43465</v>
      </c>
      <c r="L89" s="16" t="s">
        <v>66</v>
      </c>
      <c r="M89" s="16" t="s">
        <v>291</v>
      </c>
      <c r="N89" s="16" t="s">
        <v>127</v>
      </c>
      <c r="O89" s="16" t="s">
        <v>127</v>
      </c>
      <c r="P89" s="16" t="s">
        <v>70</v>
      </c>
      <c r="Q89" s="16" t="s">
        <v>71</v>
      </c>
      <c r="R89" s="17" t="s">
        <v>1207</v>
      </c>
      <c r="S89" s="16" t="s">
        <v>1208</v>
      </c>
      <c r="T89" s="16" t="s">
        <v>74</v>
      </c>
      <c r="U89" s="16" t="s">
        <v>75</v>
      </c>
      <c r="V89" s="16" t="s">
        <v>1209</v>
      </c>
      <c r="W89" s="16"/>
      <c r="X89" s="16" t="s">
        <v>1210</v>
      </c>
      <c r="Y89" s="16" t="s">
        <v>78</v>
      </c>
      <c r="Z89" s="16" t="s">
        <v>1211</v>
      </c>
      <c r="AA89" s="16" t="s">
        <v>1212</v>
      </c>
      <c r="AB89" s="17" t="s">
        <v>1213</v>
      </c>
      <c r="AC89" s="16" t="s">
        <v>71</v>
      </c>
      <c r="AD89" s="17" t="s">
        <v>1213</v>
      </c>
      <c r="AE89" s="17" t="s">
        <v>1214</v>
      </c>
      <c r="AF89" s="17" t="s">
        <v>1215</v>
      </c>
      <c r="AG89" s="16" t="s">
        <v>1002</v>
      </c>
      <c r="AH89" s="16" t="s">
        <v>1216</v>
      </c>
      <c r="AI89" s="16"/>
      <c r="AJ89" s="16"/>
      <c r="AK89" s="16"/>
      <c r="AL89" s="16" t="s">
        <v>1217</v>
      </c>
    </row>
    <row r="90" spans="1:38" x14ac:dyDescent="0.5">
      <c r="A90">
        <v>593</v>
      </c>
      <c r="B90" s="16" t="s">
        <v>1218</v>
      </c>
      <c r="C90" s="16" t="s">
        <v>1219</v>
      </c>
      <c r="D90" s="16" t="s">
        <v>288</v>
      </c>
      <c r="E90" s="16" t="s">
        <v>1220</v>
      </c>
      <c r="F90" s="17" t="s">
        <v>1221</v>
      </c>
      <c r="G90" s="17" t="s">
        <v>1222</v>
      </c>
      <c r="H90" s="16" t="s">
        <v>585</v>
      </c>
      <c r="I90" s="16" t="s">
        <v>1223</v>
      </c>
      <c r="J90" s="33">
        <v>37483</v>
      </c>
      <c r="K90" s="33">
        <v>43465</v>
      </c>
      <c r="L90" s="16" t="s">
        <v>66</v>
      </c>
      <c r="M90" s="16" t="s">
        <v>167</v>
      </c>
      <c r="N90" s="16" t="s">
        <v>110</v>
      </c>
      <c r="O90" s="16" t="s">
        <v>253</v>
      </c>
      <c r="P90" s="16" t="s">
        <v>70</v>
      </c>
      <c r="Q90" s="16" t="s">
        <v>71</v>
      </c>
      <c r="R90" s="17" t="s">
        <v>1224</v>
      </c>
      <c r="S90" s="16" t="s">
        <v>1225</v>
      </c>
      <c r="T90" s="16" t="s">
        <v>74</v>
      </c>
      <c r="U90" s="16" t="s">
        <v>75</v>
      </c>
      <c r="V90" s="16" t="s">
        <v>1226</v>
      </c>
      <c r="W90" s="16"/>
      <c r="X90" s="16" t="s">
        <v>1227</v>
      </c>
      <c r="Y90" s="16" t="s">
        <v>78</v>
      </c>
      <c r="Z90" s="16" t="s">
        <v>1228</v>
      </c>
      <c r="AA90" s="16" t="s">
        <v>1229</v>
      </c>
      <c r="AB90" s="17" t="s">
        <v>1230</v>
      </c>
      <c r="AC90" s="16" t="s">
        <v>71</v>
      </c>
      <c r="AD90" s="17" t="s">
        <v>1230</v>
      </c>
      <c r="AE90" s="17" t="s">
        <v>1230</v>
      </c>
      <c r="AF90" s="17" t="s">
        <v>1231</v>
      </c>
      <c r="AG90" s="16" t="s">
        <v>1232</v>
      </c>
      <c r="AH90" s="16" t="s">
        <v>1233</v>
      </c>
      <c r="AI90" s="16"/>
      <c r="AJ90" s="16"/>
      <c r="AK90" s="16"/>
      <c r="AL90" s="16" t="s">
        <v>1234</v>
      </c>
    </row>
    <row r="91" spans="1:38" x14ac:dyDescent="0.5">
      <c r="A91">
        <v>598</v>
      </c>
      <c r="B91" s="16" t="s">
        <v>1235</v>
      </c>
      <c r="C91" s="16" t="s">
        <v>59</v>
      </c>
      <c r="D91" s="16" t="s">
        <v>533</v>
      </c>
      <c r="E91" s="16" t="s">
        <v>1236</v>
      </c>
      <c r="F91" s="17" t="s">
        <v>1237</v>
      </c>
      <c r="G91" s="17" t="s">
        <v>1238</v>
      </c>
      <c r="H91" s="16" t="s">
        <v>127</v>
      </c>
      <c r="I91" s="16"/>
      <c r="J91" s="33">
        <v>37483</v>
      </c>
      <c r="K91" s="33">
        <v>43465</v>
      </c>
      <c r="L91" s="16" t="s">
        <v>66</v>
      </c>
      <c r="M91" s="16" t="s">
        <v>291</v>
      </c>
      <c r="N91" s="16" t="s">
        <v>127</v>
      </c>
      <c r="O91" s="16" t="s">
        <v>127</v>
      </c>
      <c r="P91" s="16" t="s">
        <v>70</v>
      </c>
      <c r="Q91" s="16" t="s">
        <v>71</v>
      </c>
      <c r="R91" s="17" t="s">
        <v>1239</v>
      </c>
      <c r="S91" s="16" t="s">
        <v>1240</v>
      </c>
      <c r="T91" s="16" t="s">
        <v>74</v>
      </c>
      <c r="U91" s="16" t="s">
        <v>75</v>
      </c>
      <c r="V91" s="16" t="s">
        <v>1241</v>
      </c>
      <c r="W91" s="16"/>
      <c r="X91" s="16" t="s">
        <v>1242</v>
      </c>
      <c r="Y91" s="16" t="s">
        <v>78</v>
      </c>
      <c r="Z91" s="16" t="s">
        <v>963</v>
      </c>
      <c r="AA91" s="16" t="s">
        <v>964</v>
      </c>
      <c r="AB91" s="17" t="s">
        <v>1243</v>
      </c>
      <c r="AC91" s="16" t="s">
        <v>71</v>
      </c>
      <c r="AD91" s="17" t="s">
        <v>1243</v>
      </c>
      <c r="AE91" s="17" t="s">
        <v>1244</v>
      </c>
      <c r="AG91" s="16" t="s">
        <v>1245</v>
      </c>
      <c r="AH91" s="16" t="s">
        <v>899</v>
      </c>
      <c r="AI91" s="16"/>
      <c r="AJ91" s="16"/>
      <c r="AK91" s="16"/>
      <c r="AL91" s="16" t="s">
        <v>1246</v>
      </c>
    </row>
    <row r="92" spans="1:38" x14ac:dyDescent="0.5">
      <c r="A92">
        <v>611</v>
      </c>
      <c r="B92" s="16" t="s">
        <v>246</v>
      </c>
      <c r="C92" s="16" t="s">
        <v>247</v>
      </c>
      <c r="D92" s="16" t="s">
        <v>581</v>
      </c>
      <c r="E92" s="16" t="s">
        <v>1247</v>
      </c>
      <c r="F92" s="17" t="s">
        <v>1248</v>
      </c>
      <c r="G92" s="17" t="s">
        <v>1249</v>
      </c>
      <c r="H92" s="16" t="s">
        <v>1250</v>
      </c>
      <c r="I92" s="16" t="s">
        <v>1251</v>
      </c>
      <c r="J92" s="33">
        <v>39639</v>
      </c>
      <c r="K92" s="33">
        <v>43465</v>
      </c>
      <c r="L92" s="16" t="s">
        <v>66</v>
      </c>
      <c r="M92" s="16" t="s">
        <v>67</v>
      </c>
      <c r="N92" s="16" t="s">
        <v>1252</v>
      </c>
      <c r="O92" s="16" t="s">
        <v>1037</v>
      </c>
      <c r="P92" s="16" t="s">
        <v>70</v>
      </c>
      <c r="Q92" s="16" t="s">
        <v>71</v>
      </c>
      <c r="R92" s="17" t="s">
        <v>1253</v>
      </c>
      <c r="S92" s="16" t="s">
        <v>113</v>
      </c>
      <c r="T92" s="16" t="s">
        <v>74</v>
      </c>
      <c r="U92" s="16" t="s">
        <v>75</v>
      </c>
      <c r="V92" s="16" t="s">
        <v>1254</v>
      </c>
      <c r="W92" s="16"/>
      <c r="X92" s="16" t="s">
        <v>1255</v>
      </c>
      <c r="Y92" s="16" t="s">
        <v>78</v>
      </c>
      <c r="Z92" s="16" t="s">
        <v>117</v>
      </c>
      <c r="AA92" s="16" t="s">
        <v>113</v>
      </c>
      <c r="AB92" s="17" t="s">
        <v>1256</v>
      </c>
      <c r="AC92" s="16" t="s">
        <v>71</v>
      </c>
      <c r="AD92" s="17" t="s">
        <v>1256</v>
      </c>
      <c r="AE92" s="17" t="s">
        <v>1257</v>
      </c>
      <c r="AF92" s="17" t="s">
        <v>1258</v>
      </c>
      <c r="AG92" s="16" t="s">
        <v>1259</v>
      </c>
      <c r="AH92" s="16" t="s">
        <v>1017</v>
      </c>
      <c r="AI92" s="16"/>
      <c r="AJ92" s="16"/>
      <c r="AK92" s="16"/>
      <c r="AL92" s="16" t="s">
        <v>1260</v>
      </c>
    </row>
    <row r="93" spans="1:38" x14ac:dyDescent="0.5">
      <c r="A93">
        <v>618</v>
      </c>
      <c r="B93" s="16" t="s">
        <v>1261</v>
      </c>
      <c r="C93" s="16" t="s">
        <v>1261</v>
      </c>
      <c r="D93" s="16"/>
      <c r="E93" s="16" t="s">
        <v>1262</v>
      </c>
      <c r="F93" s="17" t="s">
        <v>1263</v>
      </c>
      <c r="H93" s="16" t="s">
        <v>127</v>
      </c>
      <c r="I93" s="16" t="s">
        <v>1264</v>
      </c>
      <c r="J93" s="33">
        <v>37707</v>
      </c>
      <c r="K93" s="33">
        <v>43465</v>
      </c>
      <c r="L93" s="16" t="s">
        <v>66</v>
      </c>
      <c r="M93" s="16" t="s">
        <v>291</v>
      </c>
      <c r="N93" s="16" t="s">
        <v>127</v>
      </c>
      <c r="O93" s="16" t="s">
        <v>127</v>
      </c>
      <c r="P93" s="16" t="s">
        <v>70</v>
      </c>
      <c r="Q93" s="16" t="s">
        <v>71</v>
      </c>
      <c r="R93" s="17" t="s">
        <v>1265</v>
      </c>
      <c r="S93" s="16" t="s">
        <v>1266</v>
      </c>
      <c r="T93" s="16" t="s">
        <v>74</v>
      </c>
      <c r="U93" s="16" t="s">
        <v>75</v>
      </c>
      <c r="V93" s="16" t="s">
        <v>1267</v>
      </c>
      <c r="W93" s="16"/>
      <c r="X93" s="16" t="s">
        <v>1268</v>
      </c>
      <c r="Y93" s="16" t="s">
        <v>78</v>
      </c>
      <c r="Z93" s="16" t="s">
        <v>296</v>
      </c>
      <c r="AA93" s="16" t="s">
        <v>297</v>
      </c>
      <c r="AB93" s="17" t="s">
        <v>1269</v>
      </c>
      <c r="AC93" s="16" t="s">
        <v>71</v>
      </c>
      <c r="AD93" s="17" t="s">
        <v>1269</v>
      </c>
      <c r="AF93" s="17" t="s">
        <v>1270</v>
      </c>
      <c r="AG93" s="16" t="s">
        <v>1271</v>
      </c>
      <c r="AH93" s="16" t="s">
        <v>1272</v>
      </c>
      <c r="AI93" s="16"/>
      <c r="AJ93" s="16"/>
      <c r="AK93" s="16"/>
      <c r="AL93" s="16" t="s">
        <v>1273</v>
      </c>
    </row>
    <row r="94" spans="1:38" x14ac:dyDescent="0.5">
      <c r="A94">
        <v>6291</v>
      </c>
      <c r="B94" s="16" t="s">
        <v>1274</v>
      </c>
      <c r="C94" s="16" t="s">
        <v>1274</v>
      </c>
      <c r="D94" s="16" t="s">
        <v>581</v>
      </c>
      <c r="E94" s="16" t="s">
        <v>1275</v>
      </c>
      <c r="F94" s="17" t="s">
        <v>1276</v>
      </c>
      <c r="H94" s="16" t="s">
        <v>1277</v>
      </c>
      <c r="I94" s="16" t="s">
        <v>1278</v>
      </c>
      <c r="J94" s="33">
        <v>43290</v>
      </c>
      <c r="K94" s="33">
        <v>43655</v>
      </c>
      <c r="L94" s="16" t="s">
        <v>66</v>
      </c>
      <c r="M94" s="16" t="s">
        <v>67</v>
      </c>
      <c r="N94" s="16" t="s">
        <v>68</v>
      </c>
      <c r="O94" s="16" t="s">
        <v>436</v>
      </c>
      <c r="P94" s="16"/>
      <c r="Q94" s="16" t="s">
        <v>495</v>
      </c>
      <c r="R94" s="17" t="s">
        <v>1279</v>
      </c>
      <c r="S94" s="16" t="s">
        <v>1280</v>
      </c>
      <c r="T94" s="16" t="s">
        <v>74</v>
      </c>
      <c r="U94" s="16" t="s">
        <v>75</v>
      </c>
      <c r="V94" s="16" t="s">
        <v>1281</v>
      </c>
      <c r="W94" s="16"/>
      <c r="X94" s="16" t="s">
        <v>1282</v>
      </c>
      <c r="Y94" s="16" t="s">
        <v>78</v>
      </c>
      <c r="Z94" s="16" t="s">
        <v>270</v>
      </c>
      <c r="AA94" s="16" t="s">
        <v>271</v>
      </c>
      <c r="AB94" s="17" t="s">
        <v>1283</v>
      </c>
      <c r="AC94" s="16" t="s">
        <v>71</v>
      </c>
      <c r="AD94" s="17" t="s">
        <v>1283</v>
      </c>
      <c r="AE94" s="17" t="s">
        <v>1284</v>
      </c>
      <c r="AF94" s="17" t="s">
        <v>1283</v>
      </c>
      <c r="AG94" s="16" t="s">
        <v>1285</v>
      </c>
      <c r="AH94" s="16" t="s">
        <v>1029</v>
      </c>
      <c r="AI94" s="16"/>
      <c r="AJ94" s="16"/>
      <c r="AK94" s="16"/>
      <c r="AL94" s="16" t="s">
        <v>1286</v>
      </c>
    </row>
    <row r="95" spans="1:38" x14ac:dyDescent="0.5">
      <c r="A95">
        <v>6321</v>
      </c>
      <c r="B95" s="16" t="s">
        <v>381</v>
      </c>
      <c r="C95" s="16" t="s">
        <v>382</v>
      </c>
      <c r="D95" s="16" t="s">
        <v>383</v>
      </c>
      <c r="E95" s="16" t="s">
        <v>1287</v>
      </c>
      <c r="F95" s="17" t="s">
        <v>1288</v>
      </c>
      <c r="H95" s="16" t="s">
        <v>127</v>
      </c>
      <c r="I95" s="16"/>
      <c r="J95" s="33">
        <v>37596</v>
      </c>
      <c r="K95" s="33">
        <v>43465</v>
      </c>
      <c r="L95" s="16" t="s">
        <v>66</v>
      </c>
      <c r="M95" s="16" t="s">
        <v>291</v>
      </c>
      <c r="N95" s="16" t="s">
        <v>127</v>
      </c>
      <c r="O95" s="16" t="s">
        <v>127</v>
      </c>
      <c r="P95" s="16" t="s">
        <v>70</v>
      </c>
      <c r="Q95" s="16" t="s">
        <v>71</v>
      </c>
      <c r="R95" s="17" t="s">
        <v>1289</v>
      </c>
      <c r="S95" s="16" t="s">
        <v>1290</v>
      </c>
      <c r="T95" s="16" t="s">
        <v>74</v>
      </c>
      <c r="U95" s="16" t="s">
        <v>75</v>
      </c>
      <c r="V95" s="16" t="s">
        <v>1291</v>
      </c>
      <c r="W95" s="16"/>
      <c r="X95" s="16" t="s">
        <v>1292</v>
      </c>
      <c r="Y95" s="16" t="s">
        <v>78</v>
      </c>
      <c r="Z95" s="16" t="s">
        <v>1158</v>
      </c>
      <c r="AA95" s="16" t="s">
        <v>1159</v>
      </c>
      <c r="AB95" s="17" t="s">
        <v>1293</v>
      </c>
      <c r="AC95" s="16" t="s">
        <v>71</v>
      </c>
      <c r="AD95" s="17" t="s">
        <v>1293</v>
      </c>
      <c r="AE95" s="17" t="s">
        <v>1294</v>
      </c>
      <c r="AG95" s="16" t="s">
        <v>1029</v>
      </c>
      <c r="AH95" s="16" t="s">
        <v>1295</v>
      </c>
      <c r="AI95" s="16"/>
      <c r="AJ95" s="16"/>
      <c r="AK95" s="16"/>
      <c r="AL95" s="16" t="s">
        <v>1296</v>
      </c>
    </row>
    <row r="96" spans="1:38" x14ac:dyDescent="0.5">
      <c r="A96">
        <v>6341</v>
      </c>
      <c r="B96" s="16" t="s">
        <v>1297</v>
      </c>
      <c r="C96" s="16" t="s">
        <v>1297</v>
      </c>
      <c r="D96" s="16"/>
      <c r="E96" s="16" t="s">
        <v>1298</v>
      </c>
      <c r="F96" s="17" t="s">
        <v>1299</v>
      </c>
      <c r="H96" s="16" t="s">
        <v>1300</v>
      </c>
      <c r="I96" s="16" t="s">
        <v>1301</v>
      </c>
      <c r="J96" s="33">
        <v>37596</v>
      </c>
      <c r="K96" s="33">
        <v>43465</v>
      </c>
      <c r="L96" s="16" t="s">
        <v>66</v>
      </c>
      <c r="M96" s="16" t="s">
        <v>67</v>
      </c>
      <c r="N96" s="16" t="s">
        <v>68</v>
      </c>
      <c r="O96" s="16" t="s">
        <v>202</v>
      </c>
      <c r="P96" s="16" t="s">
        <v>70</v>
      </c>
      <c r="Q96" s="16" t="s">
        <v>71</v>
      </c>
      <c r="R96" s="17" t="s">
        <v>1302</v>
      </c>
      <c r="S96" s="16" t="s">
        <v>1303</v>
      </c>
      <c r="T96" s="16" t="s">
        <v>1304</v>
      </c>
      <c r="U96" s="16" t="s">
        <v>1305</v>
      </c>
      <c r="V96" s="16" t="s">
        <v>1306</v>
      </c>
      <c r="W96" s="16"/>
      <c r="X96" s="16"/>
      <c r="Y96" s="16" t="s">
        <v>1307</v>
      </c>
      <c r="Z96" s="16"/>
      <c r="AA96" s="16"/>
      <c r="AB96" s="17" t="s">
        <v>1308</v>
      </c>
      <c r="AC96" s="16" t="s">
        <v>71</v>
      </c>
      <c r="AD96" s="17" t="s">
        <v>1308</v>
      </c>
      <c r="AE96" s="17" t="s">
        <v>1309</v>
      </c>
      <c r="AF96" s="17" t="s">
        <v>1310</v>
      </c>
      <c r="AG96" s="16" t="s">
        <v>1029</v>
      </c>
      <c r="AH96" s="16" t="s">
        <v>1030</v>
      </c>
      <c r="AI96" s="16"/>
      <c r="AJ96" s="16"/>
      <c r="AK96" s="16"/>
      <c r="AL96" s="16" t="s">
        <v>1311</v>
      </c>
    </row>
    <row r="97" spans="1:38" x14ac:dyDescent="0.5">
      <c r="A97">
        <v>6381</v>
      </c>
      <c r="B97" s="16" t="s">
        <v>453</v>
      </c>
      <c r="C97" s="16" t="s">
        <v>453</v>
      </c>
      <c r="D97" s="16"/>
      <c r="E97" s="16" t="s">
        <v>1312</v>
      </c>
      <c r="F97" s="17" t="s">
        <v>1313</v>
      </c>
      <c r="G97" s="17" t="s">
        <v>1314</v>
      </c>
      <c r="H97" s="16" t="s">
        <v>585</v>
      </c>
      <c r="I97" s="16" t="s">
        <v>1315</v>
      </c>
      <c r="J97" s="33">
        <v>37596</v>
      </c>
      <c r="K97" s="33">
        <v>43465</v>
      </c>
      <c r="L97" s="16" t="s">
        <v>66</v>
      </c>
      <c r="M97" s="16" t="s">
        <v>67</v>
      </c>
      <c r="N97" s="16" t="s">
        <v>68</v>
      </c>
      <c r="O97" s="16" t="s">
        <v>253</v>
      </c>
      <c r="P97" s="16" t="s">
        <v>70</v>
      </c>
      <c r="Q97" s="16" t="s">
        <v>71</v>
      </c>
      <c r="R97" s="17" t="s">
        <v>1316</v>
      </c>
      <c r="S97" s="16" t="s">
        <v>1317</v>
      </c>
      <c r="T97" s="16" t="s">
        <v>74</v>
      </c>
      <c r="U97" s="16" t="s">
        <v>75</v>
      </c>
      <c r="V97" s="16" t="s">
        <v>1318</v>
      </c>
      <c r="W97" s="16"/>
      <c r="X97" s="16" t="s">
        <v>1319</v>
      </c>
      <c r="Y97" s="16" t="s">
        <v>78</v>
      </c>
      <c r="Z97" s="16" t="s">
        <v>1025</v>
      </c>
      <c r="AA97" s="16" t="s">
        <v>1026</v>
      </c>
      <c r="AB97" s="17" t="s">
        <v>1320</v>
      </c>
      <c r="AC97" s="16" t="s">
        <v>71</v>
      </c>
      <c r="AD97" s="17" t="s">
        <v>1320</v>
      </c>
      <c r="AF97" s="17" t="s">
        <v>1320</v>
      </c>
      <c r="AG97" s="16" t="s">
        <v>1321</v>
      </c>
      <c r="AH97" s="16" t="s">
        <v>1030</v>
      </c>
      <c r="AI97" s="16"/>
      <c r="AJ97" s="16"/>
      <c r="AK97" s="16"/>
      <c r="AL97" s="16" t="s">
        <v>1322</v>
      </c>
    </row>
    <row r="98" spans="1:38" x14ac:dyDescent="0.5">
      <c r="A98">
        <v>6411</v>
      </c>
      <c r="B98" s="16" t="s">
        <v>1323</v>
      </c>
      <c r="C98" s="16" t="s">
        <v>1323</v>
      </c>
      <c r="D98" s="16" t="s">
        <v>85</v>
      </c>
      <c r="E98" s="16" t="s">
        <v>1324</v>
      </c>
      <c r="F98" s="17" t="s">
        <v>1325</v>
      </c>
      <c r="H98" s="16" t="s">
        <v>1326</v>
      </c>
      <c r="I98" s="16" t="s">
        <v>1327</v>
      </c>
      <c r="J98" s="33">
        <v>37596</v>
      </c>
      <c r="K98" s="33">
        <v>43465</v>
      </c>
      <c r="L98" s="16" t="s">
        <v>66</v>
      </c>
      <c r="M98" s="16" t="s">
        <v>67</v>
      </c>
      <c r="N98" s="16" t="s">
        <v>68</v>
      </c>
      <c r="O98" s="16" t="s">
        <v>202</v>
      </c>
      <c r="P98" s="16" t="s">
        <v>70</v>
      </c>
      <c r="Q98" s="16" t="s">
        <v>71</v>
      </c>
      <c r="R98" s="17" t="s">
        <v>1328</v>
      </c>
      <c r="S98" s="16" t="s">
        <v>1329</v>
      </c>
      <c r="T98" s="16" t="s">
        <v>74</v>
      </c>
      <c r="U98" s="16" t="s">
        <v>75</v>
      </c>
      <c r="V98" s="16" t="s">
        <v>1330</v>
      </c>
      <c r="W98" s="16"/>
      <c r="X98" s="16" t="s">
        <v>1331</v>
      </c>
      <c r="Y98" s="16" t="s">
        <v>78</v>
      </c>
      <c r="Z98" s="16" t="s">
        <v>79</v>
      </c>
      <c r="AA98" s="16" t="s">
        <v>80</v>
      </c>
      <c r="AB98" s="17" t="s">
        <v>1332</v>
      </c>
      <c r="AC98" s="16" t="s">
        <v>71</v>
      </c>
      <c r="AD98" s="17" t="s">
        <v>1332</v>
      </c>
      <c r="AE98" s="17" t="s">
        <v>1333</v>
      </c>
      <c r="AF98" s="17" t="s">
        <v>1333</v>
      </c>
      <c r="AG98" s="16" t="s">
        <v>1334</v>
      </c>
      <c r="AH98" s="16" t="s">
        <v>1029</v>
      </c>
      <c r="AI98" s="16"/>
      <c r="AJ98" s="16"/>
      <c r="AK98" s="16"/>
      <c r="AL98" s="16" t="s">
        <v>1335</v>
      </c>
    </row>
    <row r="99" spans="1:38" x14ac:dyDescent="0.5">
      <c r="A99">
        <v>6521</v>
      </c>
      <c r="B99" s="16" t="s">
        <v>1336</v>
      </c>
      <c r="C99" s="16" t="s">
        <v>1336</v>
      </c>
      <c r="D99" s="16"/>
      <c r="E99" s="16" t="s">
        <v>1337</v>
      </c>
      <c r="F99" s="17" t="s">
        <v>1338</v>
      </c>
      <c r="G99" s="17" t="s">
        <v>1339</v>
      </c>
      <c r="H99" s="16" t="s">
        <v>1340</v>
      </c>
      <c r="I99" s="16" t="s">
        <v>8587</v>
      </c>
      <c r="J99" s="33">
        <v>37673</v>
      </c>
      <c r="K99" s="33">
        <v>43465</v>
      </c>
      <c r="L99" s="16" t="s">
        <v>66</v>
      </c>
      <c r="M99" s="16" t="s">
        <v>67</v>
      </c>
      <c r="N99" s="16" t="s">
        <v>68</v>
      </c>
      <c r="O99" s="16" t="s">
        <v>436</v>
      </c>
      <c r="P99" s="16" t="s">
        <v>70</v>
      </c>
      <c r="Q99" s="16" t="s">
        <v>71</v>
      </c>
      <c r="R99" s="17" t="s">
        <v>1341</v>
      </c>
      <c r="S99" s="16" t="s">
        <v>222</v>
      </c>
      <c r="T99" s="16" t="s">
        <v>74</v>
      </c>
      <c r="U99" s="16" t="s">
        <v>75</v>
      </c>
      <c r="V99" s="16" t="s">
        <v>1342</v>
      </c>
      <c r="W99" s="16"/>
      <c r="X99" s="16" t="s">
        <v>1343</v>
      </c>
      <c r="Y99" s="16" t="s">
        <v>78</v>
      </c>
      <c r="Z99" s="16" t="s">
        <v>189</v>
      </c>
      <c r="AA99" s="16" t="s">
        <v>190</v>
      </c>
      <c r="AB99" s="17" t="s">
        <v>1344</v>
      </c>
      <c r="AC99" s="16" t="s">
        <v>71</v>
      </c>
      <c r="AD99" s="17" t="s">
        <v>1344</v>
      </c>
      <c r="AG99" s="16" t="s">
        <v>1030</v>
      </c>
      <c r="AH99" s="16" t="s">
        <v>1345</v>
      </c>
      <c r="AI99" s="16"/>
      <c r="AJ99" s="16"/>
      <c r="AK99" s="16"/>
      <c r="AL99" s="16" t="s">
        <v>1346</v>
      </c>
    </row>
    <row r="100" spans="1:38" x14ac:dyDescent="0.5">
      <c r="A100">
        <v>6551</v>
      </c>
      <c r="B100" s="16" t="s">
        <v>759</v>
      </c>
      <c r="C100" s="16" t="s">
        <v>759</v>
      </c>
      <c r="D100" s="16"/>
      <c r="E100" s="16" t="s">
        <v>1347</v>
      </c>
      <c r="F100" s="17" t="s">
        <v>1348</v>
      </c>
      <c r="H100" s="16" t="s">
        <v>1349</v>
      </c>
      <c r="I100" s="16" t="s">
        <v>1350</v>
      </c>
      <c r="J100" s="33">
        <v>37673</v>
      </c>
      <c r="K100" s="33">
        <v>43465</v>
      </c>
      <c r="L100" s="16" t="s">
        <v>66</v>
      </c>
      <c r="M100" s="16" t="s">
        <v>67</v>
      </c>
      <c r="N100" s="16" t="s">
        <v>68</v>
      </c>
      <c r="O100" s="16" t="s">
        <v>202</v>
      </c>
      <c r="P100" s="16" t="s">
        <v>70</v>
      </c>
      <c r="Q100" s="16" t="s">
        <v>71</v>
      </c>
      <c r="R100" s="17" t="s">
        <v>1351</v>
      </c>
      <c r="S100" s="16" t="s">
        <v>1352</v>
      </c>
      <c r="T100" s="16" t="s">
        <v>74</v>
      </c>
      <c r="U100" s="16" t="s">
        <v>75</v>
      </c>
      <c r="V100" s="16" t="s">
        <v>1353</v>
      </c>
      <c r="W100" s="16"/>
      <c r="X100" s="16" t="s">
        <v>1354</v>
      </c>
      <c r="Y100" s="16" t="s">
        <v>78</v>
      </c>
      <c r="Z100" s="16" t="s">
        <v>963</v>
      </c>
      <c r="AA100" s="16" t="s">
        <v>964</v>
      </c>
      <c r="AB100" s="17" t="s">
        <v>1355</v>
      </c>
      <c r="AC100" s="16" t="s">
        <v>71</v>
      </c>
      <c r="AD100" s="17" t="s">
        <v>1355</v>
      </c>
      <c r="AE100" s="17" t="s">
        <v>1356</v>
      </c>
      <c r="AG100" s="16" t="s">
        <v>840</v>
      </c>
      <c r="AH100" s="16" t="s">
        <v>1357</v>
      </c>
      <c r="AI100" s="16"/>
      <c r="AJ100" s="16"/>
      <c r="AK100" s="16"/>
      <c r="AL100" s="16" t="s">
        <v>1358</v>
      </c>
    </row>
    <row r="101" spans="1:38" x14ac:dyDescent="0.5">
      <c r="A101">
        <v>6561</v>
      </c>
      <c r="B101" s="16" t="s">
        <v>1359</v>
      </c>
      <c r="C101" s="16" t="s">
        <v>1359</v>
      </c>
      <c r="D101" s="16" t="s">
        <v>103</v>
      </c>
      <c r="E101" s="16" t="s">
        <v>1360</v>
      </c>
      <c r="F101" s="17" t="s">
        <v>1361</v>
      </c>
      <c r="H101" s="16" t="s">
        <v>456</v>
      </c>
      <c r="I101" s="16" t="s">
        <v>1362</v>
      </c>
      <c r="J101" s="33">
        <v>37698</v>
      </c>
      <c r="K101" s="33">
        <v>43465</v>
      </c>
      <c r="L101" s="16" t="s">
        <v>66</v>
      </c>
      <c r="M101" s="16" t="s">
        <v>67</v>
      </c>
      <c r="N101" s="16" t="s">
        <v>68</v>
      </c>
      <c r="O101" s="16" t="s">
        <v>436</v>
      </c>
      <c r="P101" s="16" t="s">
        <v>70</v>
      </c>
      <c r="Q101" s="16" t="s">
        <v>71</v>
      </c>
      <c r="R101" s="17" t="s">
        <v>1363</v>
      </c>
      <c r="S101" s="16" t="s">
        <v>113</v>
      </c>
      <c r="T101" s="16" t="s">
        <v>74</v>
      </c>
      <c r="U101" s="16" t="s">
        <v>75</v>
      </c>
      <c r="V101" s="16" t="s">
        <v>1364</v>
      </c>
      <c r="W101" s="16"/>
      <c r="X101" s="16" t="s">
        <v>1365</v>
      </c>
      <c r="Y101" s="16" t="s">
        <v>78</v>
      </c>
      <c r="Z101" s="16" t="s">
        <v>117</v>
      </c>
      <c r="AA101" s="16" t="s">
        <v>113</v>
      </c>
      <c r="AB101" s="17" t="s">
        <v>1366</v>
      </c>
      <c r="AC101" s="16" t="s">
        <v>71</v>
      </c>
      <c r="AD101" s="17" t="s">
        <v>1366</v>
      </c>
      <c r="AF101" s="17" t="s">
        <v>1367</v>
      </c>
      <c r="AG101" s="16" t="s">
        <v>1002</v>
      </c>
      <c r="AH101" s="16"/>
      <c r="AI101" s="16"/>
      <c r="AJ101" s="16"/>
      <c r="AK101" s="16"/>
      <c r="AL101" s="16" t="s">
        <v>1368</v>
      </c>
    </row>
    <row r="102" spans="1:38" x14ac:dyDescent="0.5">
      <c r="A102">
        <v>6631</v>
      </c>
      <c r="B102" s="16" t="s">
        <v>276</v>
      </c>
      <c r="C102" s="16" t="s">
        <v>276</v>
      </c>
      <c r="D102" s="16" t="s">
        <v>85</v>
      </c>
      <c r="E102" s="16" t="s">
        <v>1369</v>
      </c>
      <c r="F102" s="17" t="s">
        <v>1370</v>
      </c>
      <c r="H102" s="16"/>
      <c r="I102" s="16"/>
      <c r="J102" s="33">
        <v>37733</v>
      </c>
      <c r="K102" s="33">
        <v>43465</v>
      </c>
      <c r="L102" s="16" t="s">
        <v>66</v>
      </c>
      <c r="M102" s="16" t="s">
        <v>291</v>
      </c>
      <c r="N102" s="16" t="s">
        <v>127</v>
      </c>
      <c r="O102" s="16" t="s">
        <v>127</v>
      </c>
      <c r="P102" s="16" t="s">
        <v>70</v>
      </c>
      <c r="Q102" s="16" t="s">
        <v>71</v>
      </c>
      <c r="R102" s="17" t="s">
        <v>1371</v>
      </c>
      <c r="S102" s="16" t="s">
        <v>113</v>
      </c>
      <c r="T102" s="16" t="s">
        <v>74</v>
      </c>
      <c r="U102" s="16" t="s">
        <v>75</v>
      </c>
      <c r="V102" s="16" t="s">
        <v>1372</v>
      </c>
      <c r="W102" s="16"/>
      <c r="X102" s="16" t="s">
        <v>1373</v>
      </c>
      <c r="Y102" s="16" t="s">
        <v>78</v>
      </c>
      <c r="Z102" s="16" t="s">
        <v>117</v>
      </c>
      <c r="AA102" s="16" t="s">
        <v>113</v>
      </c>
      <c r="AB102" s="17" t="s">
        <v>1374</v>
      </c>
      <c r="AC102" s="16" t="s">
        <v>71</v>
      </c>
      <c r="AD102" s="17" t="s">
        <v>1374</v>
      </c>
      <c r="AF102" s="17" t="s">
        <v>1375</v>
      </c>
      <c r="AG102" s="16"/>
      <c r="AH102" s="16"/>
      <c r="AI102" s="16"/>
      <c r="AJ102" s="16"/>
      <c r="AK102" s="16"/>
      <c r="AL102" s="16" t="s">
        <v>1376</v>
      </c>
    </row>
    <row r="103" spans="1:38" x14ac:dyDescent="0.5">
      <c r="A103">
        <v>6641</v>
      </c>
      <c r="B103" s="16" t="s">
        <v>1377</v>
      </c>
      <c r="C103" s="16" t="s">
        <v>1377</v>
      </c>
      <c r="D103" s="16"/>
      <c r="E103" s="16" t="s">
        <v>1378</v>
      </c>
      <c r="F103" s="17" t="s">
        <v>1379</v>
      </c>
      <c r="H103" s="16" t="s">
        <v>1380</v>
      </c>
      <c r="I103" s="16" t="s">
        <v>1381</v>
      </c>
      <c r="J103" s="33">
        <v>37739</v>
      </c>
      <c r="K103" s="33">
        <v>43465</v>
      </c>
      <c r="L103" s="16" t="s">
        <v>66</v>
      </c>
      <c r="M103" s="16" t="s">
        <v>67</v>
      </c>
      <c r="N103" s="16" t="s">
        <v>68</v>
      </c>
      <c r="O103" s="16" t="s">
        <v>202</v>
      </c>
      <c r="P103" s="16" t="s">
        <v>70</v>
      </c>
      <c r="Q103" s="16" t="s">
        <v>71</v>
      </c>
      <c r="R103" s="17" t="s">
        <v>1382</v>
      </c>
      <c r="S103" s="16" t="s">
        <v>1383</v>
      </c>
      <c r="T103" s="16" t="s">
        <v>74</v>
      </c>
      <c r="U103" s="16" t="s">
        <v>75</v>
      </c>
      <c r="V103" s="16" t="s">
        <v>1384</v>
      </c>
      <c r="W103" s="16"/>
      <c r="X103" s="16" t="s">
        <v>1385</v>
      </c>
      <c r="Y103" s="16" t="s">
        <v>78</v>
      </c>
      <c r="Z103" s="16" t="s">
        <v>1386</v>
      </c>
      <c r="AA103" s="16" t="s">
        <v>1387</v>
      </c>
      <c r="AB103" s="17" t="s">
        <v>1388</v>
      </c>
      <c r="AC103" s="16" t="s">
        <v>71</v>
      </c>
      <c r="AD103" s="17" t="s">
        <v>1388</v>
      </c>
      <c r="AE103" s="17" t="s">
        <v>1389</v>
      </c>
      <c r="AG103" s="16"/>
      <c r="AH103" s="16"/>
      <c r="AI103" s="16"/>
      <c r="AJ103" s="16"/>
      <c r="AK103" s="16"/>
      <c r="AL103" s="16" t="s">
        <v>1390</v>
      </c>
    </row>
    <row r="104" spans="1:38" x14ac:dyDescent="0.5">
      <c r="A104">
        <v>6671</v>
      </c>
      <c r="B104" s="16" t="s">
        <v>1391</v>
      </c>
      <c r="C104" s="16" t="s">
        <v>1392</v>
      </c>
      <c r="D104" s="16" t="s">
        <v>196</v>
      </c>
      <c r="E104" s="16" t="s">
        <v>1393</v>
      </c>
      <c r="F104" s="17" t="s">
        <v>1394</v>
      </c>
      <c r="H104" s="16" t="s">
        <v>1395</v>
      </c>
      <c r="I104" s="16" t="s">
        <v>1396</v>
      </c>
      <c r="J104" s="33">
        <v>37771</v>
      </c>
      <c r="K104" s="33">
        <v>43465</v>
      </c>
      <c r="L104" s="16" t="s">
        <v>66</v>
      </c>
      <c r="M104" s="16" t="s">
        <v>67</v>
      </c>
      <c r="N104" s="16" t="s">
        <v>68</v>
      </c>
      <c r="O104" s="16" t="s">
        <v>436</v>
      </c>
      <c r="P104" s="16" t="s">
        <v>70</v>
      </c>
      <c r="Q104" s="16" t="s">
        <v>71</v>
      </c>
      <c r="R104" s="17" t="s">
        <v>1397</v>
      </c>
      <c r="S104" s="16" t="s">
        <v>1396</v>
      </c>
      <c r="T104" s="16" t="s">
        <v>74</v>
      </c>
      <c r="U104" s="16" t="s">
        <v>75</v>
      </c>
      <c r="V104" s="16" t="s">
        <v>1398</v>
      </c>
      <c r="W104" s="16"/>
      <c r="X104" s="16" t="s">
        <v>1399</v>
      </c>
      <c r="Y104" s="16" t="s">
        <v>78</v>
      </c>
      <c r="Z104" s="16" t="s">
        <v>117</v>
      </c>
      <c r="AA104" s="16" t="s">
        <v>113</v>
      </c>
      <c r="AB104" s="17" t="s">
        <v>1400</v>
      </c>
      <c r="AC104" s="16" t="s">
        <v>71</v>
      </c>
      <c r="AD104" s="17" t="s">
        <v>1400</v>
      </c>
      <c r="AE104" s="17" t="s">
        <v>1401</v>
      </c>
      <c r="AG104" s="16" t="s">
        <v>1402</v>
      </c>
      <c r="AH104" s="16" t="s">
        <v>1403</v>
      </c>
      <c r="AI104" s="16"/>
      <c r="AJ104" s="16"/>
      <c r="AK104" s="16"/>
      <c r="AL104" s="16" t="s">
        <v>1404</v>
      </c>
    </row>
    <row r="105" spans="1:38" x14ac:dyDescent="0.5">
      <c r="A105">
        <v>6681</v>
      </c>
      <c r="B105" s="16" t="s">
        <v>1405</v>
      </c>
      <c r="C105" s="16" t="s">
        <v>1405</v>
      </c>
      <c r="D105" s="16"/>
      <c r="E105" s="16" t="s">
        <v>1406</v>
      </c>
      <c r="F105" s="17" t="s">
        <v>1407</v>
      </c>
      <c r="G105" s="17" t="s">
        <v>1408</v>
      </c>
      <c r="H105" s="16"/>
      <c r="I105" s="16"/>
      <c r="J105" s="33">
        <v>37771</v>
      </c>
      <c r="K105" s="33">
        <v>43465</v>
      </c>
      <c r="L105" s="16" t="s">
        <v>66</v>
      </c>
      <c r="M105" s="16" t="s">
        <v>291</v>
      </c>
      <c r="N105" s="16" t="s">
        <v>127</v>
      </c>
      <c r="O105" s="16" t="s">
        <v>127</v>
      </c>
      <c r="P105" s="16" t="s">
        <v>70</v>
      </c>
      <c r="Q105" s="16" t="s">
        <v>71</v>
      </c>
      <c r="R105" s="17" t="s">
        <v>1409</v>
      </c>
      <c r="S105" s="16" t="s">
        <v>1410</v>
      </c>
      <c r="T105" s="16" t="s">
        <v>1411</v>
      </c>
      <c r="U105" s="16" t="s">
        <v>1412</v>
      </c>
      <c r="V105" s="16" t="s">
        <v>1413</v>
      </c>
      <c r="W105" s="16"/>
      <c r="X105" s="16" t="s">
        <v>1414</v>
      </c>
      <c r="Y105" s="16" t="s">
        <v>744</v>
      </c>
      <c r="Z105" s="16"/>
      <c r="AA105" s="16"/>
      <c r="AB105" s="17" t="s">
        <v>1415</v>
      </c>
      <c r="AC105" s="16" t="s">
        <v>71</v>
      </c>
      <c r="AD105" s="17" t="s">
        <v>1415</v>
      </c>
      <c r="AG105" s="16" t="s">
        <v>1103</v>
      </c>
      <c r="AH105" s="16" t="s">
        <v>1233</v>
      </c>
      <c r="AI105" s="16"/>
      <c r="AJ105" s="16"/>
      <c r="AK105" s="16"/>
      <c r="AL105" s="16" t="s">
        <v>1416</v>
      </c>
    </row>
    <row r="106" spans="1:38" x14ac:dyDescent="0.5">
      <c r="A106">
        <v>6971</v>
      </c>
      <c r="B106" s="16" t="s">
        <v>1417</v>
      </c>
      <c r="C106" s="16" t="s">
        <v>1417</v>
      </c>
      <c r="D106" s="16" t="s">
        <v>1418</v>
      </c>
      <c r="E106" s="16" t="s">
        <v>1419</v>
      </c>
      <c r="F106" s="17" t="s">
        <v>1420</v>
      </c>
      <c r="H106" s="16" t="s">
        <v>1421</v>
      </c>
      <c r="I106" s="16" t="s">
        <v>1422</v>
      </c>
      <c r="J106" s="33">
        <v>38875</v>
      </c>
      <c r="K106" s="33">
        <v>43465</v>
      </c>
      <c r="L106" s="16" t="s">
        <v>66</v>
      </c>
      <c r="M106" s="16" t="s">
        <v>67</v>
      </c>
      <c r="N106" s="16" t="s">
        <v>68</v>
      </c>
      <c r="O106" s="16" t="s">
        <v>202</v>
      </c>
      <c r="P106" s="16" t="s">
        <v>70</v>
      </c>
      <c r="Q106" s="16" t="s">
        <v>71</v>
      </c>
      <c r="R106" s="17" t="s">
        <v>1423</v>
      </c>
      <c r="S106" s="16" t="s">
        <v>1111</v>
      </c>
      <c r="T106" s="16" t="s">
        <v>74</v>
      </c>
      <c r="U106" s="16" t="s">
        <v>75</v>
      </c>
      <c r="V106" s="16" t="s">
        <v>1424</v>
      </c>
      <c r="W106" s="16"/>
      <c r="X106" s="16" t="s">
        <v>1425</v>
      </c>
      <c r="Y106" s="16" t="s">
        <v>78</v>
      </c>
      <c r="Z106" s="16" t="s">
        <v>207</v>
      </c>
      <c r="AA106" s="16" t="s">
        <v>208</v>
      </c>
      <c r="AB106" s="17" t="s">
        <v>1426</v>
      </c>
      <c r="AC106" s="16" t="s">
        <v>71</v>
      </c>
      <c r="AD106" s="17" t="s">
        <v>1426</v>
      </c>
      <c r="AE106" s="17" t="s">
        <v>1427</v>
      </c>
      <c r="AF106" s="17" t="s">
        <v>1428</v>
      </c>
      <c r="AG106" s="16" t="s">
        <v>1030</v>
      </c>
      <c r="AH106" s="16" t="s">
        <v>579</v>
      </c>
      <c r="AI106" s="16"/>
      <c r="AJ106" s="16"/>
      <c r="AK106" s="16"/>
      <c r="AL106" s="16" t="s">
        <v>1429</v>
      </c>
    </row>
    <row r="107" spans="1:38" x14ac:dyDescent="0.5">
      <c r="A107">
        <v>7001</v>
      </c>
      <c r="B107" s="16" t="s">
        <v>287</v>
      </c>
      <c r="C107" s="16" t="s">
        <v>287</v>
      </c>
      <c r="D107" s="16" t="s">
        <v>162</v>
      </c>
      <c r="E107" s="16" t="s">
        <v>1430</v>
      </c>
      <c r="F107" s="17" t="s">
        <v>1431</v>
      </c>
      <c r="H107" s="16" t="s">
        <v>1432</v>
      </c>
      <c r="I107" s="16" t="s">
        <v>1433</v>
      </c>
      <c r="J107" s="33">
        <v>37867</v>
      </c>
      <c r="K107" s="33">
        <v>43465</v>
      </c>
      <c r="L107" s="16" t="s">
        <v>66</v>
      </c>
      <c r="M107" s="16" t="s">
        <v>90</v>
      </c>
      <c r="N107" s="16" t="s">
        <v>91</v>
      </c>
      <c r="O107" s="16" t="s">
        <v>91</v>
      </c>
      <c r="P107" s="16" t="s">
        <v>70</v>
      </c>
      <c r="Q107" s="16" t="s">
        <v>71</v>
      </c>
      <c r="R107" s="17" t="s">
        <v>1434</v>
      </c>
      <c r="S107" s="16" t="s">
        <v>1435</v>
      </c>
      <c r="T107" s="16" t="s">
        <v>74</v>
      </c>
      <c r="U107" s="16" t="s">
        <v>75</v>
      </c>
      <c r="V107" s="16" t="s">
        <v>1436</v>
      </c>
      <c r="W107" s="16"/>
      <c r="X107" s="16" t="s">
        <v>1437</v>
      </c>
      <c r="Y107" s="16" t="s">
        <v>78</v>
      </c>
      <c r="Z107" s="16" t="s">
        <v>270</v>
      </c>
      <c r="AA107" s="16" t="s">
        <v>271</v>
      </c>
      <c r="AB107" s="17" t="s">
        <v>1438</v>
      </c>
      <c r="AC107" s="16" t="s">
        <v>71</v>
      </c>
      <c r="AD107" s="17" t="s">
        <v>1438</v>
      </c>
      <c r="AG107" s="16" t="s">
        <v>1439</v>
      </c>
      <c r="AH107" s="16" t="s">
        <v>1440</v>
      </c>
      <c r="AI107" s="16"/>
      <c r="AJ107" s="16"/>
      <c r="AK107" s="16"/>
      <c r="AL107" s="16" t="s">
        <v>1441</v>
      </c>
    </row>
    <row r="108" spans="1:38" x14ac:dyDescent="0.5">
      <c r="A108">
        <v>7211</v>
      </c>
      <c r="B108" s="16" t="s">
        <v>1442</v>
      </c>
      <c r="C108" s="16" t="s">
        <v>1443</v>
      </c>
      <c r="D108" s="16" t="s">
        <v>533</v>
      </c>
      <c r="E108" s="16" t="s">
        <v>1444</v>
      </c>
      <c r="F108" s="17" t="s">
        <v>1445</v>
      </c>
      <c r="G108" s="17" t="s">
        <v>1445</v>
      </c>
      <c r="H108" s="16" t="s">
        <v>1446</v>
      </c>
      <c r="I108" s="16" t="s">
        <v>265</v>
      </c>
      <c r="J108" s="33">
        <v>37872</v>
      </c>
      <c r="K108" s="33">
        <v>55153</v>
      </c>
      <c r="L108" s="16" t="s">
        <v>66</v>
      </c>
      <c r="M108" s="16" t="s">
        <v>109</v>
      </c>
      <c r="N108" s="16" t="s">
        <v>110</v>
      </c>
      <c r="O108" s="16" t="s">
        <v>111</v>
      </c>
      <c r="P108" s="16" t="s">
        <v>70</v>
      </c>
      <c r="Q108" s="16" t="s">
        <v>71</v>
      </c>
      <c r="R108" s="17" t="s">
        <v>1447</v>
      </c>
      <c r="S108" s="16" t="s">
        <v>113</v>
      </c>
      <c r="T108" s="16" t="s">
        <v>74</v>
      </c>
      <c r="U108" s="16" t="s">
        <v>75</v>
      </c>
      <c r="V108" s="16" t="s">
        <v>1448</v>
      </c>
      <c r="W108" s="16"/>
      <c r="X108" s="16" t="s">
        <v>1449</v>
      </c>
      <c r="Y108" s="16" t="s">
        <v>78</v>
      </c>
      <c r="Z108" s="16" t="s">
        <v>117</v>
      </c>
      <c r="AA108" s="16" t="s">
        <v>113</v>
      </c>
      <c r="AB108" s="17" t="s">
        <v>1450</v>
      </c>
      <c r="AC108" s="16" t="s">
        <v>71</v>
      </c>
      <c r="AD108" s="17" t="s">
        <v>1450</v>
      </c>
      <c r="AF108" s="17" t="s">
        <v>1451</v>
      </c>
      <c r="AG108" s="16" t="s">
        <v>1002</v>
      </c>
      <c r="AH108" s="16" t="s">
        <v>1003</v>
      </c>
      <c r="AI108" s="16"/>
      <c r="AJ108" s="16"/>
      <c r="AK108" s="16"/>
      <c r="AL108" s="16" t="s">
        <v>1452</v>
      </c>
    </row>
    <row r="109" spans="1:38" x14ac:dyDescent="0.5">
      <c r="A109">
        <v>7251</v>
      </c>
      <c r="B109" s="16" t="s">
        <v>1453</v>
      </c>
      <c r="C109" s="16" t="s">
        <v>1453</v>
      </c>
      <c r="D109" s="16" t="s">
        <v>383</v>
      </c>
      <c r="E109" s="16" t="s">
        <v>1454</v>
      </c>
      <c r="F109" s="17" t="s">
        <v>1455</v>
      </c>
      <c r="G109" s="17" t="s">
        <v>1456</v>
      </c>
      <c r="H109" s="16" t="s">
        <v>1457</v>
      </c>
      <c r="I109" s="16" t="s">
        <v>1458</v>
      </c>
      <c r="J109" s="33">
        <v>37875</v>
      </c>
      <c r="K109" s="33">
        <v>43465</v>
      </c>
      <c r="L109" s="16" t="s">
        <v>66</v>
      </c>
      <c r="M109" s="16" t="s">
        <v>67</v>
      </c>
      <c r="N109" s="16" t="s">
        <v>68</v>
      </c>
      <c r="O109" s="16" t="s">
        <v>202</v>
      </c>
      <c r="P109" s="16" t="s">
        <v>70</v>
      </c>
      <c r="Q109" s="16" t="s">
        <v>71</v>
      </c>
      <c r="R109" s="17" t="s">
        <v>1459</v>
      </c>
      <c r="S109" s="16" t="s">
        <v>1460</v>
      </c>
      <c r="T109" s="16" t="s">
        <v>74</v>
      </c>
      <c r="U109" s="16" t="s">
        <v>75</v>
      </c>
      <c r="V109" s="16" t="s">
        <v>1461</v>
      </c>
      <c r="W109" s="16"/>
      <c r="X109" s="16" t="s">
        <v>1462</v>
      </c>
      <c r="Y109" s="16" t="s">
        <v>78</v>
      </c>
      <c r="Z109" s="16" t="s">
        <v>242</v>
      </c>
      <c r="AA109" s="16" t="s">
        <v>243</v>
      </c>
      <c r="AB109" s="17" t="s">
        <v>1463</v>
      </c>
      <c r="AC109" s="16" t="s">
        <v>71</v>
      </c>
      <c r="AD109" s="17" t="s">
        <v>1463</v>
      </c>
      <c r="AF109" s="17" t="s">
        <v>1464</v>
      </c>
      <c r="AG109" s="16" t="s">
        <v>1002</v>
      </c>
      <c r="AH109" s="16"/>
      <c r="AI109" s="16"/>
      <c r="AJ109" s="16"/>
      <c r="AK109" s="16"/>
      <c r="AL109" s="16" t="s">
        <v>1465</v>
      </c>
    </row>
    <row r="110" spans="1:38" x14ac:dyDescent="0.5">
      <c r="A110">
        <v>7301</v>
      </c>
      <c r="B110" s="16" t="s">
        <v>567</v>
      </c>
      <c r="C110" s="16" t="s">
        <v>567</v>
      </c>
      <c r="D110" s="16" t="s">
        <v>1466</v>
      </c>
      <c r="E110" s="16" t="s">
        <v>1467</v>
      </c>
      <c r="F110" s="17" t="s">
        <v>1468</v>
      </c>
      <c r="G110" s="17" t="s">
        <v>1469</v>
      </c>
      <c r="H110" s="16" t="s">
        <v>1470</v>
      </c>
      <c r="I110" s="16" t="s">
        <v>1471</v>
      </c>
      <c r="J110" s="33">
        <v>37903</v>
      </c>
      <c r="K110" s="33">
        <v>43465</v>
      </c>
      <c r="L110" s="16" t="s">
        <v>66</v>
      </c>
      <c r="M110" s="16" t="s">
        <v>90</v>
      </c>
      <c r="N110" s="16" t="s">
        <v>91</v>
      </c>
      <c r="O110" s="16" t="s">
        <v>91</v>
      </c>
      <c r="P110" s="16" t="s">
        <v>70</v>
      </c>
      <c r="Q110" s="16" t="s">
        <v>71</v>
      </c>
      <c r="R110" s="17" t="s">
        <v>1472</v>
      </c>
      <c r="S110" s="16" t="s">
        <v>113</v>
      </c>
      <c r="T110" s="16" t="s">
        <v>74</v>
      </c>
      <c r="U110" s="16" t="s">
        <v>75</v>
      </c>
      <c r="V110" s="16" t="s">
        <v>1473</v>
      </c>
      <c r="W110" s="16" t="s">
        <v>1474</v>
      </c>
      <c r="X110" s="16" t="s">
        <v>116</v>
      </c>
      <c r="Y110" s="16" t="s">
        <v>78</v>
      </c>
      <c r="Z110" s="16" t="s">
        <v>117</v>
      </c>
      <c r="AA110" s="16" t="s">
        <v>113</v>
      </c>
      <c r="AB110" s="17" t="s">
        <v>1475</v>
      </c>
      <c r="AC110" s="16" t="s">
        <v>71</v>
      </c>
      <c r="AD110" s="17" t="s">
        <v>1475</v>
      </c>
      <c r="AE110" s="17" t="s">
        <v>1476</v>
      </c>
      <c r="AG110" s="16" t="s">
        <v>1271</v>
      </c>
      <c r="AH110" s="16" t="s">
        <v>872</v>
      </c>
      <c r="AI110" s="16"/>
      <c r="AJ110" s="16"/>
      <c r="AK110" s="16"/>
      <c r="AL110" s="16" t="s">
        <v>1477</v>
      </c>
    </row>
    <row r="111" spans="1:38" x14ac:dyDescent="0.5">
      <c r="A111">
        <v>7391</v>
      </c>
      <c r="B111" s="16" t="s">
        <v>1377</v>
      </c>
      <c r="C111" s="16" t="s">
        <v>1478</v>
      </c>
      <c r="D111" s="16" t="s">
        <v>485</v>
      </c>
      <c r="E111" s="16" t="s">
        <v>1479</v>
      </c>
      <c r="F111" s="17" t="s">
        <v>1480</v>
      </c>
      <c r="H111" s="16" t="s">
        <v>142</v>
      </c>
      <c r="I111" s="16" t="s">
        <v>1481</v>
      </c>
      <c r="J111" s="33">
        <v>40742</v>
      </c>
      <c r="K111" s="33">
        <v>43465</v>
      </c>
      <c r="L111" s="16" t="s">
        <v>66</v>
      </c>
      <c r="M111" s="16" t="s">
        <v>235</v>
      </c>
      <c r="N111" s="16" t="s">
        <v>236</v>
      </c>
      <c r="O111" s="16" t="s">
        <v>1482</v>
      </c>
      <c r="P111" s="16" t="s">
        <v>572</v>
      </c>
      <c r="Q111" s="16" t="s">
        <v>71</v>
      </c>
      <c r="R111" s="17" t="s">
        <v>1483</v>
      </c>
      <c r="S111" s="16" t="s">
        <v>662</v>
      </c>
      <c r="T111" s="16" t="s">
        <v>74</v>
      </c>
      <c r="U111" s="16" t="s">
        <v>75</v>
      </c>
      <c r="V111" s="16" t="s">
        <v>1484</v>
      </c>
      <c r="W111" s="16"/>
      <c r="X111" s="16" t="s">
        <v>1485</v>
      </c>
      <c r="Y111" s="16" t="s">
        <v>78</v>
      </c>
      <c r="Z111" s="16" t="s">
        <v>666</v>
      </c>
      <c r="AA111" s="16" t="s">
        <v>667</v>
      </c>
      <c r="AB111" s="17" t="s">
        <v>1486</v>
      </c>
      <c r="AC111" s="16" t="s">
        <v>71</v>
      </c>
      <c r="AD111" s="17" t="s">
        <v>1486</v>
      </c>
      <c r="AE111" s="17" t="s">
        <v>1487</v>
      </c>
      <c r="AG111" s="16" t="s">
        <v>1488</v>
      </c>
      <c r="AH111" s="16" t="s">
        <v>1285</v>
      </c>
      <c r="AI111" s="16"/>
      <c r="AJ111" s="16"/>
      <c r="AK111" s="16"/>
      <c r="AL111" s="16" t="s">
        <v>1489</v>
      </c>
    </row>
    <row r="112" spans="1:38" x14ac:dyDescent="0.5">
      <c r="A112">
        <v>7721</v>
      </c>
      <c r="B112" s="16" t="s">
        <v>1490</v>
      </c>
      <c r="C112" s="16" t="s">
        <v>1490</v>
      </c>
      <c r="D112" s="16"/>
      <c r="E112" s="16" t="s">
        <v>1491</v>
      </c>
      <c r="F112" s="17" t="s">
        <v>1492</v>
      </c>
      <c r="G112" s="17" t="s">
        <v>1493</v>
      </c>
      <c r="H112" s="16" t="s">
        <v>1494</v>
      </c>
      <c r="I112" s="16" t="s">
        <v>1495</v>
      </c>
      <c r="J112" s="33">
        <v>42684</v>
      </c>
      <c r="K112" s="33">
        <v>43465</v>
      </c>
      <c r="L112" s="16" t="s">
        <v>66</v>
      </c>
      <c r="M112" s="16" t="s">
        <v>67</v>
      </c>
      <c r="N112" s="16" t="s">
        <v>68</v>
      </c>
      <c r="O112" s="16" t="s">
        <v>202</v>
      </c>
      <c r="P112" s="16" t="s">
        <v>572</v>
      </c>
      <c r="Q112" s="16" t="s">
        <v>71</v>
      </c>
      <c r="R112" s="17" t="s">
        <v>1496</v>
      </c>
      <c r="S112" s="16" t="s">
        <v>1497</v>
      </c>
      <c r="T112" s="16" t="s">
        <v>74</v>
      </c>
      <c r="U112" s="16" t="s">
        <v>75</v>
      </c>
      <c r="V112" s="16" t="s">
        <v>1498</v>
      </c>
      <c r="W112" s="16"/>
      <c r="X112" s="16" t="s">
        <v>1499</v>
      </c>
      <c r="Y112" s="16" t="s">
        <v>78</v>
      </c>
      <c r="Z112" s="16" t="s">
        <v>1025</v>
      </c>
      <c r="AA112" s="16" t="s">
        <v>1026</v>
      </c>
      <c r="AB112" s="17" t="s">
        <v>1500</v>
      </c>
      <c r="AC112" s="16" t="s">
        <v>495</v>
      </c>
      <c r="AE112" s="17" t="s">
        <v>1500</v>
      </c>
      <c r="AF112" s="17" t="s">
        <v>1501</v>
      </c>
      <c r="AG112" s="16" t="s">
        <v>1502</v>
      </c>
      <c r="AH112" s="16" t="s">
        <v>1503</v>
      </c>
      <c r="AI112" s="16"/>
      <c r="AJ112" s="16"/>
      <c r="AK112" s="16"/>
      <c r="AL112" s="16"/>
    </row>
    <row r="113" spans="1:38" x14ac:dyDescent="0.5">
      <c r="A113">
        <v>7731</v>
      </c>
      <c r="B113" s="16" t="s">
        <v>1504</v>
      </c>
      <c r="C113" s="16" t="s">
        <v>1504</v>
      </c>
      <c r="D113" s="16" t="s">
        <v>103</v>
      </c>
      <c r="E113" s="16" t="s">
        <v>1505</v>
      </c>
      <c r="F113" s="17" t="s">
        <v>1506</v>
      </c>
      <c r="H113" s="16" t="s">
        <v>127</v>
      </c>
      <c r="I113" s="16"/>
      <c r="J113" s="33">
        <v>38056</v>
      </c>
      <c r="K113" s="33">
        <v>43465</v>
      </c>
      <c r="L113" s="16" t="s">
        <v>66</v>
      </c>
      <c r="M113" s="16" t="s">
        <v>291</v>
      </c>
      <c r="N113" s="16" t="s">
        <v>127</v>
      </c>
      <c r="O113" s="16" t="s">
        <v>127</v>
      </c>
      <c r="P113" s="16" t="s">
        <v>70</v>
      </c>
      <c r="Q113" s="16" t="s">
        <v>71</v>
      </c>
      <c r="R113" s="17" t="s">
        <v>1507</v>
      </c>
      <c r="S113" s="16" t="s">
        <v>1508</v>
      </c>
      <c r="T113" s="16" t="s">
        <v>74</v>
      </c>
      <c r="U113" s="16" t="s">
        <v>75</v>
      </c>
      <c r="V113" s="16" t="s">
        <v>1509</v>
      </c>
      <c r="W113" s="16"/>
      <c r="X113" s="16" t="s">
        <v>1510</v>
      </c>
      <c r="Y113" s="16" t="s">
        <v>78</v>
      </c>
      <c r="Z113" s="16" t="s">
        <v>1511</v>
      </c>
      <c r="AA113" s="16" t="s">
        <v>1512</v>
      </c>
      <c r="AB113" s="17" t="s">
        <v>1513</v>
      </c>
      <c r="AC113" s="16" t="s">
        <v>71</v>
      </c>
      <c r="AD113" s="17" t="s">
        <v>1513</v>
      </c>
      <c r="AG113" s="16" t="s">
        <v>1133</v>
      </c>
      <c r="AH113" s="16" t="s">
        <v>1030</v>
      </c>
      <c r="AI113" s="16"/>
      <c r="AJ113" s="16"/>
      <c r="AK113" s="16"/>
      <c r="AL113" s="16" t="s">
        <v>1514</v>
      </c>
    </row>
    <row r="114" spans="1:38" x14ac:dyDescent="0.5">
      <c r="A114">
        <v>8351</v>
      </c>
      <c r="B114" s="16" t="s">
        <v>1515</v>
      </c>
      <c r="C114" s="16" t="s">
        <v>1515</v>
      </c>
      <c r="D114" s="16"/>
      <c r="E114" s="16" t="s">
        <v>722</v>
      </c>
      <c r="F114" s="17" t="s">
        <v>1516</v>
      </c>
      <c r="H114" s="16" t="s">
        <v>1517</v>
      </c>
      <c r="I114" s="16" t="s">
        <v>1518</v>
      </c>
      <c r="J114" s="33">
        <v>39388</v>
      </c>
      <c r="K114" s="33">
        <v>43465</v>
      </c>
      <c r="L114" s="16" t="s">
        <v>66</v>
      </c>
      <c r="M114" s="16" t="s">
        <v>67</v>
      </c>
      <c r="N114" s="16" t="s">
        <v>68</v>
      </c>
      <c r="O114" s="16" t="s">
        <v>436</v>
      </c>
      <c r="P114" s="16" t="s">
        <v>70</v>
      </c>
      <c r="Q114" s="16" t="s">
        <v>71</v>
      </c>
      <c r="R114" s="17" t="s">
        <v>1519</v>
      </c>
      <c r="S114" s="16" t="s">
        <v>113</v>
      </c>
      <c r="T114" s="16" t="s">
        <v>74</v>
      </c>
      <c r="U114" s="16" t="s">
        <v>75</v>
      </c>
      <c r="V114" s="16" t="s">
        <v>1520</v>
      </c>
      <c r="W114" s="16"/>
      <c r="X114" s="16" t="s">
        <v>1521</v>
      </c>
      <c r="Y114" s="16" t="s">
        <v>78</v>
      </c>
      <c r="Z114" s="16" t="s">
        <v>117</v>
      </c>
      <c r="AA114" s="16" t="s">
        <v>113</v>
      </c>
      <c r="AB114" s="17" t="s">
        <v>1522</v>
      </c>
      <c r="AC114" s="16" t="s">
        <v>71</v>
      </c>
      <c r="AD114" s="17" t="s">
        <v>1522</v>
      </c>
      <c r="AE114" s="17" t="s">
        <v>1523</v>
      </c>
      <c r="AG114" s="16" t="s">
        <v>872</v>
      </c>
      <c r="AH114" s="16" t="s">
        <v>1524</v>
      </c>
      <c r="AI114" s="16"/>
      <c r="AJ114" s="16"/>
      <c r="AK114" s="16"/>
      <c r="AL114" s="16" t="s">
        <v>1525</v>
      </c>
    </row>
    <row r="115" spans="1:38" x14ac:dyDescent="0.5">
      <c r="A115">
        <v>8761</v>
      </c>
      <c r="B115" s="16" t="s">
        <v>84</v>
      </c>
      <c r="C115" s="16" t="s">
        <v>84</v>
      </c>
      <c r="D115" s="16"/>
      <c r="E115" s="16" t="s">
        <v>1526</v>
      </c>
      <c r="F115" s="17" t="s">
        <v>1527</v>
      </c>
      <c r="H115" s="16" t="s">
        <v>1528</v>
      </c>
      <c r="I115" s="16" t="s">
        <v>1529</v>
      </c>
      <c r="J115" s="33">
        <v>43335</v>
      </c>
      <c r="K115" s="33">
        <v>43700</v>
      </c>
      <c r="L115" s="16" t="s">
        <v>66</v>
      </c>
      <c r="M115" s="16" t="s">
        <v>235</v>
      </c>
      <c r="N115" s="16" t="s">
        <v>236</v>
      </c>
      <c r="O115" s="16" t="s">
        <v>237</v>
      </c>
      <c r="P115" s="16" t="s">
        <v>572</v>
      </c>
      <c r="Q115" s="16" t="s">
        <v>71</v>
      </c>
      <c r="R115" s="17" t="s">
        <v>1530</v>
      </c>
      <c r="S115" s="16" t="s">
        <v>222</v>
      </c>
      <c r="T115" s="16" t="s">
        <v>74</v>
      </c>
      <c r="U115" s="16" t="s">
        <v>75</v>
      </c>
      <c r="V115" s="16" t="s">
        <v>1531</v>
      </c>
      <c r="W115" s="16" t="s">
        <v>1532</v>
      </c>
      <c r="X115" s="16" t="s">
        <v>1533</v>
      </c>
      <c r="Y115" s="16" t="s">
        <v>78</v>
      </c>
      <c r="Z115" s="16" t="s">
        <v>189</v>
      </c>
      <c r="AA115" s="16" t="s">
        <v>190</v>
      </c>
      <c r="AB115" s="17" t="s">
        <v>1534</v>
      </c>
      <c r="AC115" s="16" t="s">
        <v>71</v>
      </c>
      <c r="AD115" s="17" t="s">
        <v>1534</v>
      </c>
      <c r="AG115" s="16" t="s">
        <v>1345</v>
      </c>
      <c r="AH115" s="16" t="s">
        <v>579</v>
      </c>
      <c r="AI115" s="16"/>
      <c r="AJ115" s="16"/>
      <c r="AK115" s="16"/>
      <c r="AL115" s="16" t="s">
        <v>1535</v>
      </c>
    </row>
    <row r="116" spans="1:38" x14ac:dyDescent="0.5">
      <c r="A116">
        <v>8841</v>
      </c>
      <c r="B116" s="16" t="s">
        <v>1536</v>
      </c>
      <c r="C116" s="16" t="s">
        <v>1536</v>
      </c>
      <c r="D116" s="16"/>
      <c r="E116" s="16" t="s">
        <v>1537</v>
      </c>
      <c r="F116" s="17" t="s">
        <v>1538</v>
      </c>
      <c r="G116" s="17" t="s">
        <v>1539</v>
      </c>
      <c r="H116" s="16" t="s">
        <v>142</v>
      </c>
      <c r="I116" s="16" t="s">
        <v>1540</v>
      </c>
      <c r="J116" s="33">
        <v>40738</v>
      </c>
      <c r="K116" s="33">
        <v>43465</v>
      </c>
      <c r="L116" s="16" t="s">
        <v>66</v>
      </c>
      <c r="M116" s="16" t="s">
        <v>67</v>
      </c>
      <c r="N116" s="16" t="s">
        <v>68</v>
      </c>
      <c r="O116" s="16" t="s">
        <v>253</v>
      </c>
      <c r="P116" s="16" t="s">
        <v>70</v>
      </c>
      <c r="Q116" s="16" t="s">
        <v>71</v>
      </c>
      <c r="R116" s="17" t="s">
        <v>1541</v>
      </c>
      <c r="S116" s="16" t="s">
        <v>1542</v>
      </c>
      <c r="T116" s="16" t="s">
        <v>74</v>
      </c>
      <c r="U116" s="16" t="s">
        <v>75</v>
      </c>
      <c r="V116" s="16" t="s">
        <v>1543</v>
      </c>
      <c r="W116" s="16"/>
      <c r="X116" s="16" t="s">
        <v>1544</v>
      </c>
      <c r="Y116" s="16" t="s">
        <v>78</v>
      </c>
      <c r="Z116" s="16" t="s">
        <v>189</v>
      </c>
      <c r="AA116" s="16" t="s">
        <v>190</v>
      </c>
      <c r="AB116" s="17" t="s">
        <v>1545</v>
      </c>
      <c r="AC116" s="16" t="s">
        <v>71</v>
      </c>
      <c r="AD116" s="17" t="s">
        <v>1545</v>
      </c>
      <c r="AE116" s="17" t="s">
        <v>1546</v>
      </c>
      <c r="AF116" s="17" t="s">
        <v>1547</v>
      </c>
      <c r="AG116" s="16" t="s">
        <v>1548</v>
      </c>
      <c r="AH116" s="16" t="s">
        <v>1017</v>
      </c>
      <c r="AI116" s="16"/>
      <c r="AJ116" s="16"/>
      <c r="AK116" s="16"/>
      <c r="AL116" s="16" t="s">
        <v>1549</v>
      </c>
    </row>
    <row r="117" spans="1:38" x14ac:dyDescent="0.5">
      <c r="A117">
        <v>9051</v>
      </c>
      <c r="B117" s="16" t="s">
        <v>1550</v>
      </c>
      <c r="C117" s="16" t="s">
        <v>1174</v>
      </c>
      <c r="D117" s="16" t="s">
        <v>123</v>
      </c>
      <c r="E117" s="16" t="s">
        <v>1551</v>
      </c>
      <c r="F117" s="17" t="s">
        <v>1552</v>
      </c>
      <c r="G117" s="17" t="s">
        <v>1552</v>
      </c>
      <c r="H117" s="16" t="s">
        <v>317</v>
      </c>
      <c r="I117" s="16" t="s">
        <v>1553</v>
      </c>
      <c r="J117" s="33">
        <v>38169</v>
      </c>
      <c r="K117" s="33">
        <v>43465</v>
      </c>
      <c r="L117" s="16" t="s">
        <v>66</v>
      </c>
      <c r="M117" s="16" t="s">
        <v>67</v>
      </c>
      <c r="N117" s="16" t="s">
        <v>68</v>
      </c>
      <c r="O117" s="16" t="s">
        <v>111</v>
      </c>
      <c r="P117" s="16" t="s">
        <v>70</v>
      </c>
      <c r="Q117" s="16" t="s">
        <v>71</v>
      </c>
      <c r="R117" s="17" t="s">
        <v>1554</v>
      </c>
      <c r="S117" s="16" t="s">
        <v>113</v>
      </c>
      <c r="T117" s="16" t="s">
        <v>74</v>
      </c>
      <c r="U117" s="16" t="s">
        <v>75</v>
      </c>
      <c r="V117" s="16" t="s">
        <v>1555</v>
      </c>
      <c r="W117" s="16"/>
      <c r="X117" s="16" t="s">
        <v>1556</v>
      </c>
      <c r="Y117" s="16" t="s">
        <v>78</v>
      </c>
      <c r="Z117" s="16" t="s">
        <v>117</v>
      </c>
      <c r="AA117" s="16" t="s">
        <v>113</v>
      </c>
      <c r="AB117" s="17" t="s">
        <v>1557</v>
      </c>
      <c r="AC117" s="16" t="s">
        <v>71</v>
      </c>
      <c r="AD117" s="17" t="s">
        <v>1557</v>
      </c>
      <c r="AE117" s="17" t="s">
        <v>1558</v>
      </c>
      <c r="AF117" s="17" t="s">
        <v>1559</v>
      </c>
      <c r="AG117" s="16" t="s">
        <v>1003</v>
      </c>
      <c r="AH117" s="16" t="s">
        <v>1560</v>
      </c>
      <c r="AI117" s="16"/>
      <c r="AJ117" s="16"/>
      <c r="AK117" s="16"/>
      <c r="AL117" s="16" t="s">
        <v>1561</v>
      </c>
    </row>
    <row r="118" spans="1:38" x14ac:dyDescent="0.5">
      <c r="A118">
        <v>9111</v>
      </c>
      <c r="B118" s="16" t="s">
        <v>816</v>
      </c>
      <c r="C118" s="16" t="s">
        <v>816</v>
      </c>
      <c r="D118" s="16"/>
      <c r="E118" s="16" t="s">
        <v>1562</v>
      </c>
      <c r="F118" s="17" t="s">
        <v>1563</v>
      </c>
      <c r="H118" s="16" t="s">
        <v>1564</v>
      </c>
      <c r="I118" s="16" t="s">
        <v>1565</v>
      </c>
      <c r="J118" s="33">
        <v>38169</v>
      </c>
      <c r="K118" s="33">
        <v>43465</v>
      </c>
      <c r="L118" s="16" t="s">
        <v>66</v>
      </c>
      <c r="M118" s="16" t="s">
        <v>167</v>
      </c>
      <c r="N118" s="16" t="s">
        <v>110</v>
      </c>
      <c r="O118" s="16" t="s">
        <v>280</v>
      </c>
      <c r="P118" s="16" t="s">
        <v>70</v>
      </c>
      <c r="Q118" s="16" t="s">
        <v>71</v>
      </c>
      <c r="R118" s="17" t="s">
        <v>1566</v>
      </c>
      <c r="S118" s="16" t="s">
        <v>113</v>
      </c>
      <c r="T118" s="16" t="s">
        <v>74</v>
      </c>
      <c r="U118" s="16" t="s">
        <v>75</v>
      </c>
      <c r="V118" s="16" t="s">
        <v>1567</v>
      </c>
      <c r="W118" s="16" t="s">
        <v>1568</v>
      </c>
      <c r="X118" s="16" t="s">
        <v>482</v>
      </c>
      <c r="Y118" s="16" t="s">
        <v>78</v>
      </c>
      <c r="Z118" s="16" t="s">
        <v>117</v>
      </c>
      <c r="AA118" s="16" t="s">
        <v>113</v>
      </c>
      <c r="AB118" s="17" t="s">
        <v>1569</v>
      </c>
      <c r="AC118" s="16" t="s">
        <v>71</v>
      </c>
      <c r="AD118" s="17" t="s">
        <v>1569</v>
      </c>
      <c r="AE118" s="17" t="s">
        <v>1570</v>
      </c>
      <c r="AF118" s="17" t="s">
        <v>1571</v>
      </c>
      <c r="AG118" s="16" t="s">
        <v>1003</v>
      </c>
      <c r="AH118" s="16" t="s">
        <v>1572</v>
      </c>
      <c r="AI118" s="16"/>
      <c r="AJ118" s="16"/>
      <c r="AK118" s="16"/>
      <c r="AL118" s="16" t="s">
        <v>1573</v>
      </c>
    </row>
    <row r="119" spans="1:38" x14ac:dyDescent="0.5">
      <c r="A119">
        <v>9121</v>
      </c>
      <c r="B119" s="16" t="s">
        <v>1574</v>
      </c>
      <c r="C119" s="16" t="s">
        <v>1574</v>
      </c>
      <c r="D119" s="16"/>
      <c r="E119" s="16" t="s">
        <v>1575</v>
      </c>
      <c r="F119" s="17" t="s">
        <v>1576</v>
      </c>
      <c r="H119" s="16" t="s">
        <v>699</v>
      </c>
      <c r="I119" s="16" t="s">
        <v>1577</v>
      </c>
      <c r="J119" s="33">
        <v>38169</v>
      </c>
      <c r="K119" s="33">
        <v>43465</v>
      </c>
      <c r="L119" s="16" t="s">
        <v>66</v>
      </c>
      <c r="M119" s="16" t="s">
        <v>167</v>
      </c>
      <c r="N119" s="16" t="s">
        <v>110</v>
      </c>
      <c r="O119" s="16" t="s">
        <v>253</v>
      </c>
      <c r="P119" s="16" t="s">
        <v>70</v>
      </c>
      <c r="Q119" s="16" t="s">
        <v>71</v>
      </c>
      <c r="R119" s="17" t="s">
        <v>1578</v>
      </c>
      <c r="S119" s="16" t="s">
        <v>113</v>
      </c>
      <c r="T119" s="16" t="s">
        <v>74</v>
      </c>
      <c r="U119" s="16" t="s">
        <v>75</v>
      </c>
      <c r="V119" s="16" t="s">
        <v>1579</v>
      </c>
      <c r="W119" s="16"/>
      <c r="X119" s="16" t="s">
        <v>1580</v>
      </c>
      <c r="Y119" s="16" t="s">
        <v>78</v>
      </c>
      <c r="Z119" s="16" t="s">
        <v>117</v>
      </c>
      <c r="AA119" s="16" t="s">
        <v>113</v>
      </c>
      <c r="AB119" s="17" t="s">
        <v>1581</v>
      </c>
      <c r="AC119" s="16" t="s">
        <v>71</v>
      </c>
      <c r="AD119" s="17" t="s">
        <v>1581</v>
      </c>
      <c r="AF119" s="17" t="s">
        <v>1581</v>
      </c>
      <c r="AG119" s="16" t="s">
        <v>1582</v>
      </c>
      <c r="AH119" s="16" t="s">
        <v>1030</v>
      </c>
      <c r="AI119" s="16"/>
      <c r="AJ119" s="16"/>
      <c r="AK119" s="16"/>
      <c r="AL119" s="16" t="s">
        <v>1583</v>
      </c>
    </row>
    <row r="120" spans="1:38" x14ac:dyDescent="0.5">
      <c r="A120">
        <v>9171</v>
      </c>
      <c r="B120" s="16" t="s">
        <v>1584</v>
      </c>
      <c r="C120" s="16" t="s">
        <v>1585</v>
      </c>
      <c r="D120" s="16"/>
      <c r="E120" s="16" t="s">
        <v>1586</v>
      </c>
      <c r="F120" s="17" t="s">
        <v>1587</v>
      </c>
      <c r="G120" s="17" t="s">
        <v>1588</v>
      </c>
      <c r="H120" s="16" t="s">
        <v>343</v>
      </c>
      <c r="I120" s="16" t="s">
        <v>446</v>
      </c>
      <c r="J120" s="33">
        <v>38169</v>
      </c>
      <c r="K120" s="33">
        <v>43465</v>
      </c>
      <c r="L120" s="16" t="s">
        <v>66</v>
      </c>
      <c r="M120" s="16" t="s">
        <v>167</v>
      </c>
      <c r="N120" s="16" t="s">
        <v>110</v>
      </c>
      <c r="O120" s="16" t="s">
        <v>111</v>
      </c>
      <c r="P120" s="16" t="s">
        <v>70</v>
      </c>
      <c r="Q120" s="16" t="s">
        <v>71</v>
      </c>
      <c r="R120" s="17" t="s">
        <v>1589</v>
      </c>
      <c r="S120" s="16" t="s">
        <v>222</v>
      </c>
      <c r="T120" s="16" t="s">
        <v>74</v>
      </c>
      <c r="U120" s="16" t="s">
        <v>75</v>
      </c>
      <c r="V120" s="16" t="s">
        <v>1590</v>
      </c>
      <c r="W120" s="16"/>
      <c r="X120" s="16" t="s">
        <v>1591</v>
      </c>
      <c r="Y120" s="16" t="s">
        <v>78</v>
      </c>
      <c r="Z120" s="16" t="s">
        <v>189</v>
      </c>
      <c r="AA120" s="16" t="s">
        <v>190</v>
      </c>
      <c r="AB120" s="17" t="s">
        <v>1592</v>
      </c>
      <c r="AC120" s="16" t="s">
        <v>71</v>
      </c>
      <c r="AD120" s="17" t="s">
        <v>1592</v>
      </c>
      <c r="AG120" s="16" t="s">
        <v>871</v>
      </c>
      <c r="AH120" s="16" t="s">
        <v>1076</v>
      </c>
      <c r="AI120" s="16"/>
      <c r="AJ120" s="16"/>
      <c r="AK120" s="16"/>
      <c r="AL120" s="16" t="s">
        <v>1593</v>
      </c>
    </row>
    <row r="121" spans="1:38" x14ac:dyDescent="0.5">
      <c r="A121">
        <v>9191</v>
      </c>
      <c r="B121" s="16" t="s">
        <v>1594</v>
      </c>
      <c r="C121" s="16" t="s">
        <v>1594</v>
      </c>
      <c r="D121" s="16"/>
      <c r="E121" s="16" t="s">
        <v>1595</v>
      </c>
      <c r="F121" s="17" t="s">
        <v>1596</v>
      </c>
      <c r="H121" s="16" t="s">
        <v>1597</v>
      </c>
      <c r="I121" s="16" t="s">
        <v>108</v>
      </c>
      <c r="J121" s="33">
        <v>38180</v>
      </c>
      <c r="K121" s="33">
        <v>55153</v>
      </c>
      <c r="L121" s="16" t="s">
        <v>66</v>
      </c>
      <c r="M121" s="16" t="s">
        <v>109</v>
      </c>
      <c r="N121" s="16" t="s">
        <v>110</v>
      </c>
      <c r="O121" s="16" t="s">
        <v>111</v>
      </c>
      <c r="P121" s="16" t="s">
        <v>70</v>
      </c>
      <c r="Q121" s="16" t="s">
        <v>71</v>
      </c>
      <c r="R121" s="17" t="s">
        <v>1598</v>
      </c>
      <c r="S121" s="16" t="s">
        <v>662</v>
      </c>
      <c r="T121" s="16" t="s">
        <v>74</v>
      </c>
      <c r="U121" s="16" t="s">
        <v>75</v>
      </c>
      <c r="V121" s="16" t="s">
        <v>1599</v>
      </c>
      <c r="W121" s="16" t="s">
        <v>1600</v>
      </c>
      <c r="X121" s="16" t="s">
        <v>1601</v>
      </c>
      <c r="Y121" s="16" t="s">
        <v>78</v>
      </c>
      <c r="Z121" s="16" t="s">
        <v>666</v>
      </c>
      <c r="AA121" s="16" t="s">
        <v>667</v>
      </c>
      <c r="AB121" s="17" t="s">
        <v>1602</v>
      </c>
      <c r="AC121" s="16" t="s">
        <v>71</v>
      </c>
      <c r="AD121" s="17" t="s">
        <v>1602</v>
      </c>
      <c r="AG121" s="16" t="s">
        <v>1233</v>
      </c>
      <c r="AH121" s="16" t="s">
        <v>1402</v>
      </c>
      <c r="AI121" s="16"/>
      <c r="AJ121" s="16"/>
      <c r="AK121" s="16"/>
      <c r="AL121" s="16"/>
    </row>
    <row r="122" spans="1:38" x14ac:dyDescent="0.5">
      <c r="A122">
        <v>9351</v>
      </c>
      <c r="B122" s="16" t="s">
        <v>1603</v>
      </c>
      <c r="C122" s="16" t="s">
        <v>1603</v>
      </c>
      <c r="D122" s="16" t="s">
        <v>1418</v>
      </c>
      <c r="E122" s="16" t="s">
        <v>1604</v>
      </c>
      <c r="F122" s="17" t="s">
        <v>1605</v>
      </c>
      <c r="H122" s="16" t="s">
        <v>1606</v>
      </c>
      <c r="I122" s="16" t="s">
        <v>1125</v>
      </c>
      <c r="J122" s="33">
        <v>42479</v>
      </c>
      <c r="K122" s="33">
        <v>43465</v>
      </c>
      <c r="L122" s="16" t="s">
        <v>66</v>
      </c>
      <c r="M122" s="16" t="s">
        <v>67</v>
      </c>
      <c r="N122" s="16" t="s">
        <v>68</v>
      </c>
      <c r="O122" s="16" t="s">
        <v>436</v>
      </c>
      <c r="P122" s="16" t="s">
        <v>572</v>
      </c>
      <c r="Q122" s="16" t="s">
        <v>71</v>
      </c>
      <c r="R122" s="17" t="s">
        <v>1607</v>
      </c>
      <c r="S122" s="16" t="s">
        <v>1127</v>
      </c>
      <c r="T122" s="16" t="s">
        <v>74</v>
      </c>
      <c r="U122" s="16" t="s">
        <v>75</v>
      </c>
      <c r="V122" s="16" t="s">
        <v>1608</v>
      </c>
      <c r="W122" s="16"/>
      <c r="X122" s="16" t="s">
        <v>1129</v>
      </c>
      <c r="Y122" s="16" t="s">
        <v>78</v>
      </c>
      <c r="Z122" s="16" t="s">
        <v>189</v>
      </c>
      <c r="AA122" s="16" t="s">
        <v>190</v>
      </c>
      <c r="AB122" s="17" t="s">
        <v>1609</v>
      </c>
      <c r="AC122" s="16" t="s">
        <v>71</v>
      </c>
      <c r="AD122" s="17" t="s">
        <v>1609</v>
      </c>
      <c r="AF122" s="17" t="s">
        <v>1610</v>
      </c>
      <c r="AG122" s="16" t="s">
        <v>1611</v>
      </c>
      <c r="AH122" s="16" t="s">
        <v>1612</v>
      </c>
      <c r="AI122" s="16"/>
      <c r="AJ122" s="16"/>
      <c r="AK122" s="16"/>
      <c r="AL122" s="16" t="s">
        <v>1606</v>
      </c>
    </row>
    <row r="123" spans="1:38" x14ac:dyDescent="0.5">
      <c r="A123">
        <v>9551</v>
      </c>
      <c r="B123" s="16" t="s">
        <v>1613</v>
      </c>
      <c r="C123" s="16" t="s">
        <v>1613</v>
      </c>
      <c r="D123" s="16" t="s">
        <v>261</v>
      </c>
      <c r="E123" s="16" t="s">
        <v>1614</v>
      </c>
      <c r="F123" s="17" t="s">
        <v>1615</v>
      </c>
      <c r="H123" s="16" t="s">
        <v>1616</v>
      </c>
      <c r="I123" s="16" t="s">
        <v>1617</v>
      </c>
      <c r="J123" s="33">
        <v>38219</v>
      </c>
      <c r="K123" s="33">
        <v>43465</v>
      </c>
      <c r="L123" s="16" t="s">
        <v>66</v>
      </c>
      <c r="M123" s="16" t="s">
        <v>167</v>
      </c>
      <c r="N123" s="16" t="s">
        <v>110</v>
      </c>
      <c r="O123" s="16" t="s">
        <v>280</v>
      </c>
      <c r="P123" s="16" t="s">
        <v>70</v>
      </c>
      <c r="Q123" s="16" t="s">
        <v>71</v>
      </c>
      <c r="R123" s="17" t="s">
        <v>1618</v>
      </c>
      <c r="S123" s="16" t="s">
        <v>1619</v>
      </c>
      <c r="T123" s="16" t="s">
        <v>74</v>
      </c>
      <c r="U123" s="16" t="s">
        <v>75</v>
      </c>
      <c r="V123" s="16" t="s">
        <v>1620</v>
      </c>
      <c r="W123" s="16"/>
      <c r="X123" s="16" t="s">
        <v>1621</v>
      </c>
      <c r="Y123" s="16" t="s">
        <v>78</v>
      </c>
      <c r="Z123" s="16" t="s">
        <v>1622</v>
      </c>
      <c r="AA123" s="16" t="s">
        <v>662</v>
      </c>
      <c r="AB123" s="17" t="s">
        <v>1623</v>
      </c>
      <c r="AC123" s="16" t="s">
        <v>71</v>
      </c>
      <c r="AD123" s="17" t="s">
        <v>1623</v>
      </c>
      <c r="AE123" s="17" t="s">
        <v>1624</v>
      </c>
      <c r="AG123" s="16" t="s">
        <v>1625</v>
      </c>
      <c r="AH123" s="16" t="s">
        <v>900</v>
      </c>
      <c r="AI123" s="16" t="s">
        <v>1030</v>
      </c>
      <c r="AJ123" s="16"/>
      <c r="AK123" s="16"/>
      <c r="AL123" s="16" t="s">
        <v>1626</v>
      </c>
    </row>
    <row r="124" spans="1:38" x14ac:dyDescent="0.5">
      <c r="A124">
        <v>9561</v>
      </c>
      <c r="B124" s="16" t="s">
        <v>229</v>
      </c>
      <c r="C124" s="16" t="s">
        <v>229</v>
      </c>
      <c r="D124" s="16" t="s">
        <v>340</v>
      </c>
      <c r="E124" s="16" t="s">
        <v>1627</v>
      </c>
      <c r="F124" s="17" t="s">
        <v>1628</v>
      </c>
      <c r="H124" s="16" t="s">
        <v>1629</v>
      </c>
      <c r="I124" s="16" t="s">
        <v>1630</v>
      </c>
      <c r="J124" s="33">
        <v>38224</v>
      </c>
      <c r="K124" s="33">
        <v>43465</v>
      </c>
      <c r="L124" s="16" t="s">
        <v>66</v>
      </c>
      <c r="M124" s="16" t="s">
        <v>90</v>
      </c>
      <c r="N124" s="16" t="s">
        <v>91</v>
      </c>
      <c r="O124" s="16" t="s">
        <v>91</v>
      </c>
      <c r="P124" s="16" t="s">
        <v>70</v>
      </c>
      <c r="Q124" s="16" t="s">
        <v>71</v>
      </c>
      <c r="R124" s="17" t="s">
        <v>1631</v>
      </c>
      <c r="S124" s="16" t="s">
        <v>1632</v>
      </c>
      <c r="T124" s="16" t="s">
        <v>242</v>
      </c>
      <c r="U124" s="16" t="s">
        <v>1633</v>
      </c>
      <c r="V124" s="16" t="s">
        <v>1634</v>
      </c>
      <c r="W124" s="16"/>
      <c r="X124" s="16" t="s">
        <v>1635</v>
      </c>
      <c r="Y124" s="16" t="s">
        <v>1633</v>
      </c>
      <c r="Z124" s="16"/>
      <c r="AA124" s="16"/>
      <c r="AB124" s="17" t="s">
        <v>1636</v>
      </c>
      <c r="AC124" s="16" t="s">
        <v>71</v>
      </c>
      <c r="AD124" s="17" t="s">
        <v>1636</v>
      </c>
      <c r="AG124" s="16" t="s">
        <v>899</v>
      </c>
      <c r="AH124" s="16" t="s">
        <v>1200</v>
      </c>
      <c r="AI124" s="16" t="s">
        <v>1637</v>
      </c>
      <c r="AJ124" s="16"/>
      <c r="AK124" s="16"/>
      <c r="AL124" s="16" t="s">
        <v>1638</v>
      </c>
    </row>
    <row r="125" spans="1:38" x14ac:dyDescent="0.5">
      <c r="A125">
        <v>9691</v>
      </c>
      <c r="B125" s="16" t="s">
        <v>1639</v>
      </c>
      <c r="C125" s="16" t="s">
        <v>1639</v>
      </c>
      <c r="D125" s="16"/>
      <c r="E125" s="16" t="s">
        <v>1640</v>
      </c>
      <c r="F125" s="17" t="s">
        <v>1641</v>
      </c>
      <c r="H125" s="16" t="s">
        <v>127</v>
      </c>
      <c r="I125" s="16"/>
      <c r="J125" s="33">
        <v>38237</v>
      </c>
      <c r="K125" s="33">
        <v>43465</v>
      </c>
      <c r="L125" s="16" t="s">
        <v>66</v>
      </c>
      <c r="M125" s="16" t="s">
        <v>291</v>
      </c>
      <c r="N125" s="16" t="s">
        <v>127</v>
      </c>
      <c r="O125" s="16" t="s">
        <v>127</v>
      </c>
      <c r="P125" s="16" t="s">
        <v>70</v>
      </c>
      <c r="Q125" s="16" t="s">
        <v>71</v>
      </c>
      <c r="R125" s="17" t="s">
        <v>1642</v>
      </c>
      <c r="S125" s="16" t="s">
        <v>1643</v>
      </c>
      <c r="T125" s="16" t="s">
        <v>74</v>
      </c>
      <c r="U125" s="16" t="s">
        <v>75</v>
      </c>
      <c r="V125" s="16" t="s">
        <v>1644</v>
      </c>
      <c r="W125" s="16"/>
      <c r="X125" s="16" t="s">
        <v>1645</v>
      </c>
      <c r="Y125" s="16" t="s">
        <v>78</v>
      </c>
      <c r="Z125" s="16" t="s">
        <v>1025</v>
      </c>
      <c r="AA125" s="16" t="s">
        <v>1026</v>
      </c>
      <c r="AB125" s="17" t="s">
        <v>1646</v>
      </c>
      <c r="AC125" s="16" t="s">
        <v>71</v>
      </c>
      <c r="AD125" s="17" t="s">
        <v>1646</v>
      </c>
      <c r="AE125" s="17" t="s">
        <v>1647</v>
      </c>
      <c r="AF125" s="17" t="s">
        <v>1646</v>
      </c>
      <c r="AG125" s="16" t="s">
        <v>1572</v>
      </c>
      <c r="AH125" s="16" t="s">
        <v>1003</v>
      </c>
      <c r="AI125" s="16"/>
      <c r="AJ125" s="16"/>
      <c r="AK125" s="16"/>
      <c r="AL125" s="16" t="s">
        <v>1648</v>
      </c>
    </row>
    <row r="126" spans="1:38" x14ac:dyDescent="0.5">
      <c r="A126">
        <v>9771</v>
      </c>
      <c r="B126" s="16" t="s">
        <v>1649</v>
      </c>
      <c r="C126" s="16" t="s">
        <v>1649</v>
      </c>
      <c r="D126" s="16" t="s">
        <v>288</v>
      </c>
      <c r="E126" s="16" t="s">
        <v>1650</v>
      </c>
      <c r="F126" s="17" t="s">
        <v>1651</v>
      </c>
      <c r="H126" s="16" t="s">
        <v>1652</v>
      </c>
      <c r="I126" s="16" t="s">
        <v>1653</v>
      </c>
      <c r="J126" s="33">
        <v>39429</v>
      </c>
      <c r="K126" s="33">
        <v>43465</v>
      </c>
      <c r="L126" s="16" t="s">
        <v>66</v>
      </c>
      <c r="M126" s="16" t="s">
        <v>67</v>
      </c>
      <c r="N126" s="16" t="s">
        <v>68</v>
      </c>
      <c r="O126" s="16" t="s">
        <v>202</v>
      </c>
      <c r="P126" s="16" t="s">
        <v>70</v>
      </c>
      <c r="Q126" s="16" t="s">
        <v>71</v>
      </c>
      <c r="R126" s="17" t="s">
        <v>1654</v>
      </c>
      <c r="S126" s="16" t="s">
        <v>1655</v>
      </c>
      <c r="T126" s="16" t="s">
        <v>74</v>
      </c>
      <c r="U126" s="16" t="s">
        <v>75</v>
      </c>
      <c r="V126" s="16" t="s">
        <v>1656</v>
      </c>
      <c r="W126" s="16"/>
      <c r="X126" s="16" t="s">
        <v>1657</v>
      </c>
      <c r="Y126" s="16" t="s">
        <v>78</v>
      </c>
      <c r="Z126" s="16" t="s">
        <v>1025</v>
      </c>
      <c r="AA126" s="16" t="s">
        <v>1026</v>
      </c>
      <c r="AB126" s="17" t="s">
        <v>1658</v>
      </c>
      <c r="AC126" s="16" t="s">
        <v>71</v>
      </c>
      <c r="AD126" s="17" t="s">
        <v>1658</v>
      </c>
      <c r="AE126" s="17" t="s">
        <v>1659</v>
      </c>
      <c r="AF126" s="17" t="s">
        <v>1660</v>
      </c>
      <c r="AG126" s="16" t="s">
        <v>1357</v>
      </c>
      <c r="AH126" s="16" t="s">
        <v>1147</v>
      </c>
      <c r="AI126" s="16"/>
      <c r="AJ126" s="16"/>
      <c r="AK126" s="16"/>
      <c r="AL126" s="16"/>
    </row>
    <row r="127" spans="1:38" x14ac:dyDescent="0.5">
      <c r="A127">
        <v>9921</v>
      </c>
      <c r="B127" s="16" t="s">
        <v>1661</v>
      </c>
      <c r="C127" s="16" t="s">
        <v>1661</v>
      </c>
      <c r="D127" s="16" t="s">
        <v>1662</v>
      </c>
      <c r="E127" s="16" t="s">
        <v>1663</v>
      </c>
      <c r="F127" s="17" t="s">
        <v>1664</v>
      </c>
      <c r="G127" s="17" t="s">
        <v>1665</v>
      </c>
      <c r="H127" s="16" t="s">
        <v>1666</v>
      </c>
      <c r="I127" s="16" t="s">
        <v>1667</v>
      </c>
      <c r="J127" s="33">
        <v>38321</v>
      </c>
      <c r="K127" s="33">
        <v>43465</v>
      </c>
      <c r="L127" s="16" t="s">
        <v>66</v>
      </c>
      <c r="M127" s="16" t="s">
        <v>67</v>
      </c>
      <c r="N127" s="16" t="s">
        <v>68</v>
      </c>
      <c r="O127" s="16" t="s">
        <v>436</v>
      </c>
      <c r="P127" s="16" t="s">
        <v>70</v>
      </c>
      <c r="Q127" s="16" t="s">
        <v>71</v>
      </c>
      <c r="R127" s="17" t="s">
        <v>1668</v>
      </c>
      <c r="S127" s="16" t="s">
        <v>359</v>
      </c>
      <c r="T127" s="16" t="s">
        <v>74</v>
      </c>
      <c r="U127" s="16" t="s">
        <v>75</v>
      </c>
      <c r="V127" s="16" t="s">
        <v>1669</v>
      </c>
      <c r="W127" s="16"/>
      <c r="X127" s="16" t="s">
        <v>1670</v>
      </c>
      <c r="Y127" s="16" t="s">
        <v>78</v>
      </c>
      <c r="Z127" s="16" t="s">
        <v>242</v>
      </c>
      <c r="AA127" s="16" t="s">
        <v>243</v>
      </c>
      <c r="AB127" s="17" t="s">
        <v>1671</v>
      </c>
      <c r="AC127" s="16" t="s">
        <v>71</v>
      </c>
      <c r="AD127" s="17" t="s">
        <v>1671</v>
      </c>
      <c r="AF127" s="17" t="s">
        <v>1672</v>
      </c>
      <c r="AG127" s="16" t="s">
        <v>1673</v>
      </c>
      <c r="AH127" s="16"/>
      <c r="AI127" s="16"/>
      <c r="AJ127" s="16"/>
      <c r="AK127" s="16"/>
      <c r="AL127" s="16" t="s">
        <v>1674</v>
      </c>
    </row>
    <row r="128" spans="1:38" x14ac:dyDescent="0.5">
      <c r="A128">
        <v>10001</v>
      </c>
      <c r="B128" s="16" t="s">
        <v>1062</v>
      </c>
      <c r="C128" s="16" t="s">
        <v>1062</v>
      </c>
      <c r="D128" s="16" t="s">
        <v>533</v>
      </c>
      <c r="E128" s="16" t="s">
        <v>1675</v>
      </c>
      <c r="F128" s="17" t="s">
        <v>1676</v>
      </c>
      <c r="H128" s="16" t="s">
        <v>1677</v>
      </c>
      <c r="I128" s="16" t="s">
        <v>1678</v>
      </c>
      <c r="J128" s="33">
        <v>38602</v>
      </c>
      <c r="K128" s="33">
        <v>55153</v>
      </c>
      <c r="L128" s="16" t="s">
        <v>66</v>
      </c>
      <c r="M128" s="16" t="s">
        <v>109</v>
      </c>
      <c r="N128" s="16" t="s">
        <v>110</v>
      </c>
      <c r="O128" s="16" t="s">
        <v>280</v>
      </c>
      <c r="P128" s="16" t="s">
        <v>70</v>
      </c>
      <c r="Q128" s="16" t="s">
        <v>71</v>
      </c>
      <c r="R128" s="17" t="s">
        <v>1679</v>
      </c>
      <c r="S128" s="16" t="s">
        <v>936</v>
      </c>
      <c r="T128" s="16" t="s">
        <v>74</v>
      </c>
      <c r="U128" s="16" t="s">
        <v>75</v>
      </c>
      <c r="V128" s="16" t="s">
        <v>1680</v>
      </c>
      <c r="W128" s="16" t="s">
        <v>1681</v>
      </c>
      <c r="X128" s="16" t="s">
        <v>1682</v>
      </c>
      <c r="Y128" s="16" t="s">
        <v>78</v>
      </c>
      <c r="Z128" s="16" t="s">
        <v>242</v>
      </c>
      <c r="AA128" s="16" t="s">
        <v>243</v>
      </c>
      <c r="AB128" s="17" t="s">
        <v>1683</v>
      </c>
      <c r="AC128" s="16" t="s">
        <v>71</v>
      </c>
      <c r="AD128" s="17" t="s">
        <v>1683</v>
      </c>
      <c r="AG128" s="16" t="s">
        <v>1003</v>
      </c>
      <c r="AH128" s="16" t="s">
        <v>579</v>
      </c>
      <c r="AI128" s="16"/>
      <c r="AJ128" s="16"/>
      <c r="AK128" s="16"/>
      <c r="AL128" s="16" t="s">
        <v>1684</v>
      </c>
    </row>
    <row r="129" spans="1:38" x14ac:dyDescent="0.5">
      <c r="A129">
        <v>10171</v>
      </c>
      <c r="B129" s="16" t="s">
        <v>1685</v>
      </c>
      <c r="C129" s="16" t="s">
        <v>1685</v>
      </c>
      <c r="D129" s="16"/>
      <c r="E129" s="16" t="s">
        <v>1686</v>
      </c>
      <c r="F129" s="17" t="s">
        <v>1687</v>
      </c>
      <c r="G129" s="17" t="s">
        <v>1687</v>
      </c>
      <c r="H129" s="16" t="s">
        <v>456</v>
      </c>
      <c r="I129" s="16" t="s">
        <v>8588</v>
      </c>
      <c r="J129" s="33">
        <v>41950</v>
      </c>
      <c r="K129" s="33">
        <v>43465</v>
      </c>
      <c r="L129" s="16" t="s">
        <v>66</v>
      </c>
      <c r="M129" s="16" t="s">
        <v>67</v>
      </c>
      <c r="N129" s="16" t="s">
        <v>68</v>
      </c>
      <c r="O129" s="16" t="s">
        <v>436</v>
      </c>
      <c r="P129" s="16" t="s">
        <v>572</v>
      </c>
      <c r="Q129" s="16" t="s">
        <v>71</v>
      </c>
      <c r="R129" s="17" t="s">
        <v>1688</v>
      </c>
      <c r="S129" s="16" t="s">
        <v>1689</v>
      </c>
      <c r="T129" s="16" t="s">
        <v>74</v>
      </c>
      <c r="U129" s="16" t="s">
        <v>75</v>
      </c>
      <c r="V129" s="16" t="s">
        <v>1690</v>
      </c>
      <c r="W129" s="16"/>
      <c r="X129" s="16" t="s">
        <v>1691</v>
      </c>
      <c r="Y129" s="16" t="s">
        <v>78</v>
      </c>
      <c r="Z129" s="16" t="s">
        <v>296</v>
      </c>
      <c r="AA129" s="16" t="s">
        <v>297</v>
      </c>
      <c r="AB129" s="17" t="s">
        <v>1692</v>
      </c>
      <c r="AC129" s="16" t="s">
        <v>71</v>
      </c>
      <c r="AD129" s="17" t="s">
        <v>1692</v>
      </c>
      <c r="AF129" s="17" t="s">
        <v>1692</v>
      </c>
      <c r="AG129" s="16" t="s">
        <v>1003</v>
      </c>
      <c r="AH129" s="16" t="s">
        <v>1693</v>
      </c>
      <c r="AI129" s="16"/>
      <c r="AJ129" s="16"/>
      <c r="AK129" s="16"/>
      <c r="AL129" s="16" t="s">
        <v>1694</v>
      </c>
    </row>
    <row r="130" spans="1:38" x14ac:dyDescent="0.5">
      <c r="A130">
        <v>10201</v>
      </c>
      <c r="B130" s="16" t="s">
        <v>1442</v>
      </c>
      <c r="C130" s="16" t="s">
        <v>1442</v>
      </c>
      <c r="D130" s="16" t="s">
        <v>581</v>
      </c>
      <c r="E130" s="16" t="s">
        <v>1695</v>
      </c>
      <c r="F130" s="17" t="s">
        <v>1696</v>
      </c>
      <c r="G130" s="17" t="s">
        <v>1697</v>
      </c>
      <c r="H130" s="16" t="s">
        <v>1698</v>
      </c>
      <c r="I130" s="16" t="s">
        <v>1699</v>
      </c>
      <c r="J130" s="33">
        <v>38358</v>
      </c>
      <c r="K130" s="33">
        <v>43465</v>
      </c>
      <c r="L130" s="16" t="s">
        <v>66</v>
      </c>
      <c r="M130" s="16" t="s">
        <v>67</v>
      </c>
      <c r="N130" s="16" t="s">
        <v>68</v>
      </c>
      <c r="O130" s="16" t="s">
        <v>436</v>
      </c>
      <c r="P130" s="16" t="s">
        <v>70</v>
      </c>
      <c r="Q130" s="16" t="s">
        <v>71</v>
      </c>
      <c r="R130" s="17" t="s">
        <v>1700</v>
      </c>
      <c r="S130" s="16" t="s">
        <v>1701</v>
      </c>
      <c r="T130" s="16" t="s">
        <v>74</v>
      </c>
      <c r="U130" s="16" t="s">
        <v>75</v>
      </c>
      <c r="V130" s="16" t="s">
        <v>1702</v>
      </c>
      <c r="W130" s="16"/>
      <c r="X130" s="16" t="s">
        <v>1703</v>
      </c>
      <c r="Y130" s="16" t="s">
        <v>78</v>
      </c>
      <c r="Z130" s="16" t="s">
        <v>242</v>
      </c>
      <c r="AA130" s="16" t="s">
        <v>243</v>
      </c>
      <c r="AB130" s="17" t="s">
        <v>1704</v>
      </c>
      <c r="AC130" s="16" t="s">
        <v>71</v>
      </c>
      <c r="AD130" s="17" t="s">
        <v>1704</v>
      </c>
      <c r="AE130" s="17" t="s">
        <v>1705</v>
      </c>
      <c r="AG130" s="16"/>
      <c r="AH130" s="16"/>
      <c r="AI130" s="16"/>
      <c r="AJ130" s="16"/>
      <c r="AK130" s="16"/>
      <c r="AL130" s="16" t="s">
        <v>1706</v>
      </c>
    </row>
    <row r="131" spans="1:38" x14ac:dyDescent="0.5">
      <c r="A131">
        <v>10521</v>
      </c>
      <c r="B131" s="16" t="s">
        <v>1707</v>
      </c>
      <c r="C131" s="16" t="s">
        <v>1707</v>
      </c>
      <c r="D131" s="16"/>
      <c r="E131" s="16" t="s">
        <v>1708</v>
      </c>
      <c r="F131" s="17" t="s">
        <v>1709</v>
      </c>
      <c r="G131" s="17" t="s">
        <v>1710</v>
      </c>
      <c r="H131" s="16" t="s">
        <v>1711</v>
      </c>
      <c r="I131" s="16" t="s">
        <v>1712</v>
      </c>
      <c r="J131" s="33">
        <v>41874</v>
      </c>
      <c r="K131" s="33">
        <v>43465</v>
      </c>
      <c r="L131" s="16" t="s">
        <v>66</v>
      </c>
      <c r="M131" s="16" t="s">
        <v>90</v>
      </c>
      <c r="N131" s="16" t="s">
        <v>91</v>
      </c>
      <c r="O131" s="16" t="s">
        <v>91</v>
      </c>
      <c r="P131" s="16" t="s">
        <v>572</v>
      </c>
      <c r="Q131" s="16" t="s">
        <v>71</v>
      </c>
      <c r="R131" s="17" t="s">
        <v>1713</v>
      </c>
      <c r="S131" s="16" t="s">
        <v>1714</v>
      </c>
      <c r="T131" s="16" t="s">
        <v>74</v>
      </c>
      <c r="U131" s="16" t="s">
        <v>75</v>
      </c>
      <c r="V131" s="16" t="s">
        <v>1715</v>
      </c>
      <c r="W131" s="16" t="s">
        <v>1716</v>
      </c>
      <c r="X131" s="16" t="s">
        <v>1717</v>
      </c>
      <c r="Y131" s="16" t="s">
        <v>78</v>
      </c>
      <c r="Z131" s="16" t="s">
        <v>635</v>
      </c>
      <c r="AA131" s="16" t="s">
        <v>636</v>
      </c>
      <c r="AB131" s="17" t="s">
        <v>1718</v>
      </c>
      <c r="AC131" s="16" t="s">
        <v>71</v>
      </c>
      <c r="AD131" s="17" t="s">
        <v>1718</v>
      </c>
      <c r="AE131" s="17" t="s">
        <v>1719</v>
      </c>
      <c r="AF131" s="17" t="s">
        <v>1719</v>
      </c>
      <c r="AG131" s="16" t="s">
        <v>1720</v>
      </c>
      <c r="AH131" s="16" t="s">
        <v>1003</v>
      </c>
      <c r="AI131" s="16"/>
      <c r="AJ131" s="16"/>
      <c r="AK131" s="16"/>
      <c r="AL131" s="16" t="s">
        <v>1721</v>
      </c>
    </row>
    <row r="132" spans="1:38" x14ac:dyDescent="0.5">
      <c r="A132">
        <v>10531</v>
      </c>
      <c r="B132" s="16" t="s">
        <v>382</v>
      </c>
      <c r="C132" s="16" t="s">
        <v>382</v>
      </c>
      <c r="D132" s="16" t="s">
        <v>533</v>
      </c>
      <c r="E132" s="16" t="s">
        <v>1722</v>
      </c>
      <c r="F132" s="17" t="s">
        <v>1723</v>
      </c>
      <c r="G132" s="17" t="s">
        <v>1724</v>
      </c>
      <c r="H132" s="16" t="s">
        <v>456</v>
      </c>
      <c r="I132" s="16" t="s">
        <v>1725</v>
      </c>
      <c r="J132" s="33">
        <v>42402</v>
      </c>
      <c r="K132" s="33">
        <v>43465</v>
      </c>
      <c r="L132" s="16" t="s">
        <v>66</v>
      </c>
      <c r="M132" s="16" t="s">
        <v>235</v>
      </c>
      <c r="N132" s="16" t="s">
        <v>236</v>
      </c>
      <c r="O132" s="16" t="s">
        <v>237</v>
      </c>
      <c r="P132" s="16" t="s">
        <v>572</v>
      </c>
      <c r="Q132" s="16" t="s">
        <v>71</v>
      </c>
      <c r="R132" s="17" t="s">
        <v>1726</v>
      </c>
      <c r="S132" s="16" t="s">
        <v>662</v>
      </c>
      <c r="T132" s="16" t="s">
        <v>74</v>
      </c>
      <c r="U132" s="16" t="s">
        <v>75</v>
      </c>
      <c r="V132" s="16" t="s">
        <v>1727</v>
      </c>
      <c r="W132" s="16"/>
      <c r="X132" s="16" t="s">
        <v>1728</v>
      </c>
      <c r="Y132" s="16" t="s">
        <v>78</v>
      </c>
      <c r="Z132" s="16" t="s">
        <v>666</v>
      </c>
      <c r="AA132" s="16" t="s">
        <v>667</v>
      </c>
      <c r="AB132" s="17" t="s">
        <v>1729</v>
      </c>
      <c r="AC132" s="16" t="s">
        <v>71</v>
      </c>
      <c r="AD132" s="17" t="s">
        <v>1729</v>
      </c>
      <c r="AF132" s="17" t="s">
        <v>1730</v>
      </c>
      <c r="AG132" s="16" t="s">
        <v>780</v>
      </c>
      <c r="AH132" s="16" t="s">
        <v>1731</v>
      </c>
      <c r="AI132" s="16"/>
      <c r="AJ132" s="16"/>
      <c r="AK132" s="16"/>
      <c r="AL132" s="16"/>
    </row>
    <row r="133" spans="1:38" x14ac:dyDescent="0.5">
      <c r="A133">
        <v>10611</v>
      </c>
      <c r="B133" s="16" t="s">
        <v>1613</v>
      </c>
      <c r="C133" s="16" t="s">
        <v>1613</v>
      </c>
      <c r="D133" s="16"/>
      <c r="E133" s="16" t="s">
        <v>1732</v>
      </c>
      <c r="F133" s="17" t="s">
        <v>1733</v>
      </c>
      <c r="H133" s="16" t="s">
        <v>1734</v>
      </c>
      <c r="I133" s="16" t="s">
        <v>1735</v>
      </c>
      <c r="J133" s="33">
        <v>41103</v>
      </c>
      <c r="K133" s="33">
        <v>43465</v>
      </c>
      <c r="L133" s="16" t="s">
        <v>66</v>
      </c>
      <c r="M133" s="16" t="s">
        <v>67</v>
      </c>
      <c r="N133" s="16" t="s">
        <v>68</v>
      </c>
      <c r="O133" s="16" t="s">
        <v>436</v>
      </c>
      <c r="P133" s="16" t="s">
        <v>572</v>
      </c>
      <c r="Q133" s="16" t="s">
        <v>71</v>
      </c>
      <c r="R133" s="17" t="s">
        <v>1736</v>
      </c>
      <c r="S133" s="16" t="s">
        <v>1737</v>
      </c>
      <c r="T133" s="16" t="s">
        <v>74</v>
      </c>
      <c r="U133" s="16" t="s">
        <v>75</v>
      </c>
      <c r="V133" s="16" t="s">
        <v>1738</v>
      </c>
      <c r="W133" s="16"/>
      <c r="X133" s="16" t="s">
        <v>1739</v>
      </c>
      <c r="Y133" s="16" t="s">
        <v>78</v>
      </c>
      <c r="Z133" s="16" t="s">
        <v>1025</v>
      </c>
      <c r="AA133" s="16" t="s">
        <v>1026</v>
      </c>
      <c r="AB133" s="17" t="s">
        <v>1740</v>
      </c>
      <c r="AC133" s="16" t="s">
        <v>71</v>
      </c>
      <c r="AD133" s="17" t="s">
        <v>1740</v>
      </c>
      <c r="AG133" s="16" t="s">
        <v>1116</v>
      </c>
      <c r="AH133" s="16"/>
      <c r="AI133" s="16"/>
      <c r="AJ133" s="16"/>
      <c r="AK133" s="16"/>
      <c r="AL133" s="16" t="s">
        <v>1741</v>
      </c>
    </row>
    <row r="134" spans="1:38" x14ac:dyDescent="0.5">
      <c r="A134">
        <v>10841</v>
      </c>
      <c r="B134" s="16" t="s">
        <v>1639</v>
      </c>
      <c r="C134" s="16" t="s">
        <v>1639</v>
      </c>
      <c r="D134" s="16"/>
      <c r="E134" s="16" t="s">
        <v>1742</v>
      </c>
      <c r="F134" s="17" t="s">
        <v>1743</v>
      </c>
      <c r="G134" s="17" t="s">
        <v>1744</v>
      </c>
      <c r="H134" s="16" t="s">
        <v>993</v>
      </c>
      <c r="I134" s="16" t="s">
        <v>1745</v>
      </c>
      <c r="J134" s="33">
        <v>39987</v>
      </c>
      <c r="K134" s="33">
        <v>43465</v>
      </c>
      <c r="L134" s="16" t="s">
        <v>66</v>
      </c>
      <c r="M134" s="16" t="s">
        <v>90</v>
      </c>
      <c r="N134" s="16" t="s">
        <v>91</v>
      </c>
      <c r="O134" s="16" t="s">
        <v>91</v>
      </c>
      <c r="P134" s="16" t="s">
        <v>70</v>
      </c>
      <c r="Q134" s="16" t="s">
        <v>71</v>
      </c>
      <c r="R134" s="17" t="s">
        <v>1746</v>
      </c>
      <c r="S134" s="16" t="s">
        <v>1747</v>
      </c>
      <c r="T134" s="16" t="s">
        <v>242</v>
      </c>
      <c r="U134" s="16" t="s">
        <v>1633</v>
      </c>
      <c r="V134" s="16" t="s">
        <v>1748</v>
      </c>
      <c r="W134" s="16"/>
      <c r="X134" s="16" t="s">
        <v>1749</v>
      </c>
      <c r="Y134" s="16" t="s">
        <v>1633</v>
      </c>
      <c r="Z134" s="16" t="s">
        <v>1750</v>
      </c>
      <c r="AA134" s="16" t="s">
        <v>1751</v>
      </c>
      <c r="AB134" s="17" t="s">
        <v>1752</v>
      </c>
      <c r="AC134" s="16" t="s">
        <v>71</v>
      </c>
      <c r="AD134" s="17" t="s">
        <v>1752</v>
      </c>
      <c r="AE134" s="17" t="s">
        <v>1753</v>
      </c>
      <c r="AF134" s="17" t="s">
        <v>1752</v>
      </c>
      <c r="AG134" s="16" t="s">
        <v>1345</v>
      </c>
      <c r="AH134" s="16" t="s">
        <v>1754</v>
      </c>
      <c r="AI134" s="16"/>
      <c r="AJ134" s="16"/>
      <c r="AK134" s="16"/>
      <c r="AL134" s="16" t="s">
        <v>1755</v>
      </c>
    </row>
    <row r="135" spans="1:38" x14ac:dyDescent="0.5">
      <c r="A135">
        <v>10851</v>
      </c>
      <c r="B135" s="16" t="s">
        <v>1756</v>
      </c>
      <c r="C135" s="16" t="s">
        <v>1756</v>
      </c>
      <c r="D135" s="16"/>
      <c r="E135" s="16" t="s">
        <v>1757</v>
      </c>
      <c r="F135" s="17" t="s">
        <v>1758</v>
      </c>
      <c r="H135" s="16" t="s">
        <v>1759</v>
      </c>
      <c r="I135" s="16" t="s">
        <v>1760</v>
      </c>
      <c r="J135" s="33">
        <v>40788</v>
      </c>
      <c r="K135" s="33">
        <v>43465</v>
      </c>
      <c r="L135" s="16" t="s">
        <v>66</v>
      </c>
      <c r="M135" s="16" t="s">
        <v>67</v>
      </c>
      <c r="N135" s="16" t="s">
        <v>68</v>
      </c>
      <c r="O135" s="16" t="s">
        <v>436</v>
      </c>
      <c r="P135" s="16" t="s">
        <v>572</v>
      </c>
      <c r="Q135" s="16" t="s">
        <v>71</v>
      </c>
      <c r="R135" s="17" t="s">
        <v>1761</v>
      </c>
      <c r="S135" s="16" t="s">
        <v>764</v>
      </c>
      <c r="T135" s="16" t="s">
        <v>74</v>
      </c>
      <c r="U135" s="16" t="s">
        <v>75</v>
      </c>
      <c r="V135" s="16" t="s">
        <v>1762</v>
      </c>
      <c r="W135" s="16"/>
      <c r="X135" s="16" t="s">
        <v>766</v>
      </c>
      <c r="Y135" s="16" t="s">
        <v>78</v>
      </c>
      <c r="Z135" s="16" t="s">
        <v>189</v>
      </c>
      <c r="AA135" s="16" t="s">
        <v>190</v>
      </c>
      <c r="AB135" s="17" t="s">
        <v>1763</v>
      </c>
      <c r="AC135" s="16" t="s">
        <v>71</v>
      </c>
      <c r="AD135" s="17" t="s">
        <v>1763</v>
      </c>
      <c r="AG135" s="16" t="s">
        <v>1572</v>
      </c>
      <c r="AH135" s="16" t="s">
        <v>1764</v>
      </c>
      <c r="AI135" s="16"/>
      <c r="AJ135" s="16"/>
      <c r="AK135" s="16"/>
      <c r="AL135" s="16" t="s">
        <v>1765</v>
      </c>
    </row>
    <row r="136" spans="1:38" x14ac:dyDescent="0.5">
      <c r="A136">
        <v>11301</v>
      </c>
      <c r="B136" s="16" t="s">
        <v>1766</v>
      </c>
      <c r="C136" s="16" t="s">
        <v>1766</v>
      </c>
      <c r="D136" s="16"/>
      <c r="E136" s="16" t="s">
        <v>1767</v>
      </c>
      <c r="F136" s="17" t="s">
        <v>1768</v>
      </c>
      <c r="H136" s="16" t="s">
        <v>1769</v>
      </c>
      <c r="I136" s="16" t="s">
        <v>8589</v>
      </c>
      <c r="J136" s="33">
        <v>38434</v>
      </c>
      <c r="K136" s="33">
        <v>43465</v>
      </c>
      <c r="L136" s="16" t="s">
        <v>66</v>
      </c>
      <c r="M136" s="16" t="s">
        <v>67</v>
      </c>
      <c r="N136" s="16" t="s">
        <v>68</v>
      </c>
      <c r="O136" s="16" t="s">
        <v>436</v>
      </c>
      <c r="P136" s="16" t="s">
        <v>70</v>
      </c>
      <c r="Q136" s="16" t="s">
        <v>71</v>
      </c>
      <c r="R136" s="17" t="s">
        <v>1770</v>
      </c>
      <c r="S136" s="16" t="s">
        <v>1771</v>
      </c>
      <c r="T136" s="16" t="s">
        <v>74</v>
      </c>
      <c r="U136" s="16" t="s">
        <v>75</v>
      </c>
      <c r="V136" s="16" t="s">
        <v>1772</v>
      </c>
      <c r="W136" s="16"/>
      <c r="X136" s="16" t="s">
        <v>1773</v>
      </c>
      <c r="Y136" s="16" t="s">
        <v>78</v>
      </c>
      <c r="Z136" s="16" t="s">
        <v>1025</v>
      </c>
      <c r="AA136" s="16" t="s">
        <v>1026</v>
      </c>
      <c r="AB136" s="17" t="s">
        <v>1774</v>
      </c>
      <c r="AC136" s="16" t="s">
        <v>71</v>
      </c>
      <c r="AD136" s="17" t="s">
        <v>1774</v>
      </c>
      <c r="AE136" s="17" t="s">
        <v>1774</v>
      </c>
      <c r="AF136" s="17" t="s">
        <v>1775</v>
      </c>
      <c r="AG136" s="16"/>
      <c r="AH136" s="16"/>
      <c r="AI136" s="16"/>
      <c r="AJ136" s="16"/>
      <c r="AK136" s="16"/>
      <c r="AL136" s="16" t="s">
        <v>1776</v>
      </c>
    </row>
    <row r="137" spans="1:38" x14ac:dyDescent="0.5">
      <c r="A137">
        <v>11461</v>
      </c>
      <c r="B137" s="16" t="s">
        <v>1777</v>
      </c>
      <c r="C137" s="16" t="s">
        <v>1777</v>
      </c>
      <c r="D137" s="16"/>
      <c r="E137" s="16" t="s">
        <v>1778</v>
      </c>
      <c r="F137" s="17" t="s">
        <v>1779</v>
      </c>
      <c r="H137" s="16" t="s">
        <v>343</v>
      </c>
      <c r="I137" s="16" t="s">
        <v>265</v>
      </c>
      <c r="J137" s="33">
        <v>41151</v>
      </c>
      <c r="K137" s="33">
        <v>43465</v>
      </c>
      <c r="L137" s="16" t="s">
        <v>66</v>
      </c>
      <c r="M137" s="16" t="s">
        <v>167</v>
      </c>
      <c r="N137" s="16" t="s">
        <v>110</v>
      </c>
      <c r="O137" s="16" t="s">
        <v>111</v>
      </c>
      <c r="P137" s="16" t="s">
        <v>572</v>
      </c>
      <c r="Q137" s="16" t="s">
        <v>71</v>
      </c>
      <c r="R137" s="17" t="s">
        <v>1780</v>
      </c>
      <c r="S137" s="16" t="s">
        <v>113</v>
      </c>
      <c r="T137" s="16" t="s">
        <v>74</v>
      </c>
      <c r="U137" s="16" t="s">
        <v>75</v>
      </c>
      <c r="V137" s="16" t="s">
        <v>1781</v>
      </c>
      <c r="W137" s="16"/>
      <c r="X137" s="16" t="s">
        <v>1449</v>
      </c>
      <c r="Y137" s="16" t="s">
        <v>78</v>
      </c>
      <c r="Z137" s="16" t="s">
        <v>117</v>
      </c>
      <c r="AA137" s="16" t="s">
        <v>113</v>
      </c>
      <c r="AB137" s="17" t="s">
        <v>1782</v>
      </c>
      <c r="AC137" s="16" t="s">
        <v>71</v>
      </c>
      <c r="AD137" s="17" t="s">
        <v>1782</v>
      </c>
      <c r="AE137" s="17" t="s">
        <v>1783</v>
      </c>
      <c r="AG137" s="16" t="s">
        <v>1784</v>
      </c>
      <c r="AH137" s="16" t="s">
        <v>1785</v>
      </c>
      <c r="AI137" s="16"/>
      <c r="AJ137" s="16"/>
      <c r="AK137" s="16"/>
      <c r="AL137" s="16" t="s">
        <v>1786</v>
      </c>
    </row>
    <row r="138" spans="1:38" x14ac:dyDescent="0.5">
      <c r="A138">
        <v>11481</v>
      </c>
      <c r="B138" s="16" t="s">
        <v>1787</v>
      </c>
      <c r="C138" s="16" t="s">
        <v>1788</v>
      </c>
      <c r="D138" s="16"/>
      <c r="E138" s="16" t="s">
        <v>1789</v>
      </c>
      <c r="F138" s="17" t="s">
        <v>1790</v>
      </c>
      <c r="H138" s="16" t="s">
        <v>317</v>
      </c>
      <c r="I138" s="16" t="s">
        <v>1791</v>
      </c>
      <c r="J138" s="33">
        <v>42249</v>
      </c>
      <c r="K138" s="33">
        <v>43465</v>
      </c>
      <c r="L138" s="16" t="s">
        <v>66</v>
      </c>
      <c r="M138" s="16" t="s">
        <v>167</v>
      </c>
      <c r="N138" s="16" t="s">
        <v>110</v>
      </c>
      <c r="O138" s="16" t="s">
        <v>111</v>
      </c>
      <c r="P138" s="16" t="s">
        <v>1792</v>
      </c>
      <c r="Q138" s="16" t="s">
        <v>71</v>
      </c>
      <c r="R138" s="17" t="s">
        <v>1793</v>
      </c>
      <c r="S138" s="16" t="s">
        <v>113</v>
      </c>
      <c r="T138" s="16" t="s">
        <v>74</v>
      </c>
      <c r="U138" s="16" t="s">
        <v>75</v>
      </c>
      <c r="V138" s="16" t="s">
        <v>1794</v>
      </c>
      <c r="W138" s="16"/>
      <c r="X138" s="16" t="s">
        <v>1795</v>
      </c>
      <c r="Y138" s="16" t="s">
        <v>78</v>
      </c>
      <c r="Z138" s="16" t="s">
        <v>117</v>
      </c>
      <c r="AA138" s="16" t="s">
        <v>113</v>
      </c>
      <c r="AB138" s="17" t="s">
        <v>1796</v>
      </c>
      <c r="AC138" s="16" t="s">
        <v>71</v>
      </c>
      <c r="AD138" s="17" t="s">
        <v>1796</v>
      </c>
      <c r="AF138" s="17" t="s">
        <v>1797</v>
      </c>
      <c r="AG138" s="16" t="s">
        <v>1611</v>
      </c>
      <c r="AH138" s="16" t="s">
        <v>1798</v>
      </c>
      <c r="AI138" s="16"/>
      <c r="AJ138" s="16"/>
      <c r="AK138" s="16"/>
      <c r="AL138" s="16" t="s">
        <v>1799</v>
      </c>
    </row>
    <row r="139" spans="1:38" x14ac:dyDescent="0.5">
      <c r="A139">
        <v>11751</v>
      </c>
      <c r="B139" s="16" t="s">
        <v>1135</v>
      </c>
      <c r="C139" s="16" t="s">
        <v>1135</v>
      </c>
      <c r="D139" s="16"/>
      <c r="E139" s="16" t="s">
        <v>1800</v>
      </c>
      <c r="F139" s="17" t="s">
        <v>1801</v>
      </c>
      <c r="G139" s="17" t="s">
        <v>1802</v>
      </c>
      <c r="H139" s="16" t="s">
        <v>1803</v>
      </c>
      <c r="I139" s="16" t="s">
        <v>1804</v>
      </c>
      <c r="J139" s="33">
        <v>38488</v>
      </c>
      <c r="K139" s="33">
        <v>43465</v>
      </c>
      <c r="L139" s="16" t="s">
        <v>66</v>
      </c>
      <c r="M139" s="16" t="s">
        <v>67</v>
      </c>
      <c r="N139" s="16" t="s">
        <v>68</v>
      </c>
      <c r="O139" s="16" t="s">
        <v>436</v>
      </c>
      <c r="P139" s="16" t="s">
        <v>70</v>
      </c>
      <c r="Q139" s="16" t="s">
        <v>71</v>
      </c>
      <c r="R139" s="17" t="s">
        <v>1805</v>
      </c>
      <c r="S139" s="16" t="s">
        <v>1806</v>
      </c>
      <c r="T139" s="16" t="s">
        <v>74</v>
      </c>
      <c r="U139" s="16" t="s">
        <v>75</v>
      </c>
      <c r="V139" s="16" t="s">
        <v>1807</v>
      </c>
      <c r="W139" s="16"/>
      <c r="X139" s="16" t="s">
        <v>1808</v>
      </c>
      <c r="Y139" s="16" t="s">
        <v>78</v>
      </c>
      <c r="Z139" s="16" t="s">
        <v>963</v>
      </c>
      <c r="AA139" s="16" t="s">
        <v>964</v>
      </c>
      <c r="AB139" s="17" t="s">
        <v>1809</v>
      </c>
      <c r="AC139" s="16" t="s">
        <v>71</v>
      </c>
      <c r="AD139" s="17" t="s">
        <v>1809</v>
      </c>
      <c r="AE139" s="17" t="s">
        <v>1810</v>
      </c>
      <c r="AF139" s="17" t="s">
        <v>1811</v>
      </c>
      <c r="AG139" s="16" t="s">
        <v>1572</v>
      </c>
      <c r="AH139" s="16" t="s">
        <v>1030</v>
      </c>
      <c r="AI139" s="16"/>
      <c r="AJ139" s="16"/>
      <c r="AK139" s="16"/>
      <c r="AL139" s="16" t="s">
        <v>1812</v>
      </c>
    </row>
    <row r="140" spans="1:38" x14ac:dyDescent="0.5">
      <c r="A140">
        <v>11761</v>
      </c>
      <c r="B140" s="16" t="s">
        <v>1813</v>
      </c>
      <c r="C140" s="16" t="s">
        <v>1814</v>
      </c>
      <c r="D140" s="16"/>
      <c r="E140" s="16" t="s">
        <v>1815</v>
      </c>
      <c r="F140" s="17" t="s">
        <v>1816</v>
      </c>
      <c r="H140" s="16" t="s">
        <v>1817</v>
      </c>
      <c r="I140" s="16" t="s">
        <v>1818</v>
      </c>
      <c r="J140" s="33">
        <v>38488</v>
      </c>
      <c r="K140" s="33">
        <v>43465</v>
      </c>
      <c r="L140" s="16" t="s">
        <v>66</v>
      </c>
      <c r="M140" s="16" t="s">
        <v>67</v>
      </c>
      <c r="N140" s="16" t="s">
        <v>68</v>
      </c>
      <c r="O140" s="16" t="s">
        <v>202</v>
      </c>
      <c r="P140" s="16" t="s">
        <v>70</v>
      </c>
      <c r="Q140" s="16" t="s">
        <v>71</v>
      </c>
      <c r="R140" s="17" t="s">
        <v>1819</v>
      </c>
      <c r="S140" s="16" t="s">
        <v>1820</v>
      </c>
      <c r="T140" s="16" t="s">
        <v>74</v>
      </c>
      <c r="U140" s="16" t="s">
        <v>75</v>
      </c>
      <c r="V140" s="16" t="s">
        <v>1821</v>
      </c>
      <c r="W140" s="16" t="s">
        <v>1822</v>
      </c>
      <c r="X140" s="16" t="s">
        <v>1823</v>
      </c>
      <c r="Y140" s="16" t="s">
        <v>78</v>
      </c>
      <c r="Z140" s="16" t="s">
        <v>189</v>
      </c>
      <c r="AA140" s="16" t="s">
        <v>190</v>
      </c>
      <c r="AB140" s="17" t="s">
        <v>1824</v>
      </c>
      <c r="AC140" s="16" t="s">
        <v>71</v>
      </c>
      <c r="AD140" s="17" t="s">
        <v>1824</v>
      </c>
      <c r="AE140" s="17" t="s">
        <v>1825</v>
      </c>
      <c r="AF140" s="17" t="s">
        <v>1826</v>
      </c>
      <c r="AG140" s="16" t="s">
        <v>1076</v>
      </c>
      <c r="AH140" s="16" t="s">
        <v>1017</v>
      </c>
      <c r="AI140" s="16"/>
      <c r="AJ140" s="16"/>
      <c r="AK140" s="16"/>
      <c r="AL140" s="16" t="s">
        <v>1827</v>
      </c>
    </row>
    <row r="141" spans="1:38" x14ac:dyDescent="0.5">
      <c r="A141">
        <v>11801</v>
      </c>
      <c r="B141" s="16" t="s">
        <v>1828</v>
      </c>
      <c r="C141" s="16" t="s">
        <v>1828</v>
      </c>
      <c r="D141" s="16" t="s">
        <v>196</v>
      </c>
      <c r="E141" s="16" t="s">
        <v>1829</v>
      </c>
      <c r="F141" s="17" t="s">
        <v>1830</v>
      </c>
      <c r="G141" s="17" t="s">
        <v>1831</v>
      </c>
      <c r="H141" s="16" t="s">
        <v>1832</v>
      </c>
      <c r="I141" s="16" t="s">
        <v>1833</v>
      </c>
      <c r="J141" s="33">
        <v>38538</v>
      </c>
      <c r="K141" s="33">
        <v>43465</v>
      </c>
      <c r="L141" s="16" t="s">
        <v>66</v>
      </c>
      <c r="M141" s="16" t="s">
        <v>67</v>
      </c>
      <c r="N141" s="16" t="s">
        <v>68</v>
      </c>
      <c r="O141" s="16" t="s">
        <v>220</v>
      </c>
      <c r="P141" s="16" t="s">
        <v>70</v>
      </c>
      <c r="Q141" s="16" t="s">
        <v>71</v>
      </c>
      <c r="R141" s="17" t="s">
        <v>1834</v>
      </c>
      <c r="S141" s="16" t="s">
        <v>1835</v>
      </c>
      <c r="T141" s="16" t="s">
        <v>74</v>
      </c>
      <c r="U141" s="16" t="s">
        <v>75</v>
      </c>
      <c r="V141" s="16" t="s">
        <v>1836</v>
      </c>
      <c r="W141" s="16"/>
      <c r="X141" s="16" t="s">
        <v>1837</v>
      </c>
      <c r="Y141" s="16" t="s">
        <v>78</v>
      </c>
      <c r="Z141" s="16" t="s">
        <v>117</v>
      </c>
      <c r="AA141" s="16" t="s">
        <v>113</v>
      </c>
      <c r="AB141" s="17" t="s">
        <v>1838</v>
      </c>
      <c r="AC141" s="16" t="s">
        <v>71</v>
      </c>
      <c r="AD141" s="17" t="s">
        <v>1838</v>
      </c>
      <c r="AE141" s="17" t="s">
        <v>1839</v>
      </c>
      <c r="AG141" s="16" t="s">
        <v>1076</v>
      </c>
      <c r="AH141" s="16" t="s">
        <v>1840</v>
      </c>
      <c r="AI141" s="16"/>
      <c r="AJ141" s="16"/>
      <c r="AK141" s="16"/>
      <c r="AL141" s="16" t="s">
        <v>1841</v>
      </c>
    </row>
    <row r="142" spans="1:38" x14ac:dyDescent="0.5">
      <c r="A142">
        <v>11831</v>
      </c>
      <c r="B142" s="16" t="s">
        <v>1842</v>
      </c>
      <c r="C142" s="16" t="s">
        <v>944</v>
      </c>
      <c r="D142" s="16" t="s">
        <v>302</v>
      </c>
      <c r="E142" s="16" t="s">
        <v>795</v>
      </c>
      <c r="F142" s="17" t="s">
        <v>1843</v>
      </c>
      <c r="H142" s="16" t="s">
        <v>127</v>
      </c>
      <c r="I142" s="16"/>
      <c r="J142" s="33">
        <v>38546</v>
      </c>
      <c r="K142" s="33">
        <v>43465</v>
      </c>
      <c r="L142" s="16" t="s">
        <v>66</v>
      </c>
      <c r="M142" s="16" t="s">
        <v>291</v>
      </c>
      <c r="N142" s="16" t="s">
        <v>127</v>
      </c>
      <c r="O142" s="16" t="s">
        <v>127</v>
      </c>
      <c r="P142" s="16" t="s">
        <v>70</v>
      </c>
      <c r="Q142" s="16" t="s">
        <v>71</v>
      </c>
      <c r="R142" s="17" t="s">
        <v>1844</v>
      </c>
      <c r="S142" s="16" t="s">
        <v>1845</v>
      </c>
      <c r="T142" s="16" t="s">
        <v>74</v>
      </c>
      <c r="U142" s="16" t="s">
        <v>75</v>
      </c>
      <c r="V142" s="16" t="s">
        <v>1846</v>
      </c>
      <c r="W142" s="16"/>
      <c r="X142" s="16" t="s">
        <v>1847</v>
      </c>
      <c r="Y142" s="16" t="s">
        <v>78</v>
      </c>
      <c r="Z142" s="16" t="s">
        <v>1025</v>
      </c>
      <c r="AA142" s="16" t="s">
        <v>1026</v>
      </c>
      <c r="AB142" s="17" t="s">
        <v>1848</v>
      </c>
      <c r="AC142" s="16" t="s">
        <v>71</v>
      </c>
      <c r="AD142" s="17" t="s">
        <v>1848</v>
      </c>
      <c r="AE142" s="17" t="s">
        <v>1848</v>
      </c>
      <c r="AF142" s="17" t="s">
        <v>1849</v>
      </c>
      <c r="AG142" s="16" t="s">
        <v>1850</v>
      </c>
      <c r="AH142" s="16" t="s">
        <v>1851</v>
      </c>
      <c r="AI142" s="16"/>
      <c r="AJ142" s="16"/>
      <c r="AK142" s="16"/>
      <c r="AL142" s="16" t="s">
        <v>1852</v>
      </c>
    </row>
    <row r="143" spans="1:38" x14ac:dyDescent="0.5">
      <c r="A143">
        <v>12081</v>
      </c>
      <c r="B143" s="16" t="s">
        <v>59</v>
      </c>
      <c r="C143" s="16" t="s">
        <v>59</v>
      </c>
      <c r="D143" s="16" t="s">
        <v>533</v>
      </c>
      <c r="E143" s="16" t="s">
        <v>1853</v>
      </c>
      <c r="F143" s="17" t="s">
        <v>1854</v>
      </c>
      <c r="H143" s="16" t="s">
        <v>1855</v>
      </c>
      <c r="I143" s="16" t="s">
        <v>387</v>
      </c>
      <c r="J143" s="33">
        <v>38593</v>
      </c>
      <c r="K143" s="33">
        <v>43465</v>
      </c>
      <c r="L143" s="16" t="s">
        <v>66</v>
      </c>
      <c r="M143" s="16" t="s">
        <v>90</v>
      </c>
      <c r="N143" s="16" t="s">
        <v>91</v>
      </c>
      <c r="O143" s="16" t="s">
        <v>91</v>
      </c>
      <c r="P143" s="16" t="s">
        <v>70</v>
      </c>
      <c r="Q143" s="16" t="s">
        <v>71</v>
      </c>
      <c r="R143" s="17" t="s">
        <v>1856</v>
      </c>
      <c r="S143" s="16" t="s">
        <v>1857</v>
      </c>
      <c r="T143" s="16" t="s">
        <v>74</v>
      </c>
      <c r="U143" s="16" t="s">
        <v>75</v>
      </c>
      <c r="V143" s="16" t="s">
        <v>1858</v>
      </c>
      <c r="W143" s="16"/>
      <c r="X143" s="16" t="s">
        <v>1859</v>
      </c>
      <c r="Y143" s="16" t="s">
        <v>78</v>
      </c>
      <c r="Z143" s="16" t="s">
        <v>392</v>
      </c>
      <c r="AA143" s="16" t="s">
        <v>393</v>
      </c>
      <c r="AB143" s="17" t="s">
        <v>1860</v>
      </c>
      <c r="AC143" s="16" t="s">
        <v>71</v>
      </c>
      <c r="AD143" s="17" t="s">
        <v>1860</v>
      </c>
      <c r="AE143" s="17" t="s">
        <v>1861</v>
      </c>
      <c r="AG143" s="16" t="s">
        <v>1862</v>
      </c>
      <c r="AH143" s="16" t="s">
        <v>899</v>
      </c>
      <c r="AI143" s="16"/>
      <c r="AJ143" s="16"/>
      <c r="AK143" s="16"/>
      <c r="AL143" s="16" t="s">
        <v>1863</v>
      </c>
    </row>
    <row r="144" spans="1:38" x14ac:dyDescent="0.5">
      <c r="A144">
        <v>12151</v>
      </c>
      <c r="B144" s="16" t="s">
        <v>1864</v>
      </c>
      <c r="C144" s="16" t="s">
        <v>1864</v>
      </c>
      <c r="D144" s="16"/>
      <c r="E144" s="16" t="s">
        <v>1865</v>
      </c>
      <c r="F144" s="17" t="s">
        <v>1866</v>
      </c>
      <c r="H144" s="16" t="s">
        <v>699</v>
      </c>
      <c r="I144" s="16" t="s">
        <v>8590</v>
      </c>
      <c r="J144" s="33">
        <v>38609</v>
      </c>
      <c r="K144" s="33">
        <v>55153</v>
      </c>
      <c r="L144" s="16" t="s">
        <v>66</v>
      </c>
      <c r="M144" s="16" t="s">
        <v>109</v>
      </c>
      <c r="N144" s="16" t="s">
        <v>110</v>
      </c>
      <c r="O144" s="16" t="s">
        <v>280</v>
      </c>
      <c r="P144" s="16" t="s">
        <v>70</v>
      </c>
      <c r="Q144" s="16" t="s">
        <v>71</v>
      </c>
      <c r="R144" s="17" t="s">
        <v>1867</v>
      </c>
      <c r="S144" s="16" t="s">
        <v>113</v>
      </c>
      <c r="T144" s="16" t="s">
        <v>74</v>
      </c>
      <c r="U144" s="16" t="s">
        <v>75</v>
      </c>
      <c r="V144" s="16" t="s">
        <v>1868</v>
      </c>
      <c r="W144" s="16" t="s">
        <v>1869</v>
      </c>
      <c r="X144" s="16" t="s">
        <v>116</v>
      </c>
      <c r="Y144" s="16" t="s">
        <v>78</v>
      </c>
      <c r="Z144" s="16" t="s">
        <v>117</v>
      </c>
      <c r="AA144" s="16" t="s">
        <v>113</v>
      </c>
      <c r="AB144" s="17" t="s">
        <v>1870</v>
      </c>
      <c r="AC144" s="16" t="s">
        <v>71</v>
      </c>
      <c r="AD144" s="17" t="s">
        <v>1870</v>
      </c>
      <c r="AE144" s="17" t="s">
        <v>1871</v>
      </c>
      <c r="AG144" s="16" t="s">
        <v>1872</v>
      </c>
      <c r="AH144" s="16" t="s">
        <v>1784</v>
      </c>
      <c r="AI144" s="16"/>
      <c r="AJ144" s="16"/>
      <c r="AK144" s="16"/>
      <c r="AL144" s="16" t="s">
        <v>1873</v>
      </c>
    </row>
    <row r="145" spans="1:38" x14ac:dyDescent="0.5">
      <c r="A145">
        <v>12191</v>
      </c>
      <c r="B145" s="16" t="s">
        <v>246</v>
      </c>
      <c r="C145" s="16" t="s">
        <v>246</v>
      </c>
      <c r="D145" s="16"/>
      <c r="E145" s="16" t="s">
        <v>1874</v>
      </c>
      <c r="F145" s="17" t="s">
        <v>1875</v>
      </c>
      <c r="H145" s="16" t="s">
        <v>1876</v>
      </c>
      <c r="I145" s="16" t="s">
        <v>1877</v>
      </c>
      <c r="J145" s="33">
        <v>39531</v>
      </c>
      <c r="K145" s="33">
        <v>43465</v>
      </c>
      <c r="L145" s="16" t="s">
        <v>66</v>
      </c>
      <c r="M145" s="16" t="s">
        <v>167</v>
      </c>
      <c r="N145" s="16" t="s">
        <v>110</v>
      </c>
      <c r="O145" s="16" t="s">
        <v>280</v>
      </c>
      <c r="P145" s="16" t="s">
        <v>70</v>
      </c>
      <c r="Q145" s="16" t="s">
        <v>71</v>
      </c>
      <c r="R145" s="17" t="s">
        <v>1878</v>
      </c>
      <c r="S145" s="16" t="s">
        <v>936</v>
      </c>
      <c r="T145" s="16" t="s">
        <v>74</v>
      </c>
      <c r="U145" s="16" t="s">
        <v>75</v>
      </c>
      <c r="V145" s="16" t="s">
        <v>1879</v>
      </c>
      <c r="W145" s="16"/>
      <c r="X145" s="16" t="s">
        <v>1880</v>
      </c>
      <c r="Y145" s="16" t="s">
        <v>78</v>
      </c>
      <c r="Z145" s="16" t="s">
        <v>242</v>
      </c>
      <c r="AA145" s="16" t="s">
        <v>243</v>
      </c>
      <c r="AB145" s="17" t="s">
        <v>1881</v>
      </c>
      <c r="AC145" s="16" t="s">
        <v>71</v>
      </c>
      <c r="AD145" s="17" t="s">
        <v>1881</v>
      </c>
      <c r="AE145" s="17" t="s">
        <v>1882</v>
      </c>
      <c r="AF145" s="17" t="s">
        <v>1883</v>
      </c>
      <c r="AG145" s="16" t="s">
        <v>1884</v>
      </c>
      <c r="AH145" s="16" t="s">
        <v>1885</v>
      </c>
      <c r="AI145" s="16"/>
      <c r="AJ145" s="16"/>
      <c r="AK145" s="16"/>
      <c r="AL145" s="16" t="s">
        <v>1886</v>
      </c>
    </row>
    <row r="146" spans="1:38" x14ac:dyDescent="0.5">
      <c r="A146">
        <v>12341</v>
      </c>
      <c r="B146" s="16" t="s">
        <v>1887</v>
      </c>
      <c r="C146" s="16" t="s">
        <v>1887</v>
      </c>
      <c r="D146" s="16" t="s">
        <v>1888</v>
      </c>
      <c r="E146" s="16" t="s">
        <v>1889</v>
      </c>
      <c r="F146" s="17" t="s">
        <v>1890</v>
      </c>
      <c r="H146" s="16" t="s">
        <v>1891</v>
      </c>
      <c r="I146" s="16" t="s">
        <v>1892</v>
      </c>
      <c r="J146" s="33">
        <v>38726</v>
      </c>
      <c r="K146" s="33">
        <v>43465</v>
      </c>
      <c r="L146" s="16" t="s">
        <v>66</v>
      </c>
      <c r="M146" s="16" t="s">
        <v>67</v>
      </c>
      <c r="N146" s="16" t="s">
        <v>68</v>
      </c>
      <c r="O146" s="16" t="s">
        <v>202</v>
      </c>
      <c r="P146" s="16" t="s">
        <v>70</v>
      </c>
      <c r="Q146" s="16" t="s">
        <v>71</v>
      </c>
      <c r="R146" s="17" t="s">
        <v>1893</v>
      </c>
      <c r="S146" s="16" t="s">
        <v>1894</v>
      </c>
      <c r="T146" s="16" t="s">
        <v>74</v>
      </c>
      <c r="U146" s="16" t="s">
        <v>75</v>
      </c>
      <c r="V146" s="16" t="s">
        <v>1895</v>
      </c>
      <c r="W146" s="16"/>
      <c r="X146" s="16" t="s">
        <v>1896</v>
      </c>
      <c r="Y146" s="16" t="s">
        <v>78</v>
      </c>
      <c r="Z146" s="16" t="s">
        <v>1897</v>
      </c>
      <c r="AA146" s="16" t="s">
        <v>1898</v>
      </c>
      <c r="AB146" s="17" t="s">
        <v>1899</v>
      </c>
      <c r="AC146" s="16" t="s">
        <v>71</v>
      </c>
      <c r="AD146" s="17" t="s">
        <v>1899</v>
      </c>
      <c r="AE146" s="17" t="s">
        <v>1900</v>
      </c>
      <c r="AG146" s="16" t="s">
        <v>1901</v>
      </c>
      <c r="AH146" s="16" t="s">
        <v>1673</v>
      </c>
      <c r="AI146" s="16"/>
      <c r="AJ146" s="16"/>
      <c r="AK146" s="16"/>
      <c r="AL146" s="16" t="s">
        <v>1902</v>
      </c>
    </row>
    <row r="147" spans="1:38" x14ac:dyDescent="0.5">
      <c r="A147">
        <v>12381</v>
      </c>
      <c r="B147" s="16" t="s">
        <v>1903</v>
      </c>
      <c r="C147" s="16" t="s">
        <v>1903</v>
      </c>
      <c r="D147" s="16" t="s">
        <v>1904</v>
      </c>
      <c r="E147" s="16" t="s">
        <v>1905</v>
      </c>
      <c r="F147" s="17" t="s">
        <v>1906</v>
      </c>
      <c r="G147" s="17" t="s">
        <v>1906</v>
      </c>
      <c r="H147" s="16" t="s">
        <v>343</v>
      </c>
      <c r="I147" s="16" t="s">
        <v>1907</v>
      </c>
      <c r="J147" s="33">
        <v>38726</v>
      </c>
      <c r="K147" s="33">
        <v>43465</v>
      </c>
      <c r="L147" s="16" t="s">
        <v>66</v>
      </c>
      <c r="M147" s="16" t="s">
        <v>167</v>
      </c>
      <c r="N147" s="16" t="s">
        <v>110</v>
      </c>
      <c r="O147" s="16" t="s">
        <v>280</v>
      </c>
      <c r="P147" s="16" t="s">
        <v>70</v>
      </c>
      <c r="Q147" s="16" t="s">
        <v>71</v>
      </c>
      <c r="R147" s="17" t="s">
        <v>1908</v>
      </c>
      <c r="S147" s="16" t="s">
        <v>662</v>
      </c>
      <c r="T147" s="16" t="s">
        <v>74</v>
      </c>
      <c r="U147" s="16" t="s">
        <v>75</v>
      </c>
      <c r="V147" s="16" t="s">
        <v>1909</v>
      </c>
      <c r="W147" s="16"/>
      <c r="X147" s="16" t="s">
        <v>1910</v>
      </c>
      <c r="Y147" s="16" t="s">
        <v>78</v>
      </c>
      <c r="Z147" s="16" t="s">
        <v>666</v>
      </c>
      <c r="AA147" s="16" t="s">
        <v>667</v>
      </c>
      <c r="AB147" s="17" t="s">
        <v>1911</v>
      </c>
      <c r="AC147" s="16" t="s">
        <v>71</v>
      </c>
      <c r="AD147" s="17" t="s">
        <v>1911</v>
      </c>
      <c r="AE147" s="17" t="s">
        <v>1912</v>
      </c>
      <c r="AG147" s="16" t="s">
        <v>1913</v>
      </c>
      <c r="AH147" s="16" t="s">
        <v>1133</v>
      </c>
      <c r="AI147" s="16"/>
      <c r="AJ147" s="16"/>
      <c r="AK147" s="16"/>
      <c r="AL147" s="16" t="s">
        <v>1914</v>
      </c>
    </row>
    <row r="148" spans="1:38" x14ac:dyDescent="0.5">
      <c r="A148">
        <v>12431</v>
      </c>
      <c r="B148" s="16" t="s">
        <v>1915</v>
      </c>
      <c r="C148" s="16" t="s">
        <v>1915</v>
      </c>
      <c r="D148" s="16" t="s">
        <v>794</v>
      </c>
      <c r="E148" s="16" t="s">
        <v>1916</v>
      </c>
      <c r="F148" s="17" t="s">
        <v>1917</v>
      </c>
      <c r="G148" s="17" t="s">
        <v>1918</v>
      </c>
      <c r="H148" s="16" t="s">
        <v>1919</v>
      </c>
      <c r="I148" s="16" t="s">
        <v>1919</v>
      </c>
      <c r="J148" s="33">
        <v>38800</v>
      </c>
      <c r="K148" s="33">
        <v>43465</v>
      </c>
      <c r="L148" s="16" t="s">
        <v>66</v>
      </c>
      <c r="M148" s="16" t="s">
        <v>67</v>
      </c>
      <c r="N148" s="16" t="s">
        <v>68</v>
      </c>
      <c r="O148" s="16" t="s">
        <v>253</v>
      </c>
      <c r="P148" s="16" t="s">
        <v>70</v>
      </c>
      <c r="Q148" s="16" t="s">
        <v>71</v>
      </c>
      <c r="R148" s="17" t="s">
        <v>1920</v>
      </c>
      <c r="S148" s="16" t="s">
        <v>1921</v>
      </c>
      <c r="T148" s="16" t="s">
        <v>74</v>
      </c>
      <c r="U148" s="16" t="s">
        <v>75</v>
      </c>
      <c r="V148" s="16" t="s">
        <v>1922</v>
      </c>
      <c r="W148" s="16"/>
      <c r="X148" s="16" t="s">
        <v>1923</v>
      </c>
      <c r="Y148" s="16" t="s">
        <v>78</v>
      </c>
      <c r="Z148" s="16" t="s">
        <v>1924</v>
      </c>
      <c r="AA148" s="16" t="s">
        <v>1925</v>
      </c>
      <c r="AB148" s="17" t="s">
        <v>1926</v>
      </c>
      <c r="AC148" s="16" t="s">
        <v>966</v>
      </c>
      <c r="AD148" s="17" t="s">
        <v>1927</v>
      </c>
      <c r="AF148" s="17" t="s">
        <v>1926</v>
      </c>
      <c r="AG148" s="16"/>
      <c r="AH148" s="16"/>
      <c r="AI148" s="16"/>
      <c r="AJ148" s="16"/>
      <c r="AK148" s="16"/>
      <c r="AL148" s="16" t="s">
        <v>1928</v>
      </c>
    </row>
    <row r="149" spans="1:38" x14ac:dyDescent="0.5">
      <c r="A149">
        <v>12441</v>
      </c>
      <c r="B149" s="16" t="s">
        <v>1929</v>
      </c>
      <c r="C149" s="16" t="s">
        <v>1929</v>
      </c>
      <c r="D149" s="16"/>
      <c r="E149" s="16" t="s">
        <v>1930</v>
      </c>
      <c r="F149" s="17" t="s">
        <v>1931</v>
      </c>
      <c r="H149" s="16" t="s">
        <v>1932</v>
      </c>
      <c r="I149" s="16" t="s">
        <v>1833</v>
      </c>
      <c r="J149" s="33">
        <v>38800</v>
      </c>
      <c r="K149" s="33">
        <v>43465</v>
      </c>
      <c r="L149" s="16" t="s">
        <v>66</v>
      </c>
      <c r="M149" s="16" t="s">
        <v>90</v>
      </c>
      <c r="N149" s="16" t="s">
        <v>91</v>
      </c>
      <c r="O149" s="16" t="s">
        <v>91</v>
      </c>
      <c r="P149" s="16" t="s">
        <v>70</v>
      </c>
      <c r="Q149" s="16" t="s">
        <v>71</v>
      </c>
      <c r="R149" s="17" t="s">
        <v>1933</v>
      </c>
      <c r="S149" s="16" t="s">
        <v>113</v>
      </c>
      <c r="T149" s="16" t="s">
        <v>74</v>
      </c>
      <c r="U149" s="16" t="s">
        <v>75</v>
      </c>
      <c r="V149" s="16" t="s">
        <v>1934</v>
      </c>
      <c r="W149" s="16"/>
      <c r="X149" s="16" t="s">
        <v>1935</v>
      </c>
      <c r="Y149" s="16" t="s">
        <v>78</v>
      </c>
      <c r="Z149" s="16" t="s">
        <v>117</v>
      </c>
      <c r="AA149" s="16" t="s">
        <v>113</v>
      </c>
      <c r="AB149" s="17" t="s">
        <v>1936</v>
      </c>
      <c r="AC149" s="16" t="s">
        <v>71</v>
      </c>
      <c r="AD149" s="17" t="s">
        <v>1936</v>
      </c>
      <c r="AE149" s="17" t="s">
        <v>1937</v>
      </c>
      <c r="AG149" s="16" t="s">
        <v>1938</v>
      </c>
      <c r="AH149" s="16" t="s">
        <v>1939</v>
      </c>
      <c r="AI149" s="16"/>
      <c r="AJ149" s="16"/>
      <c r="AK149" s="16"/>
      <c r="AL149" s="16" t="s">
        <v>1940</v>
      </c>
    </row>
    <row r="150" spans="1:38" x14ac:dyDescent="0.5">
      <c r="A150">
        <v>12521</v>
      </c>
      <c r="B150" s="16" t="s">
        <v>1941</v>
      </c>
      <c r="C150" s="16" t="s">
        <v>1941</v>
      </c>
      <c r="D150" s="16"/>
      <c r="E150" s="16" t="s">
        <v>1942</v>
      </c>
      <c r="F150" s="17" t="s">
        <v>1943</v>
      </c>
      <c r="H150" s="16" t="s">
        <v>1944</v>
      </c>
      <c r="I150" s="16" t="s">
        <v>1945</v>
      </c>
      <c r="J150" s="33">
        <v>38845</v>
      </c>
      <c r="K150" s="33">
        <v>43465</v>
      </c>
      <c r="L150" s="16" t="s">
        <v>66</v>
      </c>
      <c r="M150" s="16" t="s">
        <v>67</v>
      </c>
      <c r="N150" s="16" t="s">
        <v>68</v>
      </c>
      <c r="O150" s="16" t="s">
        <v>202</v>
      </c>
      <c r="P150" s="16" t="s">
        <v>70</v>
      </c>
      <c r="Q150" s="16" t="s">
        <v>71</v>
      </c>
      <c r="R150" s="17" t="s">
        <v>1946</v>
      </c>
      <c r="S150" s="16" t="s">
        <v>359</v>
      </c>
      <c r="T150" s="16" t="s">
        <v>74</v>
      </c>
      <c r="U150" s="16" t="s">
        <v>75</v>
      </c>
      <c r="V150" s="16" t="s">
        <v>1947</v>
      </c>
      <c r="W150" s="16"/>
      <c r="X150" s="16" t="s">
        <v>1670</v>
      </c>
      <c r="Y150" s="16" t="s">
        <v>78</v>
      </c>
      <c r="Z150" s="16" t="s">
        <v>242</v>
      </c>
      <c r="AA150" s="16" t="s">
        <v>243</v>
      </c>
      <c r="AB150" s="17" t="s">
        <v>1948</v>
      </c>
      <c r="AC150" s="16" t="s">
        <v>71</v>
      </c>
      <c r="AD150" s="17" t="s">
        <v>1948</v>
      </c>
      <c r="AE150" s="17" t="s">
        <v>1949</v>
      </c>
      <c r="AF150" s="17" t="s">
        <v>1950</v>
      </c>
      <c r="AG150" s="16" t="s">
        <v>653</v>
      </c>
      <c r="AH150" s="16"/>
      <c r="AI150" s="16"/>
      <c r="AJ150" s="16"/>
      <c r="AK150" s="16"/>
      <c r="AL150" s="16" t="s">
        <v>1951</v>
      </c>
    </row>
    <row r="151" spans="1:38" x14ac:dyDescent="0.5">
      <c r="A151">
        <v>12541</v>
      </c>
      <c r="B151" s="16" t="s">
        <v>314</v>
      </c>
      <c r="C151" s="16" t="s">
        <v>1952</v>
      </c>
      <c r="D151" s="16"/>
      <c r="E151" s="16" t="s">
        <v>1953</v>
      </c>
      <c r="F151" s="17" t="s">
        <v>1954</v>
      </c>
      <c r="G151" s="17" t="s">
        <v>1954</v>
      </c>
      <c r="H151" s="16" t="s">
        <v>456</v>
      </c>
      <c r="I151" s="16" t="s">
        <v>1955</v>
      </c>
      <c r="J151" s="33">
        <v>38845</v>
      </c>
      <c r="K151" s="33">
        <v>43465</v>
      </c>
      <c r="L151" s="16" t="s">
        <v>66</v>
      </c>
      <c r="M151" s="16" t="s">
        <v>67</v>
      </c>
      <c r="N151" s="16" t="s">
        <v>68</v>
      </c>
      <c r="O151" s="16" t="s">
        <v>1082</v>
      </c>
      <c r="P151" s="16" t="s">
        <v>70</v>
      </c>
      <c r="Q151" s="16" t="s">
        <v>71</v>
      </c>
      <c r="R151" s="17" t="s">
        <v>1956</v>
      </c>
      <c r="S151" s="16" t="s">
        <v>359</v>
      </c>
      <c r="T151" s="16" t="s">
        <v>74</v>
      </c>
      <c r="U151" s="16" t="s">
        <v>75</v>
      </c>
      <c r="V151" s="16" t="s">
        <v>1957</v>
      </c>
      <c r="W151" s="16" t="s">
        <v>1958</v>
      </c>
      <c r="X151" s="16" t="s">
        <v>1670</v>
      </c>
      <c r="Y151" s="16" t="s">
        <v>78</v>
      </c>
      <c r="Z151" s="16" t="s">
        <v>242</v>
      </c>
      <c r="AA151" s="16" t="s">
        <v>243</v>
      </c>
      <c r="AB151" s="17" t="s">
        <v>1959</v>
      </c>
      <c r="AC151" s="16" t="s">
        <v>71</v>
      </c>
      <c r="AD151" s="17" t="s">
        <v>1959</v>
      </c>
      <c r="AE151" s="17" t="s">
        <v>1960</v>
      </c>
      <c r="AG151" s="16" t="s">
        <v>1076</v>
      </c>
      <c r="AH151" s="16" t="s">
        <v>1961</v>
      </c>
      <c r="AI151" s="16"/>
      <c r="AJ151" s="16"/>
      <c r="AK151" s="16"/>
      <c r="AL151" s="16" t="s">
        <v>1962</v>
      </c>
    </row>
    <row r="152" spans="1:38" x14ac:dyDescent="0.5">
      <c r="A152">
        <v>12551</v>
      </c>
      <c r="B152" s="16" t="s">
        <v>1963</v>
      </c>
      <c r="C152" s="16" t="s">
        <v>1963</v>
      </c>
      <c r="D152" s="16"/>
      <c r="E152" s="16" t="s">
        <v>1964</v>
      </c>
      <c r="F152" s="17" t="s">
        <v>1965</v>
      </c>
      <c r="H152" s="16" t="s">
        <v>127</v>
      </c>
      <c r="I152" s="16"/>
      <c r="J152" s="33">
        <v>38845</v>
      </c>
      <c r="K152" s="33">
        <v>43465</v>
      </c>
      <c r="L152" s="16" t="s">
        <v>66</v>
      </c>
      <c r="M152" s="16" t="s">
        <v>291</v>
      </c>
      <c r="N152" s="16" t="s">
        <v>127</v>
      </c>
      <c r="O152" s="16" t="s">
        <v>127</v>
      </c>
      <c r="P152" s="16" t="s">
        <v>70</v>
      </c>
      <c r="Q152" s="16" t="s">
        <v>71</v>
      </c>
      <c r="R152" s="17" t="s">
        <v>1966</v>
      </c>
      <c r="S152" s="16" t="s">
        <v>1967</v>
      </c>
      <c r="T152" s="16" t="s">
        <v>74</v>
      </c>
      <c r="U152" s="16" t="s">
        <v>75</v>
      </c>
      <c r="V152" s="16" t="s">
        <v>1968</v>
      </c>
      <c r="W152" s="16"/>
      <c r="X152" s="16" t="s">
        <v>1969</v>
      </c>
      <c r="Y152" s="16" t="s">
        <v>78</v>
      </c>
      <c r="Z152" s="16" t="s">
        <v>1025</v>
      </c>
      <c r="AA152" s="16" t="s">
        <v>1026</v>
      </c>
      <c r="AB152" s="17" t="s">
        <v>1970</v>
      </c>
      <c r="AC152" s="16" t="s">
        <v>71</v>
      </c>
      <c r="AD152" s="17" t="s">
        <v>1970</v>
      </c>
      <c r="AE152" s="17" t="s">
        <v>1971</v>
      </c>
      <c r="AF152" s="17" t="s">
        <v>1970</v>
      </c>
      <c r="AG152" s="16" t="s">
        <v>1345</v>
      </c>
      <c r="AH152" s="16" t="s">
        <v>1972</v>
      </c>
      <c r="AI152" s="16"/>
      <c r="AJ152" s="16"/>
      <c r="AK152" s="16"/>
      <c r="AL152" s="16" t="s">
        <v>1973</v>
      </c>
    </row>
    <row r="153" spans="1:38" x14ac:dyDescent="0.5">
      <c r="A153">
        <v>12581</v>
      </c>
      <c r="B153" s="16" t="s">
        <v>498</v>
      </c>
      <c r="C153" s="16" t="s">
        <v>499</v>
      </c>
      <c r="D153" s="16" t="s">
        <v>695</v>
      </c>
      <c r="E153" s="16" t="s">
        <v>1974</v>
      </c>
      <c r="F153" s="17" t="s">
        <v>1975</v>
      </c>
      <c r="H153" s="16" t="s">
        <v>1976</v>
      </c>
      <c r="I153" s="16" t="s">
        <v>1977</v>
      </c>
      <c r="J153" s="33">
        <v>38883</v>
      </c>
      <c r="K153" s="33">
        <v>43465</v>
      </c>
      <c r="L153" s="16" t="s">
        <v>66</v>
      </c>
      <c r="M153" s="16" t="s">
        <v>67</v>
      </c>
      <c r="N153" s="16" t="s">
        <v>68</v>
      </c>
      <c r="O153" s="16" t="s">
        <v>436</v>
      </c>
      <c r="P153" s="16" t="s">
        <v>70</v>
      </c>
      <c r="Q153" s="16" t="s">
        <v>71</v>
      </c>
      <c r="R153" s="17" t="s">
        <v>1978</v>
      </c>
      <c r="S153" s="16" t="s">
        <v>1979</v>
      </c>
      <c r="T153" s="16" t="s">
        <v>74</v>
      </c>
      <c r="U153" s="16" t="s">
        <v>75</v>
      </c>
      <c r="V153" s="16" t="s">
        <v>1980</v>
      </c>
      <c r="W153" s="16" t="s">
        <v>1981</v>
      </c>
      <c r="X153" s="16" t="s">
        <v>1982</v>
      </c>
      <c r="Y153" s="16" t="s">
        <v>78</v>
      </c>
      <c r="Z153" s="16" t="s">
        <v>1983</v>
      </c>
      <c r="AA153" s="16" t="s">
        <v>1984</v>
      </c>
      <c r="AB153" s="17" t="s">
        <v>1985</v>
      </c>
      <c r="AC153" s="16" t="s">
        <v>71</v>
      </c>
      <c r="AD153" s="17" t="s">
        <v>1985</v>
      </c>
      <c r="AE153" s="17" t="s">
        <v>1986</v>
      </c>
      <c r="AF153" s="17" t="s">
        <v>1987</v>
      </c>
      <c r="AG153" s="16"/>
      <c r="AH153" s="16"/>
      <c r="AI153" s="16"/>
      <c r="AJ153" s="16"/>
      <c r="AK153" s="16"/>
      <c r="AL153" s="16" t="s">
        <v>1988</v>
      </c>
    </row>
    <row r="154" spans="1:38" x14ac:dyDescent="0.5">
      <c r="A154">
        <v>12601</v>
      </c>
      <c r="B154" s="16" t="s">
        <v>1150</v>
      </c>
      <c r="C154" s="16" t="s">
        <v>1150</v>
      </c>
      <c r="D154" s="16"/>
      <c r="E154" s="16" t="s">
        <v>1989</v>
      </c>
      <c r="F154" s="17" t="s">
        <v>1990</v>
      </c>
      <c r="G154" s="17" t="s">
        <v>1991</v>
      </c>
      <c r="H154" s="16" t="s">
        <v>1992</v>
      </c>
      <c r="I154" s="16" t="s">
        <v>1993</v>
      </c>
      <c r="J154" s="33">
        <v>38911</v>
      </c>
      <c r="K154" s="33">
        <v>43465</v>
      </c>
      <c r="L154" s="16" t="s">
        <v>66</v>
      </c>
      <c r="M154" s="16" t="s">
        <v>167</v>
      </c>
      <c r="N154" s="16" t="s">
        <v>110</v>
      </c>
      <c r="O154" s="16" t="s">
        <v>220</v>
      </c>
      <c r="P154" s="16" t="s">
        <v>70</v>
      </c>
      <c r="Q154" s="16" t="s">
        <v>71</v>
      </c>
      <c r="R154" s="17" t="s">
        <v>1994</v>
      </c>
      <c r="S154" s="16" t="s">
        <v>1995</v>
      </c>
      <c r="T154" s="16" t="s">
        <v>74</v>
      </c>
      <c r="U154" s="16" t="s">
        <v>75</v>
      </c>
      <c r="V154" s="16" t="s">
        <v>1996</v>
      </c>
      <c r="W154" s="16" t="s">
        <v>1997</v>
      </c>
      <c r="X154" s="16" t="s">
        <v>1998</v>
      </c>
      <c r="Y154" s="16" t="s">
        <v>78</v>
      </c>
      <c r="Z154" s="16" t="s">
        <v>1999</v>
      </c>
      <c r="AA154" s="16" t="s">
        <v>2000</v>
      </c>
      <c r="AB154" s="17" t="s">
        <v>2001</v>
      </c>
      <c r="AC154" s="16" t="s">
        <v>71</v>
      </c>
      <c r="AD154" s="17" t="s">
        <v>2001</v>
      </c>
      <c r="AF154" s="17" t="s">
        <v>2002</v>
      </c>
      <c r="AG154" s="16" t="s">
        <v>1720</v>
      </c>
      <c r="AH154" s="16" t="s">
        <v>1029</v>
      </c>
      <c r="AI154" s="16"/>
      <c r="AJ154" s="16"/>
      <c r="AK154" s="16"/>
      <c r="AL154" s="16" t="s">
        <v>2003</v>
      </c>
    </row>
    <row r="155" spans="1:38" x14ac:dyDescent="0.5">
      <c r="A155">
        <v>12631</v>
      </c>
      <c r="B155" s="16" t="s">
        <v>2004</v>
      </c>
      <c r="C155" s="16" t="s">
        <v>2004</v>
      </c>
      <c r="D155" s="16" t="s">
        <v>123</v>
      </c>
      <c r="E155" s="16" t="s">
        <v>2005</v>
      </c>
      <c r="F155" s="17" t="s">
        <v>2006</v>
      </c>
      <c r="H155" s="16"/>
      <c r="I155" s="16" t="s">
        <v>2007</v>
      </c>
      <c r="J155" s="33">
        <v>38911</v>
      </c>
      <c r="K155" s="33">
        <v>43465</v>
      </c>
      <c r="L155" s="16" t="s">
        <v>66</v>
      </c>
      <c r="M155" s="16" t="s">
        <v>67</v>
      </c>
      <c r="N155" s="16" t="s">
        <v>68</v>
      </c>
      <c r="O155" s="16" t="s">
        <v>202</v>
      </c>
      <c r="P155" s="16" t="s">
        <v>70</v>
      </c>
      <c r="Q155" s="16" t="s">
        <v>71</v>
      </c>
      <c r="R155" s="17" t="s">
        <v>2008</v>
      </c>
      <c r="S155" s="16" t="s">
        <v>1737</v>
      </c>
      <c r="T155" s="16" t="s">
        <v>74</v>
      </c>
      <c r="U155" s="16" t="s">
        <v>75</v>
      </c>
      <c r="V155" s="16" t="s">
        <v>2009</v>
      </c>
      <c r="W155" s="16"/>
      <c r="X155" s="16" t="s">
        <v>2010</v>
      </c>
      <c r="Y155" s="16" t="s">
        <v>78</v>
      </c>
      <c r="Z155" s="16" t="s">
        <v>1025</v>
      </c>
      <c r="AA155" s="16" t="s">
        <v>1026</v>
      </c>
      <c r="AB155" s="17" t="s">
        <v>2011</v>
      </c>
      <c r="AC155" s="16" t="s">
        <v>966</v>
      </c>
      <c r="AD155" s="17" t="s">
        <v>2011</v>
      </c>
      <c r="AF155" s="17" t="s">
        <v>2011</v>
      </c>
      <c r="AG155" s="16" t="s">
        <v>1003</v>
      </c>
      <c r="AH155" s="16" t="s">
        <v>579</v>
      </c>
      <c r="AI155" s="16"/>
      <c r="AJ155" s="16"/>
      <c r="AK155" s="16"/>
      <c r="AL155" s="16" t="s">
        <v>2012</v>
      </c>
    </row>
    <row r="156" spans="1:38" x14ac:dyDescent="0.5">
      <c r="A156">
        <v>12651</v>
      </c>
      <c r="B156" s="16" t="s">
        <v>567</v>
      </c>
      <c r="C156" s="16" t="s">
        <v>567</v>
      </c>
      <c r="D156" s="16"/>
      <c r="E156" s="16" t="s">
        <v>2013</v>
      </c>
      <c r="F156" s="17" t="s">
        <v>2014</v>
      </c>
      <c r="H156" s="16" t="s">
        <v>1677</v>
      </c>
      <c r="I156" s="16" t="s">
        <v>2015</v>
      </c>
      <c r="J156" s="33">
        <v>38911</v>
      </c>
      <c r="K156" s="33">
        <v>43465</v>
      </c>
      <c r="L156" s="16" t="s">
        <v>66</v>
      </c>
      <c r="M156" s="16" t="s">
        <v>167</v>
      </c>
      <c r="N156" s="16" t="s">
        <v>110</v>
      </c>
      <c r="O156" s="16" t="s">
        <v>280</v>
      </c>
      <c r="P156" s="16" t="s">
        <v>70</v>
      </c>
      <c r="Q156" s="16" t="s">
        <v>71</v>
      </c>
      <c r="R156" s="17" t="s">
        <v>2016</v>
      </c>
      <c r="S156" s="16" t="s">
        <v>113</v>
      </c>
      <c r="T156" s="16" t="s">
        <v>74</v>
      </c>
      <c r="U156" s="16" t="s">
        <v>75</v>
      </c>
      <c r="V156" s="16" t="s">
        <v>2017</v>
      </c>
      <c r="W156" s="16"/>
      <c r="X156" s="16" t="s">
        <v>116</v>
      </c>
      <c r="Y156" s="16" t="s">
        <v>78</v>
      </c>
      <c r="Z156" s="16" t="s">
        <v>117</v>
      </c>
      <c r="AA156" s="16" t="s">
        <v>113</v>
      </c>
      <c r="AB156" s="17" t="s">
        <v>2018</v>
      </c>
      <c r="AC156" s="16" t="s">
        <v>71</v>
      </c>
      <c r="AD156" s="17" t="s">
        <v>2018</v>
      </c>
      <c r="AE156" s="17" t="s">
        <v>2019</v>
      </c>
      <c r="AF156" s="17" t="s">
        <v>2020</v>
      </c>
      <c r="AG156" s="16" t="s">
        <v>1002</v>
      </c>
      <c r="AH156" s="16" t="s">
        <v>2021</v>
      </c>
      <c r="AI156" s="16"/>
      <c r="AJ156" s="16"/>
      <c r="AK156" s="16"/>
      <c r="AL156" s="16" t="s">
        <v>2022</v>
      </c>
    </row>
    <row r="157" spans="1:38" x14ac:dyDescent="0.5">
      <c r="A157">
        <v>12661</v>
      </c>
      <c r="B157" s="16" t="s">
        <v>1505</v>
      </c>
      <c r="C157" s="16" t="s">
        <v>1505</v>
      </c>
      <c r="D157" s="16"/>
      <c r="E157" s="16" t="s">
        <v>2023</v>
      </c>
      <c r="F157" s="17" t="s">
        <v>2024</v>
      </c>
      <c r="H157" s="16" t="s">
        <v>2025</v>
      </c>
      <c r="I157" s="16" t="s">
        <v>2026</v>
      </c>
      <c r="J157" s="33">
        <v>38916</v>
      </c>
      <c r="K157" s="33">
        <v>43465</v>
      </c>
      <c r="L157" s="16" t="s">
        <v>66</v>
      </c>
      <c r="M157" s="16" t="s">
        <v>167</v>
      </c>
      <c r="N157" s="16" t="s">
        <v>110</v>
      </c>
      <c r="O157" s="16" t="s">
        <v>280</v>
      </c>
      <c r="P157" s="16" t="s">
        <v>70</v>
      </c>
      <c r="Q157" s="16" t="s">
        <v>71</v>
      </c>
      <c r="R157" s="17" t="s">
        <v>2027</v>
      </c>
      <c r="S157" s="16" t="s">
        <v>752</v>
      </c>
      <c r="T157" s="16" t="s">
        <v>74</v>
      </c>
      <c r="U157" s="16" t="s">
        <v>75</v>
      </c>
      <c r="V157" s="16" t="s">
        <v>2028</v>
      </c>
      <c r="W157" s="16" t="s">
        <v>2029</v>
      </c>
      <c r="X157" s="16" t="s">
        <v>2030</v>
      </c>
      <c r="Y157" s="16" t="s">
        <v>78</v>
      </c>
      <c r="Z157" s="16" t="s">
        <v>132</v>
      </c>
      <c r="AA157" s="16" t="s">
        <v>133</v>
      </c>
      <c r="AB157" s="17" t="s">
        <v>2031</v>
      </c>
      <c r="AC157" s="16" t="s">
        <v>71</v>
      </c>
      <c r="AD157" s="17" t="s">
        <v>2031</v>
      </c>
      <c r="AE157" s="17" t="s">
        <v>2032</v>
      </c>
      <c r="AF157" s="17" t="s">
        <v>2033</v>
      </c>
      <c r="AG157" s="16" t="s">
        <v>1017</v>
      </c>
      <c r="AH157" s="16" t="s">
        <v>2034</v>
      </c>
      <c r="AI157" s="16"/>
      <c r="AJ157" s="16"/>
      <c r="AK157" s="16"/>
      <c r="AL157" s="16" t="s">
        <v>2035</v>
      </c>
    </row>
    <row r="158" spans="1:38" x14ac:dyDescent="0.5">
      <c r="A158">
        <v>12741</v>
      </c>
      <c r="B158" s="16" t="s">
        <v>1430</v>
      </c>
      <c r="C158" s="16" t="s">
        <v>1430</v>
      </c>
      <c r="D158" s="16" t="s">
        <v>421</v>
      </c>
      <c r="E158" s="16" t="s">
        <v>2036</v>
      </c>
      <c r="F158" s="17" t="s">
        <v>2037</v>
      </c>
      <c r="G158" s="17" t="s">
        <v>2038</v>
      </c>
      <c r="H158" s="16" t="s">
        <v>2039</v>
      </c>
      <c r="I158" s="16" t="s">
        <v>2040</v>
      </c>
      <c r="J158" s="33">
        <v>38972</v>
      </c>
      <c r="K158" s="33">
        <v>43465</v>
      </c>
      <c r="L158" s="16" t="s">
        <v>66</v>
      </c>
      <c r="M158" s="16" t="s">
        <v>67</v>
      </c>
      <c r="N158" s="16" t="s">
        <v>68</v>
      </c>
      <c r="O158" s="16" t="s">
        <v>69</v>
      </c>
      <c r="P158" s="16" t="s">
        <v>70</v>
      </c>
      <c r="Q158" s="16" t="s">
        <v>71</v>
      </c>
      <c r="R158" s="17" t="s">
        <v>2041</v>
      </c>
      <c r="S158" s="16" t="s">
        <v>222</v>
      </c>
      <c r="T158" s="16" t="s">
        <v>74</v>
      </c>
      <c r="U158" s="16" t="s">
        <v>75</v>
      </c>
      <c r="V158" s="16" t="s">
        <v>2042</v>
      </c>
      <c r="W158" s="16"/>
      <c r="X158" s="16" t="s">
        <v>2043</v>
      </c>
      <c r="Y158" s="16" t="s">
        <v>78</v>
      </c>
      <c r="Z158" s="16" t="s">
        <v>189</v>
      </c>
      <c r="AA158" s="16" t="s">
        <v>190</v>
      </c>
      <c r="AB158" s="17" t="s">
        <v>2044</v>
      </c>
      <c r="AC158" s="16" t="s">
        <v>71</v>
      </c>
      <c r="AD158" s="17" t="s">
        <v>2044</v>
      </c>
      <c r="AG158" s="16" t="s">
        <v>2045</v>
      </c>
      <c r="AH158" s="16" t="s">
        <v>2046</v>
      </c>
      <c r="AI158" s="16"/>
      <c r="AJ158" s="16"/>
      <c r="AK158" s="16"/>
      <c r="AL158" s="16" t="s">
        <v>2047</v>
      </c>
    </row>
    <row r="159" spans="1:38" x14ac:dyDescent="0.5">
      <c r="A159">
        <v>12791</v>
      </c>
      <c r="B159" s="16" t="s">
        <v>2048</v>
      </c>
      <c r="C159" s="16" t="s">
        <v>2048</v>
      </c>
      <c r="D159" s="16"/>
      <c r="E159" s="16" t="s">
        <v>2049</v>
      </c>
      <c r="F159" s="17" t="s">
        <v>2050</v>
      </c>
      <c r="H159" s="16" t="s">
        <v>2051</v>
      </c>
      <c r="I159" s="16" t="s">
        <v>2052</v>
      </c>
      <c r="J159" s="33">
        <v>38989</v>
      </c>
      <c r="K159" s="33">
        <v>43465</v>
      </c>
      <c r="L159" s="16" t="s">
        <v>66</v>
      </c>
      <c r="M159" s="16" t="s">
        <v>67</v>
      </c>
      <c r="N159" s="16" t="s">
        <v>68</v>
      </c>
      <c r="O159" s="16" t="s">
        <v>436</v>
      </c>
      <c r="P159" s="16" t="s">
        <v>70</v>
      </c>
      <c r="Q159" s="16" t="s">
        <v>71</v>
      </c>
      <c r="R159" s="17" t="s">
        <v>2053</v>
      </c>
      <c r="S159" s="16" t="s">
        <v>2054</v>
      </c>
      <c r="T159" s="16" t="s">
        <v>74</v>
      </c>
      <c r="U159" s="16" t="s">
        <v>75</v>
      </c>
      <c r="V159" s="16" t="s">
        <v>2055</v>
      </c>
      <c r="W159" s="16" t="s">
        <v>2056</v>
      </c>
      <c r="X159" s="16" t="s">
        <v>2057</v>
      </c>
      <c r="Y159" s="16" t="s">
        <v>78</v>
      </c>
      <c r="Z159" s="16" t="s">
        <v>242</v>
      </c>
      <c r="AA159" s="16" t="s">
        <v>243</v>
      </c>
      <c r="AB159" s="17" t="s">
        <v>2058</v>
      </c>
      <c r="AC159" s="16" t="s">
        <v>71</v>
      </c>
      <c r="AD159" s="17" t="s">
        <v>2058</v>
      </c>
      <c r="AG159" s="16" t="s">
        <v>1850</v>
      </c>
      <c r="AH159" s="16" t="s">
        <v>2059</v>
      </c>
      <c r="AI159" s="16"/>
      <c r="AJ159" s="16"/>
      <c r="AK159" s="16"/>
      <c r="AL159" s="16" t="s">
        <v>2060</v>
      </c>
    </row>
    <row r="160" spans="1:38" x14ac:dyDescent="0.5">
      <c r="A160">
        <v>12801</v>
      </c>
      <c r="B160" s="16" t="s">
        <v>2061</v>
      </c>
      <c r="C160" s="16" t="s">
        <v>2061</v>
      </c>
      <c r="D160" s="16"/>
      <c r="E160" s="16" t="s">
        <v>2062</v>
      </c>
      <c r="F160" s="17" t="s">
        <v>2063</v>
      </c>
      <c r="G160" s="17" t="s">
        <v>2064</v>
      </c>
      <c r="H160" s="16" t="s">
        <v>2065</v>
      </c>
      <c r="I160" s="16" t="s">
        <v>2066</v>
      </c>
      <c r="J160" s="33">
        <v>38989</v>
      </c>
      <c r="K160" s="33">
        <v>43465</v>
      </c>
      <c r="L160" s="16" t="s">
        <v>66</v>
      </c>
      <c r="M160" s="16" t="s">
        <v>235</v>
      </c>
      <c r="N160" s="16" t="s">
        <v>236</v>
      </c>
      <c r="O160" s="16" t="s">
        <v>237</v>
      </c>
      <c r="P160" s="16" t="s">
        <v>70</v>
      </c>
      <c r="Q160" s="16" t="s">
        <v>71</v>
      </c>
      <c r="R160" s="17" t="s">
        <v>2067</v>
      </c>
      <c r="S160" s="16" t="s">
        <v>113</v>
      </c>
      <c r="T160" s="16" t="s">
        <v>74</v>
      </c>
      <c r="U160" s="16" t="s">
        <v>75</v>
      </c>
      <c r="V160" s="16" t="s">
        <v>2068</v>
      </c>
      <c r="W160" s="16"/>
      <c r="X160" s="16" t="s">
        <v>2069</v>
      </c>
      <c r="Y160" s="16" t="s">
        <v>78</v>
      </c>
      <c r="Z160" s="16" t="s">
        <v>117</v>
      </c>
      <c r="AA160" s="16" t="s">
        <v>113</v>
      </c>
      <c r="AB160" s="17" t="s">
        <v>2070</v>
      </c>
      <c r="AC160" s="16" t="s">
        <v>71</v>
      </c>
      <c r="AD160" s="17" t="s">
        <v>2070</v>
      </c>
      <c r="AF160" s="17" t="s">
        <v>2071</v>
      </c>
      <c r="AG160" s="16" t="s">
        <v>2072</v>
      </c>
      <c r="AH160" s="16" t="s">
        <v>579</v>
      </c>
      <c r="AI160" s="16"/>
      <c r="AJ160" s="16"/>
      <c r="AK160" s="16"/>
      <c r="AL160" s="16" t="s">
        <v>2073</v>
      </c>
    </row>
    <row r="161" spans="1:38" x14ac:dyDescent="0.5">
      <c r="A161">
        <v>12821</v>
      </c>
      <c r="B161" s="16" t="s">
        <v>353</v>
      </c>
      <c r="C161" s="16" t="s">
        <v>353</v>
      </c>
      <c r="D161" s="16"/>
      <c r="E161" s="16" t="s">
        <v>2074</v>
      </c>
      <c r="F161" s="17" t="s">
        <v>2075</v>
      </c>
      <c r="H161" s="16" t="s">
        <v>2076</v>
      </c>
      <c r="I161" s="16" t="s">
        <v>8583</v>
      </c>
      <c r="J161" s="33">
        <v>38989</v>
      </c>
      <c r="K161" s="33">
        <v>43465</v>
      </c>
      <c r="L161" s="16" t="s">
        <v>66</v>
      </c>
      <c r="M161" s="16" t="s">
        <v>90</v>
      </c>
      <c r="N161" s="16" t="s">
        <v>91</v>
      </c>
      <c r="O161" s="16" t="s">
        <v>91</v>
      </c>
      <c r="P161" s="16" t="s">
        <v>70</v>
      </c>
      <c r="Q161" s="16" t="s">
        <v>71</v>
      </c>
      <c r="R161" s="17" t="s">
        <v>2077</v>
      </c>
      <c r="S161" s="16" t="s">
        <v>2078</v>
      </c>
      <c r="T161" s="16" t="s">
        <v>74</v>
      </c>
      <c r="U161" s="16" t="s">
        <v>75</v>
      </c>
      <c r="V161" s="16" t="s">
        <v>2079</v>
      </c>
      <c r="W161" s="16"/>
      <c r="X161" s="16" t="s">
        <v>2080</v>
      </c>
      <c r="Y161" s="16" t="s">
        <v>78</v>
      </c>
      <c r="Z161" s="16" t="s">
        <v>117</v>
      </c>
      <c r="AA161" s="16" t="s">
        <v>113</v>
      </c>
      <c r="AB161" s="17" t="s">
        <v>2081</v>
      </c>
      <c r="AC161" s="16" t="s">
        <v>71</v>
      </c>
      <c r="AD161" s="17" t="s">
        <v>2081</v>
      </c>
      <c r="AE161" s="17" t="s">
        <v>2082</v>
      </c>
      <c r="AF161" s="17" t="s">
        <v>2081</v>
      </c>
      <c r="AG161" s="16" t="s">
        <v>2083</v>
      </c>
      <c r="AH161" s="16"/>
      <c r="AI161" s="16"/>
      <c r="AJ161" s="16"/>
      <c r="AK161" s="16"/>
      <c r="AL161" s="16" t="s">
        <v>2084</v>
      </c>
    </row>
    <row r="162" spans="1:38" x14ac:dyDescent="0.5">
      <c r="A162">
        <v>13071</v>
      </c>
      <c r="B162" s="16" t="s">
        <v>1062</v>
      </c>
      <c r="C162" s="16" t="s">
        <v>1062</v>
      </c>
      <c r="D162" s="16"/>
      <c r="E162" s="16" t="s">
        <v>2085</v>
      </c>
      <c r="F162" s="17" t="s">
        <v>2086</v>
      </c>
      <c r="H162" s="16" t="s">
        <v>456</v>
      </c>
      <c r="I162" s="16" t="s">
        <v>2087</v>
      </c>
      <c r="J162" s="33">
        <v>42402</v>
      </c>
      <c r="K162" s="33">
        <v>43465</v>
      </c>
      <c r="L162" s="16" t="s">
        <v>66</v>
      </c>
      <c r="M162" s="16" t="s">
        <v>67</v>
      </c>
      <c r="N162" s="16" t="s">
        <v>68</v>
      </c>
      <c r="O162" s="16" t="s">
        <v>436</v>
      </c>
      <c r="P162" s="16"/>
      <c r="Q162" s="16" t="s">
        <v>71</v>
      </c>
      <c r="R162" s="17" t="s">
        <v>2088</v>
      </c>
      <c r="S162" s="16" t="s">
        <v>2089</v>
      </c>
      <c r="T162" s="16" t="s">
        <v>74</v>
      </c>
      <c r="U162" s="16" t="s">
        <v>75</v>
      </c>
      <c r="V162" s="16" t="s">
        <v>2090</v>
      </c>
      <c r="W162" s="16"/>
      <c r="X162" s="16" t="s">
        <v>2091</v>
      </c>
      <c r="Y162" s="16" t="s">
        <v>78</v>
      </c>
      <c r="Z162" s="16" t="s">
        <v>132</v>
      </c>
      <c r="AA162" s="16" t="s">
        <v>133</v>
      </c>
      <c r="AB162" s="17" t="s">
        <v>2092</v>
      </c>
      <c r="AC162" s="16" t="s">
        <v>71</v>
      </c>
      <c r="AD162" s="17" t="s">
        <v>2092</v>
      </c>
      <c r="AG162" s="16" t="s">
        <v>2093</v>
      </c>
      <c r="AH162" s="16" t="s">
        <v>2094</v>
      </c>
      <c r="AI162" s="16"/>
      <c r="AJ162" s="16"/>
      <c r="AK162" s="16"/>
      <c r="AL162" s="16" t="s">
        <v>2095</v>
      </c>
    </row>
    <row r="163" spans="1:38" x14ac:dyDescent="0.5">
      <c r="A163">
        <v>13081</v>
      </c>
      <c r="B163" s="16" t="s">
        <v>2096</v>
      </c>
      <c r="C163" s="16" t="s">
        <v>2096</v>
      </c>
      <c r="D163" s="16"/>
      <c r="E163" s="16" t="s">
        <v>2097</v>
      </c>
      <c r="F163" s="17" t="s">
        <v>2098</v>
      </c>
      <c r="G163" s="17" t="s">
        <v>2099</v>
      </c>
      <c r="H163" s="16" t="s">
        <v>456</v>
      </c>
      <c r="I163" s="16" t="s">
        <v>2100</v>
      </c>
      <c r="J163" s="33">
        <v>39036</v>
      </c>
      <c r="K163" s="33">
        <v>43465</v>
      </c>
      <c r="L163" s="16" t="s">
        <v>66</v>
      </c>
      <c r="M163" s="16" t="s">
        <v>67</v>
      </c>
      <c r="N163" s="16" t="s">
        <v>68</v>
      </c>
      <c r="O163" s="16" t="s">
        <v>436</v>
      </c>
      <c r="P163" s="16" t="s">
        <v>70</v>
      </c>
      <c r="Q163" s="16" t="s">
        <v>71</v>
      </c>
      <c r="R163" s="17" t="s">
        <v>2101</v>
      </c>
      <c r="S163" s="16" t="s">
        <v>2102</v>
      </c>
      <c r="T163" s="16" t="s">
        <v>74</v>
      </c>
      <c r="U163" s="16" t="s">
        <v>75</v>
      </c>
      <c r="V163" s="16" t="s">
        <v>2103</v>
      </c>
      <c r="W163" s="16"/>
      <c r="X163" s="16" t="s">
        <v>2104</v>
      </c>
      <c r="Y163" s="16" t="s">
        <v>78</v>
      </c>
      <c r="Z163" s="16" t="s">
        <v>132</v>
      </c>
      <c r="AA163" s="16" t="s">
        <v>133</v>
      </c>
      <c r="AB163" s="17" t="s">
        <v>2105</v>
      </c>
      <c r="AC163" s="16" t="s">
        <v>71</v>
      </c>
      <c r="AD163" s="17" t="s">
        <v>2105</v>
      </c>
      <c r="AE163" s="17" t="s">
        <v>2106</v>
      </c>
      <c r="AF163" s="17" t="s">
        <v>2107</v>
      </c>
      <c r="AG163" s="16" t="s">
        <v>2108</v>
      </c>
      <c r="AH163" s="16" t="s">
        <v>653</v>
      </c>
      <c r="AI163" s="16"/>
      <c r="AJ163" s="16"/>
      <c r="AK163" s="16"/>
      <c r="AL163" s="16" t="s">
        <v>2109</v>
      </c>
    </row>
    <row r="164" spans="1:38" x14ac:dyDescent="0.5">
      <c r="A164">
        <v>13181</v>
      </c>
      <c r="B164" s="16" t="s">
        <v>1391</v>
      </c>
      <c r="C164" s="16" t="s">
        <v>1392</v>
      </c>
      <c r="D164" s="16" t="s">
        <v>721</v>
      </c>
      <c r="E164" s="16" t="s">
        <v>2110</v>
      </c>
      <c r="F164" s="17" t="s">
        <v>2111</v>
      </c>
      <c r="G164" s="17" t="s">
        <v>2112</v>
      </c>
      <c r="H164" s="16" t="s">
        <v>2113</v>
      </c>
      <c r="I164" s="16" t="s">
        <v>2114</v>
      </c>
      <c r="J164" s="33">
        <v>39094</v>
      </c>
      <c r="K164" s="33">
        <v>43465</v>
      </c>
      <c r="L164" s="16" t="s">
        <v>66</v>
      </c>
      <c r="M164" s="16" t="s">
        <v>67</v>
      </c>
      <c r="N164" s="16" t="s">
        <v>68</v>
      </c>
      <c r="O164" s="16" t="s">
        <v>436</v>
      </c>
      <c r="P164" s="16" t="s">
        <v>70</v>
      </c>
      <c r="Q164" s="16" t="s">
        <v>71</v>
      </c>
      <c r="R164" s="17" t="s">
        <v>2115</v>
      </c>
      <c r="S164" s="16" t="s">
        <v>788</v>
      </c>
      <c r="T164" s="16" t="s">
        <v>74</v>
      </c>
      <c r="U164" s="16" t="s">
        <v>75</v>
      </c>
      <c r="V164" s="16" t="s">
        <v>2116</v>
      </c>
      <c r="W164" s="16"/>
      <c r="X164" s="16" t="s">
        <v>2117</v>
      </c>
      <c r="Y164" s="16" t="s">
        <v>78</v>
      </c>
      <c r="Z164" s="16" t="s">
        <v>242</v>
      </c>
      <c r="AA164" s="16" t="s">
        <v>243</v>
      </c>
      <c r="AB164" s="17" t="s">
        <v>2118</v>
      </c>
      <c r="AC164" s="16" t="s">
        <v>71</v>
      </c>
      <c r="AD164" s="17" t="s">
        <v>2118</v>
      </c>
      <c r="AE164" s="17" t="s">
        <v>2119</v>
      </c>
      <c r="AF164" s="17" t="s">
        <v>2120</v>
      </c>
      <c r="AG164" s="16" t="s">
        <v>2021</v>
      </c>
      <c r="AH164" s="16" t="s">
        <v>871</v>
      </c>
      <c r="AI164" s="16"/>
      <c r="AJ164" s="16"/>
      <c r="AK164" s="16"/>
      <c r="AL164" s="16" t="s">
        <v>2121</v>
      </c>
    </row>
    <row r="165" spans="1:38" x14ac:dyDescent="0.5">
      <c r="A165">
        <v>13191</v>
      </c>
      <c r="B165" s="16" t="s">
        <v>2122</v>
      </c>
      <c r="C165" s="16" t="s">
        <v>2122</v>
      </c>
      <c r="D165" s="16"/>
      <c r="E165" s="16" t="s">
        <v>2078</v>
      </c>
      <c r="F165" s="17" t="s">
        <v>2123</v>
      </c>
      <c r="H165" s="16" t="s">
        <v>127</v>
      </c>
      <c r="I165" s="16"/>
      <c r="J165" s="33">
        <v>39099</v>
      </c>
      <c r="K165" s="33">
        <v>43465</v>
      </c>
      <c r="L165" s="16" t="s">
        <v>66</v>
      </c>
      <c r="M165" s="16" t="s">
        <v>291</v>
      </c>
      <c r="N165" s="16" t="s">
        <v>127</v>
      </c>
      <c r="O165" s="16" t="s">
        <v>127</v>
      </c>
      <c r="P165" s="16" t="s">
        <v>70</v>
      </c>
      <c r="Q165" s="16" t="s">
        <v>71</v>
      </c>
      <c r="R165" s="17" t="s">
        <v>2124</v>
      </c>
      <c r="S165" s="16" t="s">
        <v>662</v>
      </c>
      <c r="T165" s="16" t="s">
        <v>74</v>
      </c>
      <c r="U165" s="16" t="s">
        <v>75</v>
      </c>
      <c r="V165" s="16" t="s">
        <v>2125</v>
      </c>
      <c r="W165" s="16"/>
      <c r="X165" s="16" t="s">
        <v>2126</v>
      </c>
      <c r="Y165" s="16" t="s">
        <v>78</v>
      </c>
      <c r="Z165" s="16" t="s">
        <v>666</v>
      </c>
      <c r="AA165" s="16" t="s">
        <v>667</v>
      </c>
      <c r="AB165" s="17" t="s">
        <v>2127</v>
      </c>
      <c r="AC165" s="16" t="s">
        <v>71</v>
      </c>
      <c r="AD165" s="17" t="s">
        <v>2127</v>
      </c>
      <c r="AE165" s="17" t="s">
        <v>2128</v>
      </c>
      <c r="AF165" s="17" t="s">
        <v>2127</v>
      </c>
      <c r="AG165" s="16" t="s">
        <v>1003</v>
      </c>
      <c r="AH165" s="16" t="s">
        <v>579</v>
      </c>
      <c r="AI165" s="16"/>
      <c r="AJ165" s="16"/>
      <c r="AK165" s="16"/>
      <c r="AL165" s="16" t="s">
        <v>2129</v>
      </c>
    </row>
    <row r="166" spans="1:38" x14ac:dyDescent="0.5">
      <c r="A166">
        <v>13201</v>
      </c>
      <c r="B166" s="16" t="s">
        <v>2130</v>
      </c>
      <c r="C166" s="16" t="s">
        <v>2130</v>
      </c>
      <c r="D166" s="16"/>
      <c r="E166" s="16" t="s">
        <v>2131</v>
      </c>
      <c r="F166" s="17" t="s">
        <v>2132</v>
      </c>
      <c r="G166" s="17" t="s">
        <v>2133</v>
      </c>
      <c r="H166" s="16" t="s">
        <v>332</v>
      </c>
      <c r="I166" s="16" t="s">
        <v>2134</v>
      </c>
      <c r="J166" s="33">
        <v>39106</v>
      </c>
      <c r="K166" s="33">
        <v>55153</v>
      </c>
      <c r="L166" s="16" t="s">
        <v>66</v>
      </c>
      <c r="M166" s="16" t="s">
        <v>109</v>
      </c>
      <c r="N166" s="16" t="s">
        <v>110</v>
      </c>
      <c r="O166" s="16" t="s">
        <v>253</v>
      </c>
      <c r="P166" s="16" t="s">
        <v>70</v>
      </c>
      <c r="Q166" s="16" t="s">
        <v>71</v>
      </c>
      <c r="R166" s="17" t="s">
        <v>2135</v>
      </c>
      <c r="S166" s="16" t="s">
        <v>2136</v>
      </c>
      <c r="T166" s="16" t="s">
        <v>2137</v>
      </c>
      <c r="U166" s="16" t="s">
        <v>2138</v>
      </c>
      <c r="V166" s="16" t="s">
        <v>2139</v>
      </c>
      <c r="W166" s="16" t="s">
        <v>2140</v>
      </c>
      <c r="X166" s="16" t="s">
        <v>2141</v>
      </c>
      <c r="Y166" s="16" t="s">
        <v>744</v>
      </c>
      <c r="Z166" s="16"/>
      <c r="AA166" s="16"/>
      <c r="AB166" s="17" t="s">
        <v>2142</v>
      </c>
      <c r="AC166" s="16" t="s">
        <v>71</v>
      </c>
      <c r="AD166" s="17" t="s">
        <v>2142</v>
      </c>
      <c r="AE166" s="17" t="s">
        <v>2143</v>
      </c>
      <c r="AF166" s="17" t="s">
        <v>2144</v>
      </c>
      <c r="AG166" s="16" t="s">
        <v>1345</v>
      </c>
      <c r="AH166" s="16" t="s">
        <v>1017</v>
      </c>
      <c r="AI166" s="16"/>
      <c r="AJ166" s="16"/>
      <c r="AK166" s="16"/>
      <c r="AL166" s="16" t="s">
        <v>2145</v>
      </c>
    </row>
    <row r="167" spans="1:38" x14ac:dyDescent="0.5">
      <c r="A167">
        <v>13231</v>
      </c>
      <c r="B167" s="16" t="s">
        <v>2146</v>
      </c>
      <c r="C167" s="16" t="s">
        <v>2146</v>
      </c>
      <c r="D167" s="16"/>
      <c r="E167" s="16" t="s">
        <v>2147</v>
      </c>
      <c r="F167" s="17" t="s">
        <v>2148</v>
      </c>
      <c r="H167" s="16" t="s">
        <v>2149</v>
      </c>
      <c r="I167" s="16" t="s">
        <v>2150</v>
      </c>
      <c r="J167" s="33">
        <v>42038</v>
      </c>
      <c r="K167" s="33">
        <v>43465</v>
      </c>
      <c r="L167" s="16" t="s">
        <v>66</v>
      </c>
      <c r="M167" s="16" t="s">
        <v>67</v>
      </c>
      <c r="N167" s="16" t="s">
        <v>68</v>
      </c>
      <c r="O167" s="16" t="s">
        <v>436</v>
      </c>
      <c r="P167" s="16" t="s">
        <v>572</v>
      </c>
      <c r="Q167" s="16" t="s">
        <v>71</v>
      </c>
      <c r="R167" s="17" t="s">
        <v>2151</v>
      </c>
      <c r="S167" s="16" t="s">
        <v>222</v>
      </c>
      <c r="T167" s="16" t="s">
        <v>74</v>
      </c>
      <c r="U167" s="16" t="s">
        <v>75</v>
      </c>
      <c r="V167" s="16" t="s">
        <v>2152</v>
      </c>
      <c r="W167" s="16" t="s">
        <v>1600</v>
      </c>
      <c r="X167" s="16" t="s">
        <v>2153</v>
      </c>
      <c r="Y167" s="16" t="s">
        <v>78</v>
      </c>
      <c r="Z167" s="16" t="s">
        <v>189</v>
      </c>
      <c r="AA167" s="16" t="s">
        <v>190</v>
      </c>
      <c r="AB167" s="17" t="s">
        <v>2154</v>
      </c>
      <c r="AC167" s="16" t="s">
        <v>71</v>
      </c>
      <c r="AD167" s="17" t="s">
        <v>2154</v>
      </c>
      <c r="AF167" s="17" t="s">
        <v>2155</v>
      </c>
      <c r="AG167" s="16" t="s">
        <v>1017</v>
      </c>
      <c r="AH167" s="16" t="s">
        <v>1076</v>
      </c>
      <c r="AI167" s="16" t="s">
        <v>2156</v>
      </c>
      <c r="AJ167" s="16"/>
      <c r="AK167" s="16"/>
      <c r="AL167" s="16"/>
    </row>
    <row r="168" spans="1:38" x14ac:dyDescent="0.5">
      <c r="A168">
        <v>13331</v>
      </c>
      <c r="B168" s="16" t="s">
        <v>2157</v>
      </c>
      <c r="C168" s="16" t="s">
        <v>2157</v>
      </c>
      <c r="D168" s="16"/>
      <c r="E168" s="16" t="s">
        <v>2158</v>
      </c>
      <c r="F168" s="17" t="s">
        <v>2159</v>
      </c>
      <c r="H168" s="16" t="s">
        <v>2160</v>
      </c>
      <c r="I168" s="16" t="s">
        <v>8591</v>
      </c>
      <c r="J168" s="33">
        <v>42556</v>
      </c>
      <c r="K168" s="33">
        <v>43465</v>
      </c>
      <c r="L168" s="16" t="s">
        <v>66</v>
      </c>
      <c r="M168" s="16" t="s">
        <v>90</v>
      </c>
      <c r="N168" s="16" t="s">
        <v>91</v>
      </c>
      <c r="O168" s="16" t="s">
        <v>91</v>
      </c>
      <c r="P168" s="16" t="s">
        <v>572</v>
      </c>
      <c r="Q168" s="16" t="s">
        <v>71</v>
      </c>
      <c r="R168" s="17" t="s">
        <v>2161</v>
      </c>
      <c r="S168" s="16" t="s">
        <v>2162</v>
      </c>
      <c r="T168" s="16" t="s">
        <v>74</v>
      </c>
      <c r="U168" s="16" t="s">
        <v>75</v>
      </c>
      <c r="V168" s="16" t="s">
        <v>2163</v>
      </c>
      <c r="W168" s="16"/>
      <c r="X168" s="16" t="s">
        <v>2164</v>
      </c>
      <c r="Y168" s="16" t="s">
        <v>78</v>
      </c>
      <c r="Z168" s="16" t="s">
        <v>2165</v>
      </c>
      <c r="AA168" s="16" t="s">
        <v>2166</v>
      </c>
      <c r="AB168" s="17" t="s">
        <v>2167</v>
      </c>
      <c r="AC168" s="16" t="s">
        <v>71</v>
      </c>
      <c r="AD168" s="17" t="s">
        <v>2167</v>
      </c>
      <c r="AG168" s="16" t="s">
        <v>2168</v>
      </c>
      <c r="AH168" s="16" t="s">
        <v>2169</v>
      </c>
      <c r="AI168" s="16"/>
      <c r="AJ168" s="16"/>
      <c r="AK168" s="16"/>
      <c r="AL168" s="16" t="s">
        <v>2170</v>
      </c>
    </row>
    <row r="169" spans="1:38" x14ac:dyDescent="0.5">
      <c r="A169">
        <v>13681</v>
      </c>
      <c r="B169" s="16" t="s">
        <v>567</v>
      </c>
      <c r="C169" s="16" t="s">
        <v>567</v>
      </c>
      <c r="D169" s="16"/>
      <c r="E169" s="16" t="s">
        <v>2171</v>
      </c>
      <c r="F169" s="17" t="s">
        <v>8592</v>
      </c>
      <c r="G169" s="17" t="s">
        <v>2172</v>
      </c>
      <c r="H169" s="16" t="s">
        <v>2173</v>
      </c>
      <c r="I169" s="16" t="s">
        <v>2174</v>
      </c>
      <c r="J169" s="33">
        <v>39171</v>
      </c>
      <c r="K169" s="33">
        <v>43465</v>
      </c>
      <c r="L169" s="16" t="s">
        <v>66</v>
      </c>
      <c r="M169" s="16" t="s">
        <v>67</v>
      </c>
      <c r="N169" s="16" t="s">
        <v>68</v>
      </c>
      <c r="O169" s="16" t="s">
        <v>4047</v>
      </c>
      <c r="P169" s="16" t="s">
        <v>70</v>
      </c>
      <c r="Q169" s="16" t="s">
        <v>71</v>
      </c>
      <c r="R169" s="17" t="s">
        <v>2175</v>
      </c>
      <c r="S169" s="16" t="s">
        <v>113</v>
      </c>
      <c r="T169" s="16" t="s">
        <v>74</v>
      </c>
      <c r="U169" s="16" t="s">
        <v>75</v>
      </c>
      <c r="V169" s="16" t="s">
        <v>2176</v>
      </c>
      <c r="W169" s="16"/>
      <c r="X169" s="16" t="s">
        <v>2177</v>
      </c>
      <c r="Y169" s="16" t="s">
        <v>78</v>
      </c>
      <c r="Z169" s="16" t="s">
        <v>117</v>
      </c>
      <c r="AA169" s="16" t="s">
        <v>113</v>
      </c>
      <c r="AB169" s="17" t="s">
        <v>2178</v>
      </c>
      <c r="AC169" s="16" t="s">
        <v>71</v>
      </c>
      <c r="AD169" s="17" t="s">
        <v>2178</v>
      </c>
      <c r="AE169" s="17" t="s">
        <v>2179</v>
      </c>
      <c r="AG169" s="16" t="s">
        <v>2180</v>
      </c>
      <c r="AH169" s="16" t="s">
        <v>1017</v>
      </c>
      <c r="AI169" s="16"/>
      <c r="AJ169" s="16"/>
      <c r="AK169" s="16"/>
      <c r="AL169" s="16" t="s">
        <v>2181</v>
      </c>
    </row>
    <row r="170" spans="1:38" x14ac:dyDescent="0.5">
      <c r="A170">
        <v>13911</v>
      </c>
      <c r="B170" s="16" t="s">
        <v>2182</v>
      </c>
      <c r="C170" s="16" t="s">
        <v>2182</v>
      </c>
      <c r="D170" s="16"/>
      <c r="E170" s="16" t="s">
        <v>2183</v>
      </c>
      <c r="F170" s="17" t="s">
        <v>2184</v>
      </c>
      <c r="H170" s="16" t="s">
        <v>699</v>
      </c>
      <c r="I170" s="16" t="s">
        <v>2185</v>
      </c>
      <c r="J170" s="33">
        <v>39192</v>
      </c>
      <c r="K170" s="33">
        <v>43465</v>
      </c>
      <c r="L170" s="16" t="s">
        <v>66</v>
      </c>
      <c r="M170" s="16" t="s">
        <v>167</v>
      </c>
      <c r="N170" s="16" t="s">
        <v>110</v>
      </c>
      <c r="O170" s="16" t="s">
        <v>280</v>
      </c>
      <c r="P170" s="16" t="s">
        <v>70</v>
      </c>
      <c r="Q170" s="16" t="s">
        <v>71</v>
      </c>
      <c r="R170" s="17" t="s">
        <v>2186</v>
      </c>
      <c r="S170" s="16" t="s">
        <v>113</v>
      </c>
      <c r="T170" s="16" t="s">
        <v>74</v>
      </c>
      <c r="U170" s="16" t="s">
        <v>75</v>
      </c>
      <c r="V170" s="16" t="s">
        <v>2187</v>
      </c>
      <c r="W170" s="16" t="s">
        <v>2188</v>
      </c>
      <c r="X170" s="16" t="s">
        <v>321</v>
      </c>
      <c r="Y170" s="16" t="s">
        <v>78</v>
      </c>
      <c r="Z170" s="16" t="s">
        <v>117</v>
      </c>
      <c r="AA170" s="16" t="s">
        <v>113</v>
      </c>
      <c r="AB170" s="17" t="s">
        <v>2189</v>
      </c>
      <c r="AC170" s="16" t="s">
        <v>71</v>
      </c>
      <c r="AD170" s="17" t="s">
        <v>2189</v>
      </c>
      <c r="AE170" s="17" t="s">
        <v>2189</v>
      </c>
      <c r="AF170" s="17" t="s">
        <v>2190</v>
      </c>
      <c r="AG170" s="16" t="s">
        <v>2191</v>
      </c>
      <c r="AH170" s="16" t="s">
        <v>2192</v>
      </c>
      <c r="AI170" s="16"/>
      <c r="AJ170" s="16"/>
      <c r="AK170" s="16"/>
      <c r="AL170" s="16" t="s">
        <v>2193</v>
      </c>
    </row>
    <row r="171" spans="1:38" x14ac:dyDescent="0.5">
      <c r="A171">
        <v>13921</v>
      </c>
      <c r="B171" s="16" t="s">
        <v>733</v>
      </c>
      <c r="C171" s="16" t="s">
        <v>733</v>
      </c>
      <c r="D171" s="16"/>
      <c r="E171" s="16" t="s">
        <v>910</v>
      </c>
      <c r="F171" s="17" t="s">
        <v>2194</v>
      </c>
      <c r="G171" s="17" t="s">
        <v>2195</v>
      </c>
      <c r="H171" s="16" t="s">
        <v>2196</v>
      </c>
      <c r="I171" s="16" t="s">
        <v>2197</v>
      </c>
      <c r="J171" s="33">
        <v>39192</v>
      </c>
      <c r="K171" s="33">
        <v>43465</v>
      </c>
      <c r="L171" s="16" t="s">
        <v>66</v>
      </c>
      <c r="M171" s="16" t="s">
        <v>67</v>
      </c>
      <c r="N171" s="16" t="s">
        <v>68</v>
      </c>
      <c r="O171" s="16" t="s">
        <v>436</v>
      </c>
      <c r="P171" s="16" t="s">
        <v>70</v>
      </c>
      <c r="Q171" s="16" t="s">
        <v>71</v>
      </c>
      <c r="R171" s="17" t="s">
        <v>2198</v>
      </c>
      <c r="S171" s="16" t="s">
        <v>359</v>
      </c>
      <c r="T171" s="16" t="s">
        <v>74</v>
      </c>
      <c r="U171" s="16" t="s">
        <v>75</v>
      </c>
      <c r="V171" s="16" t="s">
        <v>2199</v>
      </c>
      <c r="W171" s="16" t="s">
        <v>2200</v>
      </c>
      <c r="X171" s="16" t="s">
        <v>2201</v>
      </c>
      <c r="Y171" s="16" t="s">
        <v>78</v>
      </c>
      <c r="Z171" s="16" t="s">
        <v>242</v>
      </c>
      <c r="AA171" s="16" t="s">
        <v>243</v>
      </c>
      <c r="AB171" s="17" t="s">
        <v>2202</v>
      </c>
      <c r="AC171" s="16" t="s">
        <v>71</v>
      </c>
      <c r="AD171" s="17" t="s">
        <v>2202</v>
      </c>
      <c r="AE171" s="17" t="s">
        <v>2203</v>
      </c>
      <c r="AG171" s="16" t="s">
        <v>2204</v>
      </c>
      <c r="AH171" s="16" t="s">
        <v>2034</v>
      </c>
      <c r="AI171" s="16"/>
      <c r="AJ171" s="16"/>
      <c r="AK171" s="16"/>
      <c r="AL171" s="16" t="s">
        <v>2205</v>
      </c>
    </row>
    <row r="172" spans="1:38" x14ac:dyDescent="0.5">
      <c r="A172">
        <v>13941</v>
      </c>
      <c r="B172" s="16" t="s">
        <v>1150</v>
      </c>
      <c r="C172" s="16" t="s">
        <v>1150</v>
      </c>
      <c r="D172" s="16" t="s">
        <v>103</v>
      </c>
      <c r="E172" s="16" t="s">
        <v>2206</v>
      </c>
      <c r="F172" s="17" t="s">
        <v>2207</v>
      </c>
      <c r="G172" s="17" t="s">
        <v>2208</v>
      </c>
      <c r="H172" s="16" t="s">
        <v>2209</v>
      </c>
      <c r="I172" s="16" t="s">
        <v>2210</v>
      </c>
      <c r="J172" s="33">
        <v>39210</v>
      </c>
      <c r="K172" s="33">
        <v>43465</v>
      </c>
      <c r="L172" s="16" t="s">
        <v>66</v>
      </c>
      <c r="M172" s="16" t="s">
        <v>167</v>
      </c>
      <c r="N172" s="16" t="s">
        <v>110</v>
      </c>
      <c r="O172" s="16" t="s">
        <v>280</v>
      </c>
      <c r="P172" s="16" t="s">
        <v>70</v>
      </c>
      <c r="Q172" s="16" t="s">
        <v>71</v>
      </c>
      <c r="R172" s="17" t="s">
        <v>2211</v>
      </c>
      <c r="S172" s="16" t="s">
        <v>662</v>
      </c>
      <c r="T172" s="16" t="s">
        <v>74</v>
      </c>
      <c r="U172" s="16" t="s">
        <v>75</v>
      </c>
      <c r="V172" s="16" t="s">
        <v>2212</v>
      </c>
      <c r="W172" s="16" t="s">
        <v>2213</v>
      </c>
      <c r="X172" s="16" t="s">
        <v>2214</v>
      </c>
      <c r="Y172" s="16" t="s">
        <v>78</v>
      </c>
      <c r="Z172" s="16" t="s">
        <v>666</v>
      </c>
      <c r="AA172" s="16" t="s">
        <v>667</v>
      </c>
      <c r="AB172" s="17" t="s">
        <v>2215</v>
      </c>
      <c r="AC172" s="16" t="s">
        <v>71</v>
      </c>
      <c r="AD172" s="17" t="s">
        <v>2215</v>
      </c>
      <c r="AG172" s="16" t="s">
        <v>1524</v>
      </c>
      <c r="AH172" s="16" t="s">
        <v>2083</v>
      </c>
      <c r="AI172" s="16"/>
      <c r="AJ172" s="16"/>
      <c r="AK172" s="16"/>
      <c r="AL172" s="16" t="s">
        <v>2216</v>
      </c>
    </row>
    <row r="173" spans="1:38" x14ac:dyDescent="0.5">
      <c r="A173">
        <v>14061</v>
      </c>
      <c r="B173" s="16" t="s">
        <v>84</v>
      </c>
      <c r="C173" s="16" t="s">
        <v>84</v>
      </c>
      <c r="D173" s="16" t="s">
        <v>103</v>
      </c>
      <c r="E173" s="16" t="s">
        <v>2217</v>
      </c>
      <c r="F173" s="17" t="s">
        <v>2218</v>
      </c>
      <c r="G173" s="17" t="s">
        <v>2219</v>
      </c>
      <c r="H173" s="16" t="s">
        <v>2220</v>
      </c>
      <c r="I173" s="16" t="s">
        <v>2221</v>
      </c>
      <c r="J173" s="33">
        <v>39304</v>
      </c>
      <c r="K173" s="33">
        <v>43465</v>
      </c>
      <c r="L173" s="16" t="s">
        <v>66</v>
      </c>
      <c r="M173" s="16" t="s">
        <v>67</v>
      </c>
      <c r="N173" s="16" t="s">
        <v>68</v>
      </c>
      <c r="O173" s="16" t="s">
        <v>436</v>
      </c>
      <c r="P173" s="16" t="s">
        <v>70</v>
      </c>
      <c r="Q173" s="16" t="s">
        <v>71</v>
      </c>
      <c r="R173" s="17" t="s">
        <v>2222</v>
      </c>
      <c r="S173" s="16" t="s">
        <v>113</v>
      </c>
      <c r="T173" s="16" t="s">
        <v>74</v>
      </c>
      <c r="U173" s="16" t="s">
        <v>75</v>
      </c>
      <c r="V173" s="16" t="s">
        <v>2223</v>
      </c>
      <c r="W173" s="16"/>
      <c r="X173" s="16" t="s">
        <v>2224</v>
      </c>
      <c r="Y173" s="16" t="s">
        <v>78</v>
      </c>
      <c r="Z173" s="16" t="s">
        <v>117</v>
      </c>
      <c r="AA173" s="16" t="s">
        <v>113</v>
      </c>
      <c r="AB173" s="17" t="s">
        <v>2225</v>
      </c>
      <c r="AC173" s="16" t="s">
        <v>71</v>
      </c>
      <c r="AD173" s="17" t="s">
        <v>2225</v>
      </c>
      <c r="AE173" s="17" t="s">
        <v>2226</v>
      </c>
      <c r="AF173" s="17" t="s">
        <v>2227</v>
      </c>
      <c r="AG173" s="16" t="s">
        <v>1076</v>
      </c>
      <c r="AH173" s="16" t="s">
        <v>2228</v>
      </c>
      <c r="AI173" s="16"/>
      <c r="AJ173" s="16"/>
      <c r="AK173" s="16"/>
      <c r="AL173" s="16" t="s">
        <v>2229</v>
      </c>
    </row>
    <row r="174" spans="1:38" x14ac:dyDescent="0.5">
      <c r="A174">
        <v>14141</v>
      </c>
      <c r="B174" s="16" t="s">
        <v>2230</v>
      </c>
      <c r="C174" s="16" t="s">
        <v>2230</v>
      </c>
      <c r="D174" s="16"/>
      <c r="E174" s="16" t="s">
        <v>2231</v>
      </c>
      <c r="F174" s="17" t="s">
        <v>2232</v>
      </c>
      <c r="G174" s="17" t="s">
        <v>2233</v>
      </c>
      <c r="H174" s="16" t="s">
        <v>2234</v>
      </c>
      <c r="I174" s="16" t="s">
        <v>8593</v>
      </c>
      <c r="J174" s="33">
        <v>39323</v>
      </c>
      <c r="K174" s="33">
        <v>43465</v>
      </c>
      <c r="L174" s="16" t="s">
        <v>66</v>
      </c>
      <c r="M174" s="16" t="s">
        <v>167</v>
      </c>
      <c r="N174" s="16" t="s">
        <v>110</v>
      </c>
      <c r="O174" s="16" t="s">
        <v>280</v>
      </c>
      <c r="P174" s="16" t="s">
        <v>70</v>
      </c>
      <c r="Q174" s="16" t="s">
        <v>71</v>
      </c>
      <c r="R174" s="17" t="s">
        <v>2235</v>
      </c>
      <c r="S174" s="16" t="s">
        <v>2236</v>
      </c>
      <c r="T174" s="16" t="s">
        <v>740</v>
      </c>
      <c r="U174" s="16" t="s">
        <v>741</v>
      </c>
      <c r="V174" s="16" t="s">
        <v>2237</v>
      </c>
      <c r="W174" s="16" t="s">
        <v>2238</v>
      </c>
      <c r="X174" s="16" t="s">
        <v>2239</v>
      </c>
      <c r="Y174" s="16" t="s">
        <v>744</v>
      </c>
      <c r="Z174" s="16"/>
      <c r="AA174" s="16"/>
      <c r="AB174" s="17" t="s">
        <v>2240</v>
      </c>
      <c r="AC174" s="16" t="s">
        <v>71</v>
      </c>
      <c r="AD174" s="17" t="s">
        <v>2240</v>
      </c>
      <c r="AE174" s="17" t="s">
        <v>2241</v>
      </c>
      <c r="AF174" s="17" t="s">
        <v>2242</v>
      </c>
      <c r="AG174" s="16" t="s">
        <v>1345</v>
      </c>
      <c r="AH174" s="16" t="s">
        <v>899</v>
      </c>
      <c r="AI174" s="16"/>
      <c r="AJ174" s="16"/>
      <c r="AK174" s="16"/>
      <c r="AL174" s="16" t="s">
        <v>699</v>
      </c>
    </row>
    <row r="175" spans="1:38" x14ac:dyDescent="0.5">
      <c r="A175">
        <v>14291</v>
      </c>
      <c r="B175" s="16" t="s">
        <v>2243</v>
      </c>
      <c r="C175" s="16" t="s">
        <v>2243</v>
      </c>
      <c r="D175" s="16"/>
      <c r="E175" s="16" t="s">
        <v>2244</v>
      </c>
      <c r="F175" s="17" t="s">
        <v>2245</v>
      </c>
      <c r="H175" s="16" t="s">
        <v>2246</v>
      </c>
      <c r="I175" s="16" t="s">
        <v>2247</v>
      </c>
      <c r="J175" s="33">
        <v>40360</v>
      </c>
      <c r="K175" s="33">
        <v>55153</v>
      </c>
      <c r="L175" s="16" t="s">
        <v>66</v>
      </c>
      <c r="M175" s="16" t="s">
        <v>109</v>
      </c>
      <c r="N175" s="16" t="s">
        <v>68</v>
      </c>
      <c r="O175" s="16" t="s">
        <v>202</v>
      </c>
      <c r="P175" s="16" t="s">
        <v>70</v>
      </c>
      <c r="Q175" s="16" t="s">
        <v>71</v>
      </c>
      <c r="R175" s="17" t="s">
        <v>2248</v>
      </c>
      <c r="S175" s="16" t="s">
        <v>2249</v>
      </c>
      <c r="T175" s="16" t="s">
        <v>74</v>
      </c>
      <c r="U175" s="16" t="s">
        <v>75</v>
      </c>
      <c r="V175" s="16" t="s">
        <v>2250</v>
      </c>
      <c r="W175" s="16"/>
      <c r="X175" s="16" t="s">
        <v>2251</v>
      </c>
      <c r="Y175" s="16" t="s">
        <v>78</v>
      </c>
      <c r="Z175" s="16" t="s">
        <v>207</v>
      </c>
      <c r="AA175" s="16" t="s">
        <v>208</v>
      </c>
      <c r="AB175" s="17" t="s">
        <v>2252</v>
      </c>
      <c r="AC175" s="16" t="s">
        <v>71</v>
      </c>
      <c r="AD175" s="17" t="s">
        <v>2252</v>
      </c>
      <c r="AG175" s="16"/>
      <c r="AH175" s="16"/>
      <c r="AI175" s="16"/>
      <c r="AJ175" s="16"/>
      <c r="AK175" s="16"/>
      <c r="AL175" s="16" t="s">
        <v>2253</v>
      </c>
    </row>
    <row r="176" spans="1:38" x14ac:dyDescent="0.5">
      <c r="A176">
        <v>14441</v>
      </c>
      <c r="B176" s="16" t="s">
        <v>2254</v>
      </c>
      <c r="C176" s="16" t="s">
        <v>2254</v>
      </c>
      <c r="D176" s="16" t="s">
        <v>695</v>
      </c>
      <c r="E176" s="16" t="s">
        <v>2255</v>
      </c>
      <c r="F176" s="17" t="s">
        <v>2256</v>
      </c>
      <c r="H176" s="16" t="s">
        <v>2257</v>
      </c>
      <c r="I176" s="16" t="s">
        <v>2258</v>
      </c>
      <c r="J176" s="33">
        <v>39357</v>
      </c>
      <c r="K176" s="33">
        <v>43465</v>
      </c>
      <c r="L176" s="16" t="s">
        <v>66</v>
      </c>
      <c r="M176" s="16" t="s">
        <v>67</v>
      </c>
      <c r="N176" s="16" t="s">
        <v>68</v>
      </c>
      <c r="O176" s="16" t="s">
        <v>436</v>
      </c>
      <c r="P176" s="16" t="s">
        <v>70</v>
      </c>
      <c r="Q176" s="16" t="s">
        <v>71</v>
      </c>
      <c r="R176" s="17" t="s">
        <v>2259</v>
      </c>
      <c r="S176" s="16" t="s">
        <v>1820</v>
      </c>
      <c r="T176" s="16" t="s">
        <v>74</v>
      </c>
      <c r="U176" s="16" t="s">
        <v>75</v>
      </c>
      <c r="V176" s="16" t="s">
        <v>2260</v>
      </c>
      <c r="W176" s="16"/>
      <c r="X176" s="16" t="s">
        <v>1823</v>
      </c>
      <c r="Y176" s="16" t="s">
        <v>78</v>
      </c>
      <c r="Z176" s="16" t="s">
        <v>189</v>
      </c>
      <c r="AA176" s="16" t="s">
        <v>190</v>
      </c>
      <c r="AB176" s="17" t="s">
        <v>2261</v>
      </c>
      <c r="AC176" s="16" t="s">
        <v>71</v>
      </c>
      <c r="AD176" s="17" t="s">
        <v>2261</v>
      </c>
      <c r="AE176" s="17" t="s">
        <v>2262</v>
      </c>
      <c r="AG176" s="16" t="s">
        <v>1548</v>
      </c>
      <c r="AH176" s="16" t="s">
        <v>1345</v>
      </c>
      <c r="AI176" s="16"/>
      <c r="AJ176" s="16"/>
      <c r="AK176" s="16"/>
      <c r="AL176" s="16" t="s">
        <v>2263</v>
      </c>
    </row>
    <row r="177" spans="1:38" x14ac:dyDescent="0.5">
      <c r="A177">
        <v>14491</v>
      </c>
      <c r="B177" s="16" t="s">
        <v>397</v>
      </c>
      <c r="C177" s="16" t="s">
        <v>397</v>
      </c>
      <c r="D177" s="16" t="s">
        <v>794</v>
      </c>
      <c r="E177" s="16" t="s">
        <v>2264</v>
      </c>
      <c r="F177" s="17" t="s">
        <v>2265</v>
      </c>
      <c r="G177" s="17" t="s">
        <v>2266</v>
      </c>
      <c r="H177" s="16" t="s">
        <v>2267</v>
      </c>
      <c r="I177" s="16" t="s">
        <v>2268</v>
      </c>
      <c r="J177" s="33">
        <v>39423</v>
      </c>
      <c r="K177" s="33">
        <v>43465</v>
      </c>
      <c r="L177" s="16" t="s">
        <v>66</v>
      </c>
      <c r="M177" s="16" t="s">
        <v>90</v>
      </c>
      <c r="N177" s="16" t="s">
        <v>91</v>
      </c>
      <c r="O177" s="16" t="s">
        <v>91</v>
      </c>
      <c r="P177" s="16" t="s">
        <v>70</v>
      </c>
      <c r="Q177" s="16" t="s">
        <v>71</v>
      </c>
      <c r="R177" s="17" t="s">
        <v>2269</v>
      </c>
      <c r="S177" s="16" t="s">
        <v>2270</v>
      </c>
      <c r="T177" s="16" t="s">
        <v>74</v>
      </c>
      <c r="U177" s="16" t="s">
        <v>75</v>
      </c>
      <c r="V177" s="16" t="s">
        <v>2271</v>
      </c>
      <c r="W177" s="16" t="s">
        <v>2272</v>
      </c>
      <c r="X177" s="16" t="s">
        <v>2273</v>
      </c>
      <c r="Y177" s="16" t="s">
        <v>78</v>
      </c>
      <c r="Z177" s="16" t="s">
        <v>1055</v>
      </c>
      <c r="AA177" s="16" t="s">
        <v>1056</v>
      </c>
      <c r="AB177" s="17" t="s">
        <v>2274</v>
      </c>
      <c r="AC177" s="16" t="s">
        <v>71</v>
      </c>
      <c r="AD177" s="17" t="s">
        <v>2274</v>
      </c>
      <c r="AE177" s="17" t="s">
        <v>2275</v>
      </c>
      <c r="AG177" s="16" t="s">
        <v>2276</v>
      </c>
      <c r="AH177" s="16" t="s">
        <v>1147</v>
      </c>
      <c r="AI177" s="16"/>
      <c r="AJ177" s="16"/>
      <c r="AK177" s="16"/>
      <c r="AL177" s="16" t="s">
        <v>2277</v>
      </c>
    </row>
    <row r="178" spans="1:38" x14ac:dyDescent="0.5">
      <c r="A178">
        <v>14541</v>
      </c>
      <c r="B178" s="16" t="s">
        <v>2278</v>
      </c>
      <c r="C178" s="16" t="s">
        <v>2279</v>
      </c>
      <c r="D178" s="16"/>
      <c r="E178" s="16" t="s">
        <v>2280</v>
      </c>
      <c r="F178" s="17" t="s">
        <v>2281</v>
      </c>
      <c r="H178" s="16" t="s">
        <v>2282</v>
      </c>
      <c r="I178" s="16" t="s">
        <v>2283</v>
      </c>
      <c r="J178" s="33">
        <v>41449</v>
      </c>
      <c r="K178" s="33">
        <v>43465</v>
      </c>
      <c r="L178" s="16" t="s">
        <v>66</v>
      </c>
      <c r="M178" s="16" t="s">
        <v>167</v>
      </c>
      <c r="N178" s="16" t="s">
        <v>110</v>
      </c>
      <c r="O178" s="16" t="s">
        <v>280</v>
      </c>
      <c r="P178" s="16" t="s">
        <v>572</v>
      </c>
      <c r="Q178" s="16" t="s">
        <v>71</v>
      </c>
      <c r="R178" s="17" t="s">
        <v>2284</v>
      </c>
      <c r="S178" s="16" t="s">
        <v>113</v>
      </c>
      <c r="T178" s="16" t="s">
        <v>74</v>
      </c>
      <c r="U178" s="16" t="s">
        <v>75</v>
      </c>
      <c r="V178" s="16" t="s">
        <v>2285</v>
      </c>
      <c r="W178" s="16"/>
      <c r="X178" s="16" t="s">
        <v>2286</v>
      </c>
      <c r="Y178" s="16" t="s">
        <v>78</v>
      </c>
      <c r="Z178" s="16" t="s">
        <v>117</v>
      </c>
      <c r="AA178" s="16" t="s">
        <v>113</v>
      </c>
      <c r="AB178" s="17" t="s">
        <v>2287</v>
      </c>
      <c r="AC178" s="16" t="s">
        <v>71</v>
      </c>
      <c r="AD178" s="17" t="s">
        <v>2287</v>
      </c>
      <c r="AF178" s="17" t="s">
        <v>2288</v>
      </c>
      <c r="AG178" s="16" t="s">
        <v>2289</v>
      </c>
      <c r="AH178" s="16" t="s">
        <v>2290</v>
      </c>
      <c r="AI178" s="16"/>
      <c r="AJ178" s="16"/>
      <c r="AK178" s="16"/>
      <c r="AL178" s="16" t="s">
        <v>2291</v>
      </c>
    </row>
    <row r="179" spans="1:38" x14ac:dyDescent="0.5">
      <c r="A179">
        <v>14561</v>
      </c>
      <c r="B179" s="16" t="s">
        <v>1685</v>
      </c>
      <c r="C179" s="16" t="s">
        <v>1685</v>
      </c>
      <c r="D179" s="16" t="s">
        <v>162</v>
      </c>
      <c r="E179" s="16" t="s">
        <v>2292</v>
      </c>
      <c r="F179" s="17" t="s">
        <v>2293</v>
      </c>
      <c r="H179" s="16" t="s">
        <v>699</v>
      </c>
      <c r="I179" s="16" t="s">
        <v>607</v>
      </c>
      <c r="J179" s="33">
        <v>40599</v>
      </c>
      <c r="K179" s="33">
        <v>43465</v>
      </c>
      <c r="L179" s="16" t="s">
        <v>66</v>
      </c>
      <c r="M179" s="16" t="s">
        <v>167</v>
      </c>
      <c r="N179" s="16" t="s">
        <v>110</v>
      </c>
      <c r="O179" s="16" t="s">
        <v>280</v>
      </c>
      <c r="P179" s="16" t="s">
        <v>70</v>
      </c>
      <c r="Q179" s="16" t="s">
        <v>71</v>
      </c>
      <c r="R179" s="17" t="s">
        <v>2294</v>
      </c>
      <c r="S179" s="16" t="s">
        <v>113</v>
      </c>
      <c r="T179" s="16" t="s">
        <v>74</v>
      </c>
      <c r="U179" s="16" t="s">
        <v>75</v>
      </c>
      <c r="V179" s="16" t="s">
        <v>2295</v>
      </c>
      <c r="W179" s="16"/>
      <c r="X179" s="16" t="s">
        <v>321</v>
      </c>
      <c r="Y179" s="16" t="s">
        <v>78</v>
      </c>
      <c r="Z179" s="16" t="s">
        <v>117</v>
      </c>
      <c r="AA179" s="16" t="s">
        <v>113</v>
      </c>
      <c r="AB179" s="17" t="s">
        <v>2296</v>
      </c>
      <c r="AC179" s="16" t="s">
        <v>71</v>
      </c>
      <c r="AD179" s="17" t="s">
        <v>2296</v>
      </c>
      <c r="AG179" s="16" t="s">
        <v>1673</v>
      </c>
      <c r="AH179" s="16" t="s">
        <v>2297</v>
      </c>
      <c r="AI179" s="16"/>
      <c r="AJ179" s="16"/>
      <c r="AK179" s="16"/>
      <c r="AL179" s="16" t="s">
        <v>2298</v>
      </c>
    </row>
    <row r="180" spans="1:38" x14ac:dyDescent="0.5">
      <c r="A180">
        <v>14611</v>
      </c>
      <c r="B180" s="16" t="s">
        <v>2299</v>
      </c>
      <c r="C180" s="16" t="s">
        <v>2300</v>
      </c>
      <c r="D180" s="16"/>
      <c r="E180" s="16" t="s">
        <v>2301</v>
      </c>
      <c r="F180" s="17" t="s">
        <v>2302</v>
      </c>
      <c r="H180" s="16" t="s">
        <v>2303</v>
      </c>
      <c r="I180" s="16" t="s">
        <v>2304</v>
      </c>
      <c r="J180" s="33">
        <v>41465</v>
      </c>
      <c r="K180" s="33">
        <v>43465</v>
      </c>
      <c r="L180" s="16" t="s">
        <v>66</v>
      </c>
      <c r="M180" s="16" t="s">
        <v>67</v>
      </c>
      <c r="N180" s="16" t="s">
        <v>68</v>
      </c>
      <c r="O180" s="16" t="s">
        <v>436</v>
      </c>
      <c r="P180" s="16" t="s">
        <v>572</v>
      </c>
      <c r="Q180" s="16" t="s">
        <v>71</v>
      </c>
      <c r="R180" s="17" t="s">
        <v>2305</v>
      </c>
      <c r="S180" s="16" t="s">
        <v>1111</v>
      </c>
      <c r="T180" s="16" t="s">
        <v>74</v>
      </c>
      <c r="U180" s="16" t="s">
        <v>75</v>
      </c>
      <c r="V180" s="16" t="s">
        <v>2306</v>
      </c>
      <c r="W180" s="16"/>
      <c r="X180" s="16" t="s">
        <v>2307</v>
      </c>
      <c r="Y180" s="16" t="s">
        <v>78</v>
      </c>
      <c r="Z180" s="16" t="s">
        <v>207</v>
      </c>
      <c r="AA180" s="16" t="s">
        <v>208</v>
      </c>
      <c r="AB180" s="17" t="s">
        <v>2308</v>
      </c>
      <c r="AC180" s="16" t="s">
        <v>71</v>
      </c>
      <c r="AD180" s="17" t="s">
        <v>2308</v>
      </c>
      <c r="AE180" s="17" t="s">
        <v>2309</v>
      </c>
      <c r="AG180" s="16" t="s">
        <v>2108</v>
      </c>
      <c r="AH180" s="16" t="s">
        <v>653</v>
      </c>
      <c r="AI180" s="16"/>
      <c r="AJ180" s="16"/>
      <c r="AK180" s="16"/>
      <c r="AL180" s="16" t="s">
        <v>2310</v>
      </c>
    </row>
    <row r="181" spans="1:38" x14ac:dyDescent="0.5">
      <c r="A181">
        <v>14671</v>
      </c>
      <c r="B181" s="16" t="s">
        <v>2311</v>
      </c>
      <c r="C181" s="16" t="s">
        <v>2311</v>
      </c>
      <c r="D181" s="16"/>
      <c r="E181" s="16" t="s">
        <v>2312</v>
      </c>
      <c r="F181" s="17" t="s">
        <v>2313</v>
      </c>
      <c r="G181" s="17" t="s">
        <v>2314</v>
      </c>
      <c r="H181" s="16" t="s">
        <v>142</v>
      </c>
      <c r="I181" s="16" t="s">
        <v>2315</v>
      </c>
      <c r="J181" s="33">
        <v>39498</v>
      </c>
      <c r="K181" s="33">
        <v>43465</v>
      </c>
      <c r="L181" s="16" t="s">
        <v>66</v>
      </c>
      <c r="M181" s="16" t="s">
        <v>67</v>
      </c>
      <c r="N181" s="16" t="s">
        <v>68</v>
      </c>
      <c r="O181" s="16" t="s">
        <v>253</v>
      </c>
      <c r="P181" s="16" t="s">
        <v>70</v>
      </c>
      <c r="Q181" s="16" t="s">
        <v>71</v>
      </c>
      <c r="R181" s="17" t="s">
        <v>2316</v>
      </c>
      <c r="S181" s="16" t="s">
        <v>2317</v>
      </c>
      <c r="T181" s="16" t="s">
        <v>74</v>
      </c>
      <c r="U181" s="16" t="s">
        <v>75</v>
      </c>
      <c r="V181" s="16" t="s">
        <v>2318</v>
      </c>
      <c r="W181" s="16"/>
      <c r="X181" s="16" t="s">
        <v>2319</v>
      </c>
      <c r="Y181" s="16" t="s">
        <v>78</v>
      </c>
      <c r="Z181" s="16" t="s">
        <v>270</v>
      </c>
      <c r="AA181" s="16" t="s">
        <v>271</v>
      </c>
      <c r="AB181" s="17" t="s">
        <v>2320</v>
      </c>
      <c r="AC181" s="16" t="s">
        <v>71</v>
      </c>
      <c r="AD181" s="17" t="s">
        <v>2320</v>
      </c>
      <c r="AF181" s="17" t="s">
        <v>2321</v>
      </c>
      <c r="AG181" s="16" t="s">
        <v>1693</v>
      </c>
      <c r="AH181" s="16" t="s">
        <v>2322</v>
      </c>
      <c r="AI181" s="16"/>
      <c r="AJ181" s="16"/>
      <c r="AK181" s="16"/>
      <c r="AL181" s="16" t="s">
        <v>2323</v>
      </c>
    </row>
    <row r="182" spans="1:38" x14ac:dyDescent="0.5">
      <c r="A182">
        <v>14781</v>
      </c>
      <c r="B182" s="16" t="s">
        <v>2324</v>
      </c>
      <c r="C182" s="16" t="s">
        <v>2324</v>
      </c>
      <c r="D182" s="16"/>
      <c r="E182" s="16" t="s">
        <v>2325</v>
      </c>
      <c r="F182" s="17" t="s">
        <v>2326</v>
      </c>
      <c r="G182" s="17" t="s">
        <v>2327</v>
      </c>
      <c r="H182" s="16" t="s">
        <v>2328</v>
      </c>
      <c r="I182" s="16" t="s">
        <v>2329</v>
      </c>
      <c r="J182" s="33">
        <v>39507</v>
      </c>
      <c r="K182" s="33">
        <v>43465</v>
      </c>
      <c r="L182" s="16" t="s">
        <v>66</v>
      </c>
      <c r="M182" s="16" t="s">
        <v>67</v>
      </c>
      <c r="N182" s="16" t="s">
        <v>68</v>
      </c>
      <c r="O182" s="16" t="s">
        <v>69</v>
      </c>
      <c r="P182" s="16" t="s">
        <v>70</v>
      </c>
      <c r="Q182" s="16" t="s">
        <v>71</v>
      </c>
      <c r="R182" s="17" t="s">
        <v>2330</v>
      </c>
      <c r="S182" s="16" t="s">
        <v>2331</v>
      </c>
      <c r="T182" s="16" t="s">
        <v>74</v>
      </c>
      <c r="U182" s="16" t="s">
        <v>75</v>
      </c>
      <c r="V182" s="16" t="s">
        <v>2332</v>
      </c>
      <c r="W182" s="16"/>
      <c r="X182" s="16" t="s">
        <v>2333</v>
      </c>
      <c r="Y182" s="16" t="s">
        <v>78</v>
      </c>
      <c r="Z182" s="16" t="s">
        <v>242</v>
      </c>
      <c r="AA182" s="16" t="s">
        <v>243</v>
      </c>
      <c r="AB182" s="17" t="s">
        <v>2334</v>
      </c>
      <c r="AC182" s="16" t="s">
        <v>71</v>
      </c>
      <c r="AD182" s="17" t="s">
        <v>2334</v>
      </c>
      <c r="AF182" s="17" t="s">
        <v>2335</v>
      </c>
      <c r="AG182" s="16" t="s">
        <v>2322</v>
      </c>
      <c r="AH182" s="16" t="s">
        <v>2034</v>
      </c>
      <c r="AI182" s="16"/>
      <c r="AJ182" s="16"/>
      <c r="AK182" s="16"/>
      <c r="AL182" s="16" t="s">
        <v>2336</v>
      </c>
    </row>
    <row r="183" spans="1:38" x14ac:dyDescent="0.5">
      <c r="A183">
        <v>14951</v>
      </c>
      <c r="B183" s="16" t="s">
        <v>2337</v>
      </c>
      <c r="C183" s="16" t="s">
        <v>2337</v>
      </c>
      <c r="D183" s="16"/>
      <c r="E183" s="16" t="s">
        <v>2338</v>
      </c>
      <c r="F183" s="17" t="s">
        <v>2339</v>
      </c>
      <c r="H183" s="16" t="s">
        <v>127</v>
      </c>
      <c r="I183" s="16" t="s">
        <v>2340</v>
      </c>
      <c r="J183" s="33">
        <v>40458</v>
      </c>
      <c r="K183" s="33">
        <v>43465</v>
      </c>
      <c r="L183" s="16" t="s">
        <v>66</v>
      </c>
      <c r="M183" s="16" t="s">
        <v>291</v>
      </c>
      <c r="N183" s="16" t="s">
        <v>127</v>
      </c>
      <c r="O183" s="16" t="s">
        <v>127</v>
      </c>
      <c r="P183" s="16" t="s">
        <v>70</v>
      </c>
      <c r="Q183" s="16" t="s">
        <v>71</v>
      </c>
      <c r="R183" s="17" t="s">
        <v>2341</v>
      </c>
      <c r="S183" s="16" t="s">
        <v>2342</v>
      </c>
      <c r="T183" s="16" t="s">
        <v>74</v>
      </c>
      <c r="U183" s="16" t="s">
        <v>75</v>
      </c>
      <c r="V183" s="16" t="s">
        <v>2343</v>
      </c>
      <c r="W183" s="16"/>
      <c r="X183" s="16" t="s">
        <v>2344</v>
      </c>
      <c r="Y183" s="16" t="s">
        <v>78</v>
      </c>
      <c r="Z183" s="16" t="s">
        <v>963</v>
      </c>
      <c r="AA183" s="16" t="s">
        <v>964</v>
      </c>
      <c r="AB183" s="17" t="s">
        <v>2345</v>
      </c>
      <c r="AC183" s="16" t="s">
        <v>71</v>
      </c>
      <c r="AD183" s="17" t="s">
        <v>2345</v>
      </c>
      <c r="AG183" s="16" t="s">
        <v>2346</v>
      </c>
      <c r="AH183" s="16" t="s">
        <v>2347</v>
      </c>
      <c r="AI183" s="16"/>
      <c r="AJ183" s="16"/>
      <c r="AK183" s="16"/>
      <c r="AL183" s="16" t="s">
        <v>2348</v>
      </c>
    </row>
    <row r="184" spans="1:38" x14ac:dyDescent="0.5">
      <c r="A184">
        <v>14961</v>
      </c>
      <c r="B184" s="16" t="s">
        <v>842</v>
      </c>
      <c r="C184" s="16" t="s">
        <v>842</v>
      </c>
      <c r="D184" s="16" t="s">
        <v>103</v>
      </c>
      <c r="E184" s="16" t="s">
        <v>2349</v>
      </c>
      <c r="F184" s="17" t="s">
        <v>2350</v>
      </c>
      <c r="H184" s="16" t="s">
        <v>2351</v>
      </c>
      <c r="I184" s="16" t="s">
        <v>2352</v>
      </c>
      <c r="J184" s="33">
        <v>39521</v>
      </c>
      <c r="K184" s="33">
        <v>43465</v>
      </c>
      <c r="L184" s="16" t="s">
        <v>66</v>
      </c>
      <c r="M184" s="16" t="s">
        <v>235</v>
      </c>
      <c r="N184" s="16" t="s">
        <v>236</v>
      </c>
      <c r="O184" s="16" t="s">
        <v>2353</v>
      </c>
      <c r="P184" s="16" t="s">
        <v>70</v>
      </c>
      <c r="Q184" s="16" t="s">
        <v>71</v>
      </c>
      <c r="R184" s="17" t="s">
        <v>2354</v>
      </c>
      <c r="S184" s="16" t="s">
        <v>662</v>
      </c>
      <c r="T184" s="16" t="s">
        <v>74</v>
      </c>
      <c r="U184" s="16" t="s">
        <v>75</v>
      </c>
      <c r="V184" s="16" t="s">
        <v>2355</v>
      </c>
      <c r="W184" s="16"/>
      <c r="X184" s="16" t="s">
        <v>2356</v>
      </c>
      <c r="Y184" s="16" t="s">
        <v>78</v>
      </c>
      <c r="Z184" s="16" t="s">
        <v>666</v>
      </c>
      <c r="AA184" s="16" t="s">
        <v>667</v>
      </c>
      <c r="AB184" s="17" t="s">
        <v>2357</v>
      </c>
      <c r="AC184" s="16" t="s">
        <v>71</v>
      </c>
      <c r="AD184" s="17" t="s">
        <v>2357</v>
      </c>
      <c r="AE184" s="17" t="s">
        <v>2358</v>
      </c>
      <c r="AG184" s="16" t="s">
        <v>1673</v>
      </c>
      <c r="AH184" s="16" t="s">
        <v>2359</v>
      </c>
      <c r="AI184" s="16"/>
      <c r="AJ184" s="16"/>
      <c r="AK184" s="16"/>
      <c r="AL184" s="16" t="s">
        <v>2360</v>
      </c>
    </row>
    <row r="185" spans="1:38" x14ac:dyDescent="0.5">
      <c r="A185">
        <v>15021</v>
      </c>
      <c r="B185" s="16" t="s">
        <v>2361</v>
      </c>
      <c r="C185" s="16" t="s">
        <v>2361</v>
      </c>
      <c r="D185" s="16"/>
      <c r="E185" s="16" t="s">
        <v>2362</v>
      </c>
      <c r="F185" s="17" t="s">
        <v>2363</v>
      </c>
      <c r="H185" s="16" t="s">
        <v>127</v>
      </c>
      <c r="I185" s="16"/>
      <c r="J185" s="33">
        <v>39538</v>
      </c>
      <c r="K185" s="33">
        <v>43465</v>
      </c>
      <c r="L185" s="16" t="s">
        <v>66</v>
      </c>
      <c r="M185" s="16" t="s">
        <v>291</v>
      </c>
      <c r="N185" s="16" t="s">
        <v>127</v>
      </c>
      <c r="O185" s="16" t="s">
        <v>127</v>
      </c>
      <c r="P185" s="16" t="s">
        <v>70</v>
      </c>
      <c r="Q185" s="16" t="s">
        <v>71</v>
      </c>
      <c r="R185" s="17" t="s">
        <v>2364</v>
      </c>
      <c r="S185" s="16" t="s">
        <v>2365</v>
      </c>
      <c r="T185" s="16" t="s">
        <v>74</v>
      </c>
      <c r="U185" s="16" t="s">
        <v>75</v>
      </c>
      <c r="V185" s="16" t="s">
        <v>2366</v>
      </c>
      <c r="W185" s="16"/>
      <c r="X185" s="16" t="s">
        <v>2367</v>
      </c>
      <c r="Y185" s="16" t="s">
        <v>78</v>
      </c>
      <c r="Z185" s="16" t="s">
        <v>270</v>
      </c>
      <c r="AA185" s="16" t="s">
        <v>271</v>
      </c>
      <c r="AB185" s="17" t="s">
        <v>2368</v>
      </c>
      <c r="AC185" s="16" t="s">
        <v>71</v>
      </c>
      <c r="AD185" s="17" t="s">
        <v>2368</v>
      </c>
      <c r="AE185" s="17" t="s">
        <v>8594</v>
      </c>
      <c r="AF185" s="17" t="s">
        <v>2368</v>
      </c>
      <c r="AG185" s="16" t="s">
        <v>1076</v>
      </c>
      <c r="AH185" s="16" t="s">
        <v>579</v>
      </c>
      <c r="AI185" s="16"/>
      <c r="AJ185" s="16"/>
      <c r="AK185" s="16"/>
      <c r="AL185" s="16" t="s">
        <v>2369</v>
      </c>
    </row>
    <row r="186" spans="1:38" x14ac:dyDescent="0.5">
      <c r="A186">
        <v>15161</v>
      </c>
      <c r="B186" s="16" t="s">
        <v>246</v>
      </c>
      <c r="C186" s="16" t="s">
        <v>247</v>
      </c>
      <c r="D186" s="16"/>
      <c r="E186" s="16" t="s">
        <v>2370</v>
      </c>
      <c r="F186" s="17" t="s">
        <v>2371</v>
      </c>
      <c r="H186" s="16" t="s">
        <v>456</v>
      </c>
      <c r="I186" s="16" t="s">
        <v>1422</v>
      </c>
      <c r="J186" s="33">
        <v>39539</v>
      </c>
      <c r="K186" s="33">
        <v>43465</v>
      </c>
      <c r="L186" s="16" t="s">
        <v>66</v>
      </c>
      <c r="M186" s="16" t="s">
        <v>67</v>
      </c>
      <c r="N186" s="16" t="s">
        <v>68</v>
      </c>
      <c r="O186" s="16" t="s">
        <v>436</v>
      </c>
      <c r="P186" s="16" t="s">
        <v>70</v>
      </c>
      <c r="Q186" s="16" t="s">
        <v>71</v>
      </c>
      <c r="R186" s="17" t="s">
        <v>1423</v>
      </c>
      <c r="S186" s="16" t="s">
        <v>1111</v>
      </c>
      <c r="T186" s="16" t="s">
        <v>74</v>
      </c>
      <c r="U186" s="16" t="s">
        <v>75</v>
      </c>
      <c r="V186" s="16" t="s">
        <v>1424</v>
      </c>
      <c r="W186" s="16"/>
      <c r="X186" s="16" t="s">
        <v>1425</v>
      </c>
      <c r="Y186" s="16" t="s">
        <v>78</v>
      </c>
      <c r="Z186" s="16" t="s">
        <v>207</v>
      </c>
      <c r="AA186" s="16" t="s">
        <v>208</v>
      </c>
      <c r="AB186" s="17" t="s">
        <v>2372</v>
      </c>
      <c r="AC186" s="16" t="s">
        <v>71</v>
      </c>
      <c r="AD186" s="17" t="s">
        <v>2372</v>
      </c>
      <c r="AE186" s="17" t="s">
        <v>2373</v>
      </c>
      <c r="AG186" s="16" t="s">
        <v>578</v>
      </c>
      <c r="AH186" s="16" t="s">
        <v>1133</v>
      </c>
      <c r="AI186" s="16"/>
      <c r="AJ186" s="16"/>
      <c r="AK186" s="16"/>
      <c r="AL186" s="16" t="s">
        <v>2374</v>
      </c>
    </row>
    <row r="187" spans="1:38" x14ac:dyDescent="0.5">
      <c r="A187">
        <v>15181</v>
      </c>
      <c r="B187" s="16" t="s">
        <v>1504</v>
      </c>
      <c r="C187" s="16" t="s">
        <v>1504</v>
      </c>
      <c r="D187" s="16"/>
      <c r="E187" s="16" t="s">
        <v>2375</v>
      </c>
      <c r="F187" s="17" t="s">
        <v>8595</v>
      </c>
      <c r="G187" s="17" t="s">
        <v>8596</v>
      </c>
      <c r="H187" s="16" t="s">
        <v>2376</v>
      </c>
      <c r="I187" s="16" t="s">
        <v>2377</v>
      </c>
      <c r="J187" s="33">
        <v>39545</v>
      </c>
      <c r="K187" s="33">
        <v>43465</v>
      </c>
      <c r="L187" s="16" t="s">
        <v>66</v>
      </c>
      <c r="M187" s="16" t="s">
        <v>67</v>
      </c>
      <c r="N187" s="16" t="s">
        <v>68</v>
      </c>
      <c r="O187" s="16" t="s">
        <v>69</v>
      </c>
      <c r="P187" s="16" t="s">
        <v>70</v>
      </c>
      <c r="Q187" s="16" t="s">
        <v>71</v>
      </c>
      <c r="R187" s="17" t="s">
        <v>8597</v>
      </c>
      <c r="S187" s="16" t="s">
        <v>2378</v>
      </c>
      <c r="T187" s="16" t="s">
        <v>74</v>
      </c>
      <c r="U187" s="16" t="s">
        <v>75</v>
      </c>
      <c r="V187" s="16" t="s">
        <v>8598</v>
      </c>
      <c r="W187" s="16"/>
      <c r="X187" s="16" t="s">
        <v>8599</v>
      </c>
      <c r="Y187" s="16" t="s">
        <v>78</v>
      </c>
      <c r="Z187" s="16" t="s">
        <v>392</v>
      </c>
      <c r="AA187" s="16" t="s">
        <v>393</v>
      </c>
      <c r="AB187" s="17" t="s">
        <v>2379</v>
      </c>
      <c r="AC187" s="16" t="s">
        <v>71</v>
      </c>
      <c r="AD187" s="17" t="s">
        <v>2379</v>
      </c>
      <c r="AE187" s="17" t="s">
        <v>2380</v>
      </c>
      <c r="AG187" s="16" t="s">
        <v>1076</v>
      </c>
      <c r="AH187" s="16" t="s">
        <v>1285</v>
      </c>
      <c r="AI187" s="16"/>
      <c r="AJ187" s="16"/>
      <c r="AK187" s="16"/>
      <c r="AL187" s="16" t="s">
        <v>2381</v>
      </c>
    </row>
    <row r="188" spans="1:38" x14ac:dyDescent="0.5">
      <c r="A188">
        <v>15261</v>
      </c>
      <c r="B188" s="16" t="s">
        <v>2382</v>
      </c>
      <c r="C188" s="16" t="s">
        <v>2382</v>
      </c>
      <c r="D188" s="16" t="s">
        <v>2383</v>
      </c>
      <c r="E188" s="16" t="s">
        <v>2384</v>
      </c>
      <c r="F188" s="17" t="s">
        <v>2385</v>
      </c>
      <c r="G188" s="17" t="s">
        <v>2386</v>
      </c>
      <c r="H188" s="16" t="s">
        <v>736</v>
      </c>
      <c r="I188" s="16" t="s">
        <v>2387</v>
      </c>
      <c r="J188" s="33">
        <v>39580</v>
      </c>
      <c r="K188" s="33">
        <v>43465</v>
      </c>
      <c r="L188" s="16" t="s">
        <v>66</v>
      </c>
      <c r="M188" s="16" t="s">
        <v>167</v>
      </c>
      <c r="N188" s="16" t="s">
        <v>110</v>
      </c>
      <c r="O188" s="16" t="s">
        <v>111</v>
      </c>
      <c r="P188" s="16" t="s">
        <v>70</v>
      </c>
      <c r="Q188" s="16" t="s">
        <v>71</v>
      </c>
      <c r="R188" s="17" t="s">
        <v>2388</v>
      </c>
      <c r="S188" s="16" t="s">
        <v>1497</v>
      </c>
      <c r="T188" s="16" t="s">
        <v>74</v>
      </c>
      <c r="U188" s="16" t="s">
        <v>75</v>
      </c>
      <c r="V188" s="16" t="s">
        <v>2389</v>
      </c>
      <c r="W188" s="16" t="s">
        <v>2390</v>
      </c>
      <c r="X188" s="16" t="s">
        <v>2391</v>
      </c>
      <c r="Y188" s="16" t="s">
        <v>78</v>
      </c>
      <c r="Z188" s="16" t="s">
        <v>1025</v>
      </c>
      <c r="AA188" s="16" t="s">
        <v>1026</v>
      </c>
      <c r="AB188" s="17" t="s">
        <v>2392</v>
      </c>
      <c r="AC188" s="16" t="s">
        <v>71</v>
      </c>
      <c r="AD188" s="17" t="s">
        <v>2392</v>
      </c>
      <c r="AE188" s="17" t="s">
        <v>2393</v>
      </c>
      <c r="AF188" s="17" t="s">
        <v>2392</v>
      </c>
      <c r="AG188" s="16" t="s">
        <v>2322</v>
      </c>
      <c r="AH188" s="16" t="s">
        <v>2034</v>
      </c>
      <c r="AI188" s="16"/>
      <c r="AJ188" s="16"/>
      <c r="AK188" s="16"/>
      <c r="AL188" s="16" t="s">
        <v>2394</v>
      </c>
    </row>
    <row r="189" spans="1:38" x14ac:dyDescent="0.5">
      <c r="A189">
        <v>15281</v>
      </c>
      <c r="B189" s="16" t="s">
        <v>2395</v>
      </c>
      <c r="C189" s="16" t="s">
        <v>2396</v>
      </c>
      <c r="D189" s="16" t="s">
        <v>1466</v>
      </c>
      <c r="E189" s="16" t="s">
        <v>2397</v>
      </c>
      <c r="F189" s="17" t="s">
        <v>2398</v>
      </c>
      <c r="G189" s="17" t="s">
        <v>2399</v>
      </c>
      <c r="H189" s="16" t="s">
        <v>2400</v>
      </c>
      <c r="I189" s="16" t="s">
        <v>2401</v>
      </c>
      <c r="J189" s="33">
        <v>39598</v>
      </c>
      <c r="K189" s="33">
        <v>43465</v>
      </c>
      <c r="L189" s="16" t="s">
        <v>66</v>
      </c>
      <c r="M189" s="16" t="s">
        <v>67</v>
      </c>
      <c r="N189" s="16" t="s">
        <v>68</v>
      </c>
      <c r="O189" s="16" t="s">
        <v>436</v>
      </c>
      <c r="P189" s="16" t="s">
        <v>70</v>
      </c>
      <c r="Q189" s="16" t="s">
        <v>71</v>
      </c>
      <c r="R189" s="17" t="s">
        <v>2402</v>
      </c>
      <c r="S189" s="16" t="s">
        <v>2403</v>
      </c>
      <c r="T189" s="16" t="s">
        <v>74</v>
      </c>
      <c r="U189" s="16" t="s">
        <v>75</v>
      </c>
      <c r="V189" s="16" t="s">
        <v>2404</v>
      </c>
      <c r="W189" s="16" t="s">
        <v>2405</v>
      </c>
      <c r="X189" s="16" t="s">
        <v>2406</v>
      </c>
      <c r="Y189" s="16" t="s">
        <v>78</v>
      </c>
      <c r="Z189" s="16" t="s">
        <v>1158</v>
      </c>
      <c r="AA189" s="16" t="s">
        <v>1159</v>
      </c>
      <c r="AB189" s="17" t="s">
        <v>2407</v>
      </c>
      <c r="AC189" s="16" t="s">
        <v>71</v>
      </c>
      <c r="AD189" s="17" t="s">
        <v>2407</v>
      </c>
      <c r="AF189" s="17" t="s">
        <v>2408</v>
      </c>
      <c r="AG189" s="16" t="s">
        <v>1029</v>
      </c>
      <c r="AH189" s="16" t="s">
        <v>1076</v>
      </c>
      <c r="AI189" s="16"/>
      <c r="AJ189" s="16"/>
      <c r="AK189" s="16"/>
      <c r="AL189" s="16" t="s">
        <v>2409</v>
      </c>
    </row>
    <row r="190" spans="1:38" x14ac:dyDescent="0.5">
      <c r="A190">
        <v>15291</v>
      </c>
      <c r="B190" s="16" t="s">
        <v>2410</v>
      </c>
      <c r="C190" s="16" t="s">
        <v>2410</v>
      </c>
      <c r="D190" s="16"/>
      <c r="E190" s="16" t="s">
        <v>2411</v>
      </c>
      <c r="F190" s="17" t="s">
        <v>2412</v>
      </c>
      <c r="G190" s="17" t="s">
        <v>2413</v>
      </c>
      <c r="H190" s="16" t="s">
        <v>1759</v>
      </c>
      <c r="I190" s="16" t="s">
        <v>817</v>
      </c>
      <c r="J190" s="33">
        <v>42184</v>
      </c>
      <c r="K190" s="33">
        <v>43465</v>
      </c>
      <c r="L190" s="16" t="s">
        <v>66</v>
      </c>
      <c r="M190" s="16" t="s">
        <v>67</v>
      </c>
      <c r="N190" s="16" t="s">
        <v>68</v>
      </c>
      <c r="O190" s="16" t="s">
        <v>436</v>
      </c>
      <c r="P190" s="16" t="s">
        <v>572</v>
      </c>
      <c r="Q190" s="16" t="s">
        <v>71</v>
      </c>
      <c r="R190" s="17" t="s">
        <v>2414</v>
      </c>
      <c r="S190" s="16" t="s">
        <v>2415</v>
      </c>
      <c r="T190" s="16" t="s">
        <v>74</v>
      </c>
      <c r="U190" s="16" t="s">
        <v>75</v>
      </c>
      <c r="V190" s="16" t="s">
        <v>2416</v>
      </c>
      <c r="W190" s="16" t="s">
        <v>2417</v>
      </c>
      <c r="X190" s="16" t="s">
        <v>2418</v>
      </c>
      <c r="Y190" s="16" t="s">
        <v>78</v>
      </c>
      <c r="Z190" s="16" t="s">
        <v>270</v>
      </c>
      <c r="AA190" s="16" t="s">
        <v>271</v>
      </c>
      <c r="AB190" s="17" t="s">
        <v>2419</v>
      </c>
      <c r="AC190" s="16" t="s">
        <v>71</v>
      </c>
      <c r="AD190" s="17" t="s">
        <v>2419</v>
      </c>
      <c r="AG190" s="16" t="s">
        <v>2420</v>
      </c>
      <c r="AH190" s="16" t="s">
        <v>2421</v>
      </c>
      <c r="AI190" s="16"/>
      <c r="AJ190" s="16"/>
      <c r="AK190" s="16"/>
      <c r="AL190" s="16" t="s">
        <v>2422</v>
      </c>
    </row>
    <row r="191" spans="1:38" x14ac:dyDescent="0.5">
      <c r="A191">
        <v>15351</v>
      </c>
      <c r="B191" s="16" t="s">
        <v>1613</v>
      </c>
      <c r="C191" s="16" t="s">
        <v>1613</v>
      </c>
      <c r="D191" s="16"/>
      <c r="E191" s="16" t="s">
        <v>2423</v>
      </c>
      <c r="F191" s="17" t="s">
        <v>2424</v>
      </c>
      <c r="H191" s="16" t="s">
        <v>2425</v>
      </c>
      <c r="I191" s="16" t="s">
        <v>2426</v>
      </c>
      <c r="J191" s="33">
        <v>41471</v>
      </c>
      <c r="K191" s="33">
        <v>43465</v>
      </c>
      <c r="L191" s="16" t="s">
        <v>66</v>
      </c>
      <c r="M191" s="16" t="s">
        <v>67</v>
      </c>
      <c r="N191" s="16" t="s">
        <v>68</v>
      </c>
      <c r="O191" s="16" t="s">
        <v>436</v>
      </c>
      <c r="P191" s="16" t="s">
        <v>572</v>
      </c>
      <c r="Q191" s="16" t="s">
        <v>71</v>
      </c>
      <c r="R191" s="17" t="s">
        <v>2427</v>
      </c>
      <c r="S191" s="16" t="s">
        <v>2428</v>
      </c>
      <c r="T191" s="16" t="s">
        <v>74</v>
      </c>
      <c r="U191" s="16" t="s">
        <v>75</v>
      </c>
      <c r="V191" s="16" t="s">
        <v>2429</v>
      </c>
      <c r="W191" s="16" t="s">
        <v>2430</v>
      </c>
      <c r="X191" s="16" t="s">
        <v>2431</v>
      </c>
      <c r="Y191" s="16" t="s">
        <v>78</v>
      </c>
      <c r="Z191" s="16" t="s">
        <v>189</v>
      </c>
      <c r="AA191" s="16" t="s">
        <v>190</v>
      </c>
      <c r="AB191" s="17" t="s">
        <v>2432</v>
      </c>
      <c r="AC191" s="16" t="s">
        <v>71</v>
      </c>
      <c r="AD191" s="17" t="s">
        <v>2432</v>
      </c>
      <c r="AF191" s="17" t="s">
        <v>2433</v>
      </c>
      <c r="AG191" s="16" t="s">
        <v>1548</v>
      </c>
      <c r="AH191" s="16" t="s">
        <v>2434</v>
      </c>
      <c r="AI191" s="16"/>
      <c r="AJ191" s="16"/>
      <c r="AK191" s="16"/>
      <c r="AL191" s="16" t="s">
        <v>2435</v>
      </c>
    </row>
    <row r="192" spans="1:38" x14ac:dyDescent="0.5">
      <c r="A192">
        <v>15401</v>
      </c>
      <c r="B192" s="16" t="s">
        <v>2436</v>
      </c>
      <c r="C192" s="16" t="s">
        <v>2436</v>
      </c>
      <c r="D192" s="16"/>
      <c r="E192" s="16" t="s">
        <v>2437</v>
      </c>
      <c r="F192" s="17" t="s">
        <v>2438</v>
      </c>
      <c r="G192" s="17" t="s">
        <v>2439</v>
      </c>
      <c r="H192" s="16" t="s">
        <v>142</v>
      </c>
      <c r="I192" s="16" t="s">
        <v>2440</v>
      </c>
      <c r="J192" s="33">
        <v>39688</v>
      </c>
      <c r="K192" s="33">
        <v>43465</v>
      </c>
      <c r="L192" s="16" t="s">
        <v>66</v>
      </c>
      <c r="M192" s="16" t="s">
        <v>167</v>
      </c>
      <c r="N192" s="16" t="s">
        <v>110</v>
      </c>
      <c r="O192" s="16" t="s">
        <v>111</v>
      </c>
      <c r="P192" s="16" t="s">
        <v>70</v>
      </c>
      <c r="Q192" s="16" t="s">
        <v>71</v>
      </c>
      <c r="R192" s="17" t="s">
        <v>2441</v>
      </c>
      <c r="S192" s="16" t="s">
        <v>113</v>
      </c>
      <c r="T192" s="16" t="s">
        <v>74</v>
      </c>
      <c r="U192" s="16" t="s">
        <v>75</v>
      </c>
      <c r="V192" s="16" t="s">
        <v>2442</v>
      </c>
      <c r="W192" s="16"/>
      <c r="X192" s="16" t="s">
        <v>2443</v>
      </c>
      <c r="Y192" s="16" t="s">
        <v>78</v>
      </c>
      <c r="Z192" s="16" t="s">
        <v>117</v>
      </c>
      <c r="AA192" s="16" t="s">
        <v>113</v>
      </c>
      <c r="AB192" s="17" t="s">
        <v>2444</v>
      </c>
      <c r="AC192" s="16" t="s">
        <v>71</v>
      </c>
      <c r="AD192" s="17" t="s">
        <v>2444</v>
      </c>
      <c r="AE192" s="17" t="s">
        <v>2445</v>
      </c>
      <c r="AF192" s="17" t="s">
        <v>2444</v>
      </c>
      <c r="AG192" s="16" t="s">
        <v>2289</v>
      </c>
      <c r="AH192" s="16" t="s">
        <v>1693</v>
      </c>
      <c r="AI192" s="16"/>
      <c r="AJ192" s="16"/>
      <c r="AK192" s="16"/>
      <c r="AL192" s="16" t="s">
        <v>2446</v>
      </c>
    </row>
    <row r="193" spans="1:38" x14ac:dyDescent="0.5">
      <c r="A193">
        <v>15461</v>
      </c>
      <c r="B193" s="16" t="s">
        <v>229</v>
      </c>
      <c r="C193" s="16" t="s">
        <v>229</v>
      </c>
      <c r="D193" s="16" t="s">
        <v>85</v>
      </c>
      <c r="E193" s="16" t="s">
        <v>2447</v>
      </c>
      <c r="F193" s="17" t="s">
        <v>2448</v>
      </c>
      <c r="G193" s="17" t="s">
        <v>2449</v>
      </c>
      <c r="H193" s="16" t="s">
        <v>2450</v>
      </c>
      <c r="I193" s="16" t="s">
        <v>2451</v>
      </c>
      <c r="J193" s="33">
        <v>39693</v>
      </c>
      <c r="K193" s="33">
        <v>43465</v>
      </c>
      <c r="L193" s="16" t="s">
        <v>66</v>
      </c>
      <c r="M193" s="16" t="s">
        <v>67</v>
      </c>
      <c r="N193" s="16" t="s">
        <v>68</v>
      </c>
      <c r="O193" s="16" t="s">
        <v>436</v>
      </c>
      <c r="P193" s="16" t="s">
        <v>70</v>
      </c>
      <c r="Q193" s="16" t="s">
        <v>71</v>
      </c>
      <c r="R193" s="17" t="s">
        <v>2452</v>
      </c>
      <c r="S193" s="16" t="s">
        <v>662</v>
      </c>
      <c r="T193" s="16" t="s">
        <v>74</v>
      </c>
      <c r="U193" s="16" t="s">
        <v>75</v>
      </c>
      <c r="V193" s="16" t="s">
        <v>2453</v>
      </c>
      <c r="W193" s="16"/>
      <c r="X193" s="16" t="s">
        <v>2454</v>
      </c>
      <c r="Y193" s="16" t="s">
        <v>78</v>
      </c>
      <c r="Z193" s="16" t="s">
        <v>666</v>
      </c>
      <c r="AA193" s="16" t="s">
        <v>667</v>
      </c>
      <c r="AB193" s="17" t="s">
        <v>2455</v>
      </c>
      <c r="AC193" s="16" t="s">
        <v>71</v>
      </c>
      <c r="AD193" s="17" t="s">
        <v>2455</v>
      </c>
      <c r="AF193" s="17" t="s">
        <v>2456</v>
      </c>
      <c r="AG193" s="16" t="s">
        <v>1357</v>
      </c>
      <c r="AH193" s="16" t="s">
        <v>2457</v>
      </c>
      <c r="AI193" s="16"/>
      <c r="AJ193" s="16"/>
      <c r="AK193" s="16"/>
      <c r="AL193" s="16" t="s">
        <v>2458</v>
      </c>
    </row>
    <row r="194" spans="1:38" x14ac:dyDescent="0.5">
      <c r="A194">
        <v>15651</v>
      </c>
      <c r="B194" s="16" t="s">
        <v>2459</v>
      </c>
      <c r="C194" s="16" t="s">
        <v>2459</v>
      </c>
      <c r="D194" s="16" t="s">
        <v>85</v>
      </c>
      <c r="E194" s="16" t="s">
        <v>2460</v>
      </c>
      <c r="F194" s="17" t="s">
        <v>2461</v>
      </c>
      <c r="H194" s="16" t="s">
        <v>2462</v>
      </c>
      <c r="I194" s="16" t="s">
        <v>2463</v>
      </c>
      <c r="J194" s="33">
        <v>39728</v>
      </c>
      <c r="K194" s="33">
        <v>43465</v>
      </c>
      <c r="L194" s="16" t="s">
        <v>66</v>
      </c>
      <c r="M194" s="16" t="s">
        <v>167</v>
      </c>
      <c r="N194" s="16" t="s">
        <v>110</v>
      </c>
      <c r="O194" s="16" t="s">
        <v>111</v>
      </c>
      <c r="P194" s="16" t="s">
        <v>70</v>
      </c>
      <c r="Q194" s="16" t="s">
        <v>71</v>
      </c>
      <c r="R194" s="17" t="s">
        <v>2464</v>
      </c>
      <c r="S194" s="16" t="s">
        <v>1737</v>
      </c>
      <c r="T194" s="16" t="s">
        <v>74</v>
      </c>
      <c r="U194" s="16" t="s">
        <v>75</v>
      </c>
      <c r="V194" s="16" t="s">
        <v>2465</v>
      </c>
      <c r="W194" s="16"/>
      <c r="X194" s="16" t="s">
        <v>2466</v>
      </c>
      <c r="Y194" s="16" t="s">
        <v>78</v>
      </c>
      <c r="Z194" s="16" t="s">
        <v>1025</v>
      </c>
      <c r="AA194" s="16" t="s">
        <v>1026</v>
      </c>
      <c r="AB194" s="17" t="s">
        <v>2467</v>
      </c>
      <c r="AC194" s="16" t="s">
        <v>71</v>
      </c>
      <c r="AD194" s="17" t="s">
        <v>2467</v>
      </c>
      <c r="AE194" s="17" t="s">
        <v>2468</v>
      </c>
      <c r="AF194" s="17" t="s">
        <v>2469</v>
      </c>
      <c r="AG194" s="16" t="s">
        <v>2470</v>
      </c>
      <c r="AH194" s="16"/>
      <c r="AI194" s="16"/>
      <c r="AJ194" s="16"/>
      <c r="AK194" s="16"/>
      <c r="AL194" s="16" t="s">
        <v>2471</v>
      </c>
    </row>
    <row r="195" spans="1:38" x14ac:dyDescent="0.5">
      <c r="A195">
        <v>15661</v>
      </c>
      <c r="B195" s="16" t="s">
        <v>770</v>
      </c>
      <c r="C195" s="16" t="s">
        <v>770</v>
      </c>
      <c r="D195" s="16"/>
      <c r="E195" s="16" t="s">
        <v>2472</v>
      </c>
      <c r="F195" s="17" t="s">
        <v>2473</v>
      </c>
      <c r="G195" s="17" t="s">
        <v>2474</v>
      </c>
      <c r="H195" s="16" t="s">
        <v>2475</v>
      </c>
      <c r="I195" s="16" t="s">
        <v>2476</v>
      </c>
      <c r="J195" s="33">
        <v>39762</v>
      </c>
      <c r="K195" s="33">
        <v>43465</v>
      </c>
      <c r="L195" s="16" t="s">
        <v>66</v>
      </c>
      <c r="M195" s="16" t="s">
        <v>67</v>
      </c>
      <c r="N195" s="16" t="s">
        <v>68</v>
      </c>
      <c r="O195" s="16" t="s">
        <v>436</v>
      </c>
      <c r="P195" s="16" t="s">
        <v>70</v>
      </c>
      <c r="Q195" s="16" t="s">
        <v>71</v>
      </c>
      <c r="R195" s="17" t="s">
        <v>2477</v>
      </c>
      <c r="S195" s="16" t="s">
        <v>1497</v>
      </c>
      <c r="T195" s="16" t="s">
        <v>74</v>
      </c>
      <c r="U195" s="16" t="s">
        <v>75</v>
      </c>
      <c r="V195" s="16" t="s">
        <v>2478</v>
      </c>
      <c r="W195" s="16"/>
      <c r="X195" s="16" t="s">
        <v>2479</v>
      </c>
      <c r="Y195" s="16" t="s">
        <v>78</v>
      </c>
      <c r="Z195" s="16" t="s">
        <v>1025</v>
      </c>
      <c r="AA195" s="16" t="s">
        <v>1026</v>
      </c>
      <c r="AB195" s="17" t="s">
        <v>2480</v>
      </c>
      <c r="AC195" s="16" t="s">
        <v>71</v>
      </c>
      <c r="AD195" s="17" t="s">
        <v>2480</v>
      </c>
      <c r="AE195" s="17" t="s">
        <v>2481</v>
      </c>
      <c r="AG195" s="16" t="s">
        <v>1572</v>
      </c>
      <c r="AH195" s="16" t="s">
        <v>1972</v>
      </c>
      <c r="AI195" s="16"/>
      <c r="AJ195" s="16"/>
      <c r="AK195" s="16"/>
      <c r="AL195" s="16" t="s">
        <v>2482</v>
      </c>
    </row>
    <row r="196" spans="1:38" x14ac:dyDescent="0.5">
      <c r="A196">
        <v>15731</v>
      </c>
      <c r="B196" s="16" t="s">
        <v>2483</v>
      </c>
      <c r="C196" s="16" t="s">
        <v>2483</v>
      </c>
      <c r="D196" s="16"/>
      <c r="E196" s="16" t="s">
        <v>2484</v>
      </c>
      <c r="F196" s="17" t="s">
        <v>2485</v>
      </c>
      <c r="G196" s="17" t="s">
        <v>2485</v>
      </c>
      <c r="H196" s="16" t="s">
        <v>456</v>
      </c>
      <c r="I196" s="16" t="s">
        <v>2486</v>
      </c>
      <c r="J196" s="33">
        <v>39787</v>
      </c>
      <c r="K196" s="33">
        <v>43465</v>
      </c>
      <c r="L196" s="16" t="s">
        <v>66</v>
      </c>
      <c r="M196" s="16" t="s">
        <v>67</v>
      </c>
      <c r="N196" s="16" t="s">
        <v>68</v>
      </c>
      <c r="O196" s="16" t="s">
        <v>436</v>
      </c>
      <c r="P196" s="16" t="s">
        <v>70</v>
      </c>
      <c r="Q196" s="16" t="s">
        <v>71</v>
      </c>
      <c r="R196" s="17" t="s">
        <v>2487</v>
      </c>
      <c r="S196" s="16" t="s">
        <v>1771</v>
      </c>
      <c r="T196" s="16" t="s">
        <v>74</v>
      </c>
      <c r="U196" s="16" t="s">
        <v>75</v>
      </c>
      <c r="V196" s="16" t="s">
        <v>2488</v>
      </c>
      <c r="W196" s="16"/>
      <c r="X196" s="16" t="s">
        <v>2489</v>
      </c>
      <c r="Y196" s="16" t="s">
        <v>78</v>
      </c>
      <c r="Z196" s="16" t="s">
        <v>1025</v>
      </c>
      <c r="AA196" s="16" t="s">
        <v>1026</v>
      </c>
      <c r="AB196" s="17" t="s">
        <v>2490</v>
      </c>
      <c r="AC196" s="16" t="s">
        <v>71</v>
      </c>
      <c r="AD196" s="17" t="s">
        <v>2490</v>
      </c>
      <c r="AE196" s="17" t="s">
        <v>2491</v>
      </c>
      <c r="AF196" s="17" t="s">
        <v>2492</v>
      </c>
      <c r="AG196" s="16" t="s">
        <v>2493</v>
      </c>
      <c r="AH196" s="16" t="s">
        <v>1693</v>
      </c>
      <c r="AI196" s="16"/>
      <c r="AJ196" s="16"/>
      <c r="AK196" s="16"/>
      <c r="AL196" s="16" t="s">
        <v>2494</v>
      </c>
    </row>
    <row r="197" spans="1:38" x14ac:dyDescent="0.5">
      <c r="A197">
        <v>15781</v>
      </c>
      <c r="B197" s="16" t="s">
        <v>2324</v>
      </c>
      <c r="C197" s="16" t="s">
        <v>2324</v>
      </c>
      <c r="D197" s="16" t="s">
        <v>533</v>
      </c>
      <c r="E197" s="16" t="s">
        <v>2495</v>
      </c>
      <c r="F197" s="17" t="s">
        <v>2496</v>
      </c>
      <c r="H197" s="16" t="s">
        <v>127</v>
      </c>
      <c r="I197" s="16"/>
      <c r="J197" s="33">
        <v>39829</v>
      </c>
      <c r="K197" s="33">
        <v>43465</v>
      </c>
      <c r="L197" s="16" t="s">
        <v>66</v>
      </c>
      <c r="M197" s="16" t="s">
        <v>291</v>
      </c>
      <c r="N197" s="16" t="s">
        <v>127</v>
      </c>
      <c r="O197" s="16" t="s">
        <v>127</v>
      </c>
      <c r="P197" s="16" t="s">
        <v>70</v>
      </c>
      <c r="Q197" s="16" t="s">
        <v>71</v>
      </c>
      <c r="R197" s="17" t="s">
        <v>2497</v>
      </c>
      <c r="S197" s="16" t="s">
        <v>2498</v>
      </c>
      <c r="T197" s="16" t="s">
        <v>74</v>
      </c>
      <c r="U197" s="16" t="s">
        <v>75</v>
      </c>
      <c r="V197" s="16" t="s">
        <v>2499</v>
      </c>
      <c r="W197" s="16"/>
      <c r="X197" s="16" t="s">
        <v>2500</v>
      </c>
      <c r="Y197" s="16" t="s">
        <v>78</v>
      </c>
      <c r="Z197" s="16" t="s">
        <v>392</v>
      </c>
      <c r="AA197" s="16" t="s">
        <v>393</v>
      </c>
      <c r="AB197" s="17" t="s">
        <v>2501</v>
      </c>
      <c r="AC197" s="16" t="s">
        <v>71</v>
      </c>
      <c r="AD197" s="17" t="s">
        <v>2501</v>
      </c>
      <c r="AE197" s="17" t="s">
        <v>2501</v>
      </c>
      <c r="AF197" s="17" t="s">
        <v>2502</v>
      </c>
      <c r="AG197" s="16" t="s">
        <v>2180</v>
      </c>
      <c r="AH197" s="16" t="s">
        <v>2503</v>
      </c>
      <c r="AI197" s="16"/>
      <c r="AJ197" s="16"/>
      <c r="AK197" s="16"/>
      <c r="AL197" s="16" t="s">
        <v>2504</v>
      </c>
    </row>
    <row r="198" spans="1:38" x14ac:dyDescent="0.5">
      <c r="A198">
        <v>15791</v>
      </c>
      <c r="B198" s="16" t="s">
        <v>2505</v>
      </c>
      <c r="C198" s="16" t="s">
        <v>2505</v>
      </c>
      <c r="D198" s="16"/>
      <c r="E198" s="16" t="s">
        <v>2506</v>
      </c>
      <c r="F198" s="17" t="s">
        <v>2507</v>
      </c>
      <c r="H198" s="16" t="s">
        <v>2508</v>
      </c>
      <c r="I198" s="16" t="s">
        <v>2509</v>
      </c>
      <c r="J198" s="33">
        <v>39829</v>
      </c>
      <c r="K198" s="33">
        <v>43465</v>
      </c>
      <c r="L198" s="16" t="s">
        <v>66</v>
      </c>
      <c r="M198" s="16" t="s">
        <v>67</v>
      </c>
      <c r="N198" s="16" t="s">
        <v>68</v>
      </c>
      <c r="O198" s="16" t="s">
        <v>436</v>
      </c>
      <c r="P198" s="16" t="s">
        <v>70</v>
      </c>
      <c r="Q198" s="16" t="s">
        <v>71</v>
      </c>
      <c r="R198" s="17" t="s">
        <v>2510</v>
      </c>
      <c r="S198" s="16" t="s">
        <v>2511</v>
      </c>
      <c r="T198" s="16" t="s">
        <v>599</v>
      </c>
      <c r="U198" s="16" t="s">
        <v>2512</v>
      </c>
      <c r="V198" s="16" t="s">
        <v>2513</v>
      </c>
      <c r="W198" s="16"/>
      <c r="X198" s="16" t="s">
        <v>2514</v>
      </c>
      <c r="Y198" s="16" t="s">
        <v>2515</v>
      </c>
      <c r="Z198" s="16"/>
      <c r="AA198" s="16"/>
      <c r="AB198" s="17" t="s">
        <v>2516</v>
      </c>
      <c r="AC198" s="16" t="s">
        <v>71</v>
      </c>
      <c r="AD198" s="17" t="s">
        <v>2516</v>
      </c>
      <c r="AE198" s="17" t="s">
        <v>2517</v>
      </c>
      <c r="AG198" s="16" t="s">
        <v>1572</v>
      </c>
      <c r="AH198" s="16" t="s">
        <v>1972</v>
      </c>
      <c r="AI198" s="16"/>
      <c r="AJ198" s="16"/>
      <c r="AK198" s="16"/>
      <c r="AL198" s="16" t="s">
        <v>2518</v>
      </c>
    </row>
    <row r="199" spans="1:38" x14ac:dyDescent="0.5">
      <c r="A199">
        <v>15821</v>
      </c>
      <c r="B199" s="16" t="s">
        <v>229</v>
      </c>
      <c r="C199" s="16" t="s">
        <v>229</v>
      </c>
      <c r="D199" s="16"/>
      <c r="E199" s="16" t="s">
        <v>2519</v>
      </c>
      <c r="F199" s="17" t="s">
        <v>2520</v>
      </c>
      <c r="G199" s="17" t="s">
        <v>2521</v>
      </c>
      <c r="H199" s="16" t="s">
        <v>2522</v>
      </c>
      <c r="I199" s="16" t="s">
        <v>2523</v>
      </c>
      <c r="J199" s="33">
        <v>40609</v>
      </c>
      <c r="K199" s="33">
        <v>43465</v>
      </c>
      <c r="L199" s="16" t="s">
        <v>66</v>
      </c>
      <c r="M199" s="16" t="s">
        <v>67</v>
      </c>
      <c r="N199" s="16" t="s">
        <v>68</v>
      </c>
      <c r="O199" s="16" t="s">
        <v>436</v>
      </c>
      <c r="P199" s="16" t="s">
        <v>70</v>
      </c>
      <c r="Q199" s="16" t="s">
        <v>71</v>
      </c>
      <c r="R199" s="17" t="s">
        <v>2524</v>
      </c>
      <c r="S199" s="16" t="s">
        <v>222</v>
      </c>
      <c r="T199" s="16" t="s">
        <v>74</v>
      </c>
      <c r="U199" s="16" t="s">
        <v>75</v>
      </c>
      <c r="V199" s="16" t="s">
        <v>2525</v>
      </c>
      <c r="W199" s="16"/>
      <c r="X199" s="16" t="s">
        <v>2526</v>
      </c>
      <c r="Y199" s="16" t="s">
        <v>78</v>
      </c>
      <c r="Z199" s="16" t="s">
        <v>189</v>
      </c>
      <c r="AA199" s="16" t="s">
        <v>190</v>
      </c>
      <c r="AB199" s="17" t="s">
        <v>2527</v>
      </c>
      <c r="AC199" s="16" t="s">
        <v>71</v>
      </c>
      <c r="AD199" s="17" t="s">
        <v>2527</v>
      </c>
      <c r="AE199" s="17" t="s">
        <v>2528</v>
      </c>
      <c r="AF199" s="17" t="s">
        <v>2529</v>
      </c>
      <c r="AG199" s="16" t="s">
        <v>1076</v>
      </c>
      <c r="AH199" s="16" t="s">
        <v>1345</v>
      </c>
      <c r="AI199" s="16"/>
      <c r="AJ199" s="16"/>
      <c r="AK199" s="16"/>
      <c r="AL199" s="16" t="s">
        <v>2530</v>
      </c>
    </row>
    <row r="200" spans="1:38" x14ac:dyDescent="0.5">
      <c r="A200">
        <v>15831</v>
      </c>
      <c r="B200" s="16" t="s">
        <v>980</v>
      </c>
      <c r="C200" s="16" t="s">
        <v>2531</v>
      </c>
      <c r="D200" s="16"/>
      <c r="E200" s="16" t="s">
        <v>817</v>
      </c>
      <c r="F200" s="17" t="s">
        <v>2532</v>
      </c>
      <c r="G200" s="17" t="s">
        <v>2533</v>
      </c>
      <c r="H200" s="16" t="s">
        <v>2534</v>
      </c>
      <c r="I200" s="16" t="s">
        <v>2535</v>
      </c>
      <c r="J200" s="33">
        <v>39829</v>
      </c>
      <c r="K200" s="33">
        <v>43465</v>
      </c>
      <c r="L200" s="16" t="s">
        <v>66</v>
      </c>
      <c r="M200" s="16" t="s">
        <v>67</v>
      </c>
      <c r="N200" s="16" t="s">
        <v>68</v>
      </c>
      <c r="O200" s="16" t="s">
        <v>436</v>
      </c>
      <c r="P200" s="16" t="s">
        <v>70</v>
      </c>
      <c r="Q200" s="16" t="s">
        <v>71</v>
      </c>
      <c r="R200" s="17" t="s">
        <v>2536</v>
      </c>
      <c r="S200" s="16" t="s">
        <v>222</v>
      </c>
      <c r="T200" s="16" t="s">
        <v>74</v>
      </c>
      <c r="U200" s="16" t="s">
        <v>75</v>
      </c>
      <c r="V200" s="16" t="s">
        <v>2537</v>
      </c>
      <c r="W200" s="16"/>
      <c r="X200" s="16" t="s">
        <v>1343</v>
      </c>
      <c r="Y200" s="16" t="s">
        <v>78</v>
      </c>
      <c r="Z200" s="16" t="s">
        <v>189</v>
      </c>
      <c r="AA200" s="16" t="s">
        <v>190</v>
      </c>
      <c r="AB200" s="17" t="s">
        <v>2538</v>
      </c>
      <c r="AC200" s="16" t="s">
        <v>71</v>
      </c>
      <c r="AD200" s="17" t="s">
        <v>2538</v>
      </c>
      <c r="AE200" s="17" t="s">
        <v>2539</v>
      </c>
      <c r="AF200" s="17" t="s">
        <v>2539</v>
      </c>
      <c r="AG200" s="16" t="s">
        <v>2191</v>
      </c>
      <c r="AH200" s="16" t="s">
        <v>1030</v>
      </c>
      <c r="AI200" s="16"/>
      <c r="AJ200" s="16"/>
      <c r="AK200" s="16"/>
      <c r="AL200" s="16" t="s">
        <v>2540</v>
      </c>
    </row>
    <row r="201" spans="1:38" x14ac:dyDescent="0.5">
      <c r="A201">
        <v>16131</v>
      </c>
      <c r="B201" s="16" t="s">
        <v>2541</v>
      </c>
      <c r="C201" s="16" t="s">
        <v>2541</v>
      </c>
      <c r="D201" s="16"/>
      <c r="E201" s="16" t="s">
        <v>2542</v>
      </c>
      <c r="F201" s="17" t="s">
        <v>2543</v>
      </c>
      <c r="G201" s="17" t="s">
        <v>2544</v>
      </c>
      <c r="H201" s="16" t="s">
        <v>2376</v>
      </c>
      <c r="I201" s="16" t="s">
        <v>2545</v>
      </c>
      <c r="J201" s="33">
        <v>40598</v>
      </c>
      <c r="K201" s="33">
        <v>43465</v>
      </c>
      <c r="L201" s="16" t="s">
        <v>66</v>
      </c>
      <c r="M201" s="16" t="s">
        <v>67</v>
      </c>
      <c r="N201" s="16" t="s">
        <v>68</v>
      </c>
      <c r="O201" s="16" t="s">
        <v>436</v>
      </c>
      <c r="P201" s="16" t="s">
        <v>70</v>
      </c>
      <c r="Q201" s="16" t="s">
        <v>71</v>
      </c>
      <c r="R201" s="17" t="s">
        <v>2546</v>
      </c>
      <c r="S201" s="16" t="s">
        <v>2547</v>
      </c>
      <c r="T201" s="16" t="s">
        <v>74</v>
      </c>
      <c r="U201" s="16" t="s">
        <v>75</v>
      </c>
      <c r="V201" s="16" t="s">
        <v>2548</v>
      </c>
      <c r="W201" s="16"/>
      <c r="X201" s="16" t="s">
        <v>2549</v>
      </c>
      <c r="Y201" s="16"/>
      <c r="Z201" s="16" t="s">
        <v>242</v>
      </c>
      <c r="AA201" s="16" t="s">
        <v>243</v>
      </c>
      <c r="AB201" s="17" t="s">
        <v>2550</v>
      </c>
      <c r="AC201" s="16" t="s">
        <v>495</v>
      </c>
      <c r="AD201" s="17" t="s">
        <v>2551</v>
      </c>
      <c r="AE201" s="17" t="s">
        <v>2550</v>
      </c>
      <c r="AF201" s="17" t="s">
        <v>2551</v>
      </c>
      <c r="AG201" s="16" t="s">
        <v>1572</v>
      </c>
      <c r="AH201" s="16" t="s">
        <v>2552</v>
      </c>
      <c r="AI201" s="16"/>
      <c r="AJ201" s="16"/>
      <c r="AK201" s="16"/>
      <c r="AL201" s="16" t="s">
        <v>2553</v>
      </c>
    </row>
    <row r="202" spans="1:38" x14ac:dyDescent="0.5">
      <c r="A202">
        <v>16171</v>
      </c>
      <c r="B202" s="16" t="s">
        <v>2554</v>
      </c>
      <c r="C202" s="16" t="s">
        <v>2554</v>
      </c>
      <c r="D202" s="16"/>
      <c r="E202" s="16" t="s">
        <v>2555</v>
      </c>
      <c r="F202" s="17" t="s">
        <v>2556</v>
      </c>
      <c r="H202" s="16" t="s">
        <v>2557</v>
      </c>
      <c r="I202" s="16" t="s">
        <v>2558</v>
      </c>
      <c r="J202" s="33">
        <v>39878</v>
      </c>
      <c r="K202" s="33">
        <v>43465</v>
      </c>
      <c r="L202" s="16" t="s">
        <v>66</v>
      </c>
      <c r="M202" s="16" t="s">
        <v>90</v>
      </c>
      <c r="N202" s="16" t="s">
        <v>91</v>
      </c>
      <c r="O202" s="16" t="s">
        <v>91</v>
      </c>
      <c r="P202" s="16" t="s">
        <v>70</v>
      </c>
      <c r="Q202" s="16" t="s">
        <v>71</v>
      </c>
      <c r="R202" s="17" t="s">
        <v>2559</v>
      </c>
      <c r="S202" s="16" t="s">
        <v>2560</v>
      </c>
      <c r="T202" s="16" t="s">
        <v>2561</v>
      </c>
      <c r="U202" s="16" t="s">
        <v>2562</v>
      </c>
      <c r="V202" s="16" t="s">
        <v>2563</v>
      </c>
      <c r="W202" s="16" t="s">
        <v>2563</v>
      </c>
      <c r="X202" s="16" t="s">
        <v>2564</v>
      </c>
      <c r="Y202" s="16" t="s">
        <v>2565</v>
      </c>
      <c r="Z202" s="16"/>
      <c r="AA202" s="16"/>
      <c r="AB202" s="17" t="s">
        <v>2566</v>
      </c>
      <c r="AC202" s="16" t="s">
        <v>71</v>
      </c>
      <c r="AD202" s="17" t="s">
        <v>2566</v>
      </c>
      <c r="AE202" s="17" t="s">
        <v>2566</v>
      </c>
      <c r="AF202" s="17" t="s">
        <v>2567</v>
      </c>
      <c r="AG202" s="16" t="s">
        <v>579</v>
      </c>
      <c r="AH202" s="16" t="s">
        <v>2276</v>
      </c>
      <c r="AI202" s="16"/>
      <c r="AJ202" s="16"/>
      <c r="AK202" s="16"/>
      <c r="AL202" s="16" t="s">
        <v>2568</v>
      </c>
    </row>
    <row r="203" spans="1:38" x14ac:dyDescent="0.5">
      <c r="A203">
        <v>16201</v>
      </c>
      <c r="B203" s="16" t="s">
        <v>1490</v>
      </c>
      <c r="C203" s="16" t="s">
        <v>1490</v>
      </c>
      <c r="D203" s="16"/>
      <c r="E203" s="16" t="s">
        <v>2569</v>
      </c>
      <c r="F203" s="17" t="s">
        <v>2570</v>
      </c>
      <c r="G203" s="17" t="s">
        <v>2570</v>
      </c>
      <c r="H203" s="16" t="s">
        <v>332</v>
      </c>
      <c r="I203" s="16" t="s">
        <v>2571</v>
      </c>
      <c r="J203" s="33">
        <v>39878</v>
      </c>
      <c r="K203" s="33">
        <v>43465</v>
      </c>
      <c r="L203" s="16" t="s">
        <v>66</v>
      </c>
      <c r="M203" s="16" t="s">
        <v>167</v>
      </c>
      <c r="N203" s="16" t="s">
        <v>110</v>
      </c>
      <c r="O203" s="16" t="s">
        <v>1082</v>
      </c>
      <c r="P203" s="16" t="s">
        <v>70</v>
      </c>
      <c r="Q203" s="16" t="s">
        <v>71</v>
      </c>
      <c r="R203" s="17" t="s">
        <v>2572</v>
      </c>
      <c r="S203" s="16" t="s">
        <v>2573</v>
      </c>
      <c r="T203" s="16" t="s">
        <v>74</v>
      </c>
      <c r="U203" s="16" t="s">
        <v>75</v>
      </c>
      <c r="V203" s="16" t="s">
        <v>2574</v>
      </c>
      <c r="W203" s="16"/>
      <c r="X203" s="16" t="s">
        <v>2575</v>
      </c>
      <c r="Y203" s="16" t="s">
        <v>78</v>
      </c>
      <c r="Z203" s="16" t="s">
        <v>296</v>
      </c>
      <c r="AA203" s="16" t="s">
        <v>297</v>
      </c>
      <c r="AB203" s="17" t="s">
        <v>2576</v>
      </c>
      <c r="AC203" s="16" t="s">
        <v>71</v>
      </c>
      <c r="AD203" s="17" t="s">
        <v>2576</v>
      </c>
      <c r="AE203" s="17" t="s">
        <v>2576</v>
      </c>
      <c r="AF203" s="17" t="s">
        <v>2576</v>
      </c>
      <c r="AG203" s="16" t="s">
        <v>1913</v>
      </c>
      <c r="AH203" s="16" t="s">
        <v>579</v>
      </c>
      <c r="AI203" s="16"/>
      <c r="AJ203" s="16"/>
      <c r="AK203" s="16"/>
      <c r="AL203" s="16" t="s">
        <v>2577</v>
      </c>
    </row>
    <row r="204" spans="1:38" x14ac:dyDescent="0.5">
      <c r="A204">
        <v>16221</v>
      </c>
      <c r="B204" s="16" t="s">
        <v>1442</v>
      </c>
      <c r="C204" s="16" t="s">
        <v>1442</v>
      </c>
      <c r="D204" s="16"/>
      <c r="E204" s="16" t="s">
        <v>2578</v>
      </c>
      <c r="F204" s="17" t="s">
        <v>2579</v>
      </c>
      <c r="G204" s="17" t="s">
        <v>2580</v>
      </c>
      <c r="H204" s="16" t="s">
        <v>456</v>
      </c>
      <c r="I204" s="16" t="s">
        <v>2581</v>
      </c>
      <c r="J204" s="33">
        <v>39878</v>
      </c>
      <c r="K204" s="33">
        <v>43465</v>
      </c>
      <c r="L204" s="16" t="s">
        <v>66</v>
      </c>
      <c r="M204" s="16" t="s">
        <v>67</v>
      </c>
      <c r="N204" s="16" t="s">
        <v>68</v>
      </c>
      <c r="O204" s="16" t="s">
        <v>436</v>
      </c>
      <c r="P204" s="16" t="s">
        <v>70</v>
      </c>
      <c r="Q204" s="16" t="s">
        <v>71</v>
      </c>
      <c r="R204" s="17" t="s">
        <v>2582</v>
      </c>
      <c r="S204" s="16" t="s">
        <v>2583</v>
      </c>
      <c r="T204" s="16" t="s">
        <v>74</v>
      </c>
      <c r="U204" s="16" t="s">
        <v>75</v>
      </c>
      <c r="V204" s="16" t="s">
        <v>2584</v>
      </c>
      <c r="W204" s="16"/>
      <c r="X204" s="16" t="s">
        <v>2585</v>
      </c>
      <c r="Y204" s="16" t="s">
        <v>78</v>
      </c>
      <c r="Z204" s="16" t="s">
        <v>117</v>
      </c>
      <c r="AA204" s="16" t="s">
        <v>113</v>
      </c>
      <c r="AB204" s="17" t="s">
        <v>2586</v>
      </c>
      <c r="AC204" s="16" t="s">
        <v>71</v>
      </c>
      <c r="AD204" s="17" t="s">
        <v>2586</v>
      </c>
      <c r="AE204" s="17" t="s">
        <v>2587</v>
      </c>
      <c r="AG204" s="16" t="s">
        <v>1029</v>
      </c>
      <c r="AH204" s="16" t="s">
        <v>1017</v>
      </c>
      <c r="AI204" s="16"/>
      <c r="AJ204" s="16"/>
      <c r="AK204" s="16"/>
      <c r="AL204" s="16" t="s">
        <v>2588</v>
      </c>
    </row>
    <row r="205" spans="1:38" x14ac:dyDescent="0.5">
      <c r="A205">
        <v>16231</v>
      </c>
      <c r="B205" s="16" t="s">
        <v>2589</v>
      </c>
      <c r="C205" s="16" t="s">
        <v>2589</v>
      </c>
      <c r="D205" s="16"/>
      <c r="E205" s="16" t="s">
        <v>2590</v>
      </c>
      <c r="F205" s="17" t="s">
        <v>2591</v>
      </c>
      <c r="H205" s="16" t="s">
        <v>2592</v>
      </c>
      <c r="I205" s="16" t="s">
        <v>2593</v>
      </c>
      <c r="J205" s="33">
        <v>39878</v>
      </c>
      <c r="K205" s="33">
        <v>43465</v>
      </c>
      <c r="L205" s="16" t="s">
        <v>66</v>
      </c>
      <c r="M205" s="16" t="s">
        <v>67</v>
      </c>
      <c r="N205" s="16" t="s">
        <v>68</v>
      </c>
      <c r="O205" s="16" t="s">
        <v>436</v>
      </c>
      <c r="P205" s="16" t="s">
        <v>70</v>
      </c>
      <c r="Q205" s="16" t="s">
        <v>71</v>
      </c>
      <c r="R205" s="17" t="s">
        <v>2594</v>
      </c>
      <c r="S205" s="16" t="s">
        <v>2595</v>
      </c>
      <c r="T205" s="16" t="s">
        <v>2596</v>
      </c>
      <c r="U205" s="16" t="s">
        <v>2597</v>
      </c>
      <c r="V205" s="16" t="s">
        <v>2598</v>
      </c>
      <c r="W205" s="16" t="s">
        <v>2599</v>
      </c>
      <c r="X205" s="16" t="s">
        <v>2600</v>
      </c>
      <c r="Y205" s="16" t="s">
        <v>744</v>
      </c>
      <c r="Z205" s="16"/>
      <c r="AA205" s="16"/>
      <c r="AB205" s="17" t="s">
        <v>2601</v>
      </c>
      <c r="AC205" s="16" t="s">
        <v>71</v>
      </c>
      <c r="AD205" s="17" t="s">
        <v>2601</v>
      </c>
      <c r="AE205" s="17" t="s">
        <v>2602</v>
      </c>
      <c r="AF205" s="17" t="s">
        <v>2603</v>
      </c>
      <c r="AG205" s="16" t="s">
        <v>2604</v>
      </c>
      <c r="AH205" s="16" t="s">
        <v>1693</v>
      </c>
      <c r="AI205" s="16"/>
      <c r="AJ205" s="16"/>
      <c r="AK205" s="16"/>
      <c r="AL205" s="16" t="s">
        <v>2605</v>
      </c>
    </row>
    <row r="206" spans="1:38" x14ac:dyDescent="0.5">
      <c r="A206">
        <v>16251</v>
      </c>
      <c r="B206" s="16" t="s">
        <v>2606</v>
      </c>
      <c r="C206" s="16" t="s">
        <v>2606</v>
      </c>
      <c r="D206" s="16"/>
      <c r="E206" s="16" t="s">
        <v>2607</v>
      </c>
      <c r="F206" s="17" t="s">
        <v>2608</v>
      </c>
      <c r="G206" s="17" t="s">
        <v>2608</v>
      </c>
      <c r="H206" s="16" t="s">
        <v>456</v>
      </c>
      <c r="I206" s="16" t="s">
        <v>2609</v>
      </c>
      <c r="J206" s="33">
        <v>39878</v>
      </c>
      <c r="K206" s="33">
        <v>43465</v>
      </c>
      <c r="L206" s="16" t="s">
        <v>66</v>
      </c>
      <c r="M206" s="16" t="s">
        <v>67</v>
      </c>
      <c r="N206" s="16" t="s">
        <v>68</v>
      </c>
      <c r="O206" s="16" t="s">
        <v>436</v>
      </c>
      <c r="P206" s="16" t="s">
        <v>70</v>
      </c>
      <c r="Q206" s="16" t="s">
        <v>71</v>
      </c>
      <c r="R206" s="17" t="s">
        <v>2610</v>
      </c>
      <c r="S206" s="16" t="s">
        <v>2611</v>
      </c>
      <c r="T206" s="16" t="s">
        <v>74</v>
      </c>
      <c r="U206" s="16" t="s">
        <v>75</v>
      </c>
      <c r="V206" s="16" t="s">
        <v>2612</v>
      </c>
      <c r="W206" s="16"/>
      <c r="X206" s="16" t="s">
        <v>2613</v>
      </c>
      <c r="Y206" s="16" t="s">
        <v>78</v>
      </c>
      <c r="Z206" s="16" t="s">
        <v>242</v>
      </c>
      <c r="AA206" s="16" t="s">
        <v>243</v>
      </c>
      <c r="AB206" s="17" t="s">
        <v>2614</v>
      </c>
      <c r="AC206" s="16" t="s">
        <v>71</v>
      </c>
      <c r="AD206" s="17" t="s">
        <v>2614</v>
      </c>
      <c r="AF206" s="17" t="s">
        <v>2615</v>
      </c>
      <c r="AG206" s="16" t="s">
        <v>2616</v>
      </c>
      <c r="AH206" s="16" t="s">
        <v>2289</v>
      </c>
      <c r="AI206" s="16"/>
      <c r="AJ206" s="16"/>
      <c r="AK206" s="16"/>
      <c r="AL206" s="16" t="s">
        <v>2617</v>
      </c>
    </row>
    <row r="207" spans="1:38" x14ac:dyDescent="0.5">
      <c r="A207">
        <v>16361</v>
      </c>
      <c r="B207" s="16" t="s">
        <v>2618</v>
      </c>
      <c r="C207" s="16" t="s">
        <v>2618</v>
      </c>
      <c r="D207" s="16"/>
      <c r="E207" s="16" t="s">
        <v>2619</v>
      </c>
      <c r="F207" s="17" t="s">
        <v>2620</v>
      </c>
      <c r="G207" s="17" t="s">
        <v>2621</v>
      </c>
      <c r="H207" s="16" t="s">
        <v>2622</v>
      </c>
      <c r="I207" s="16" t="s">
        <v>2623</v>
      </c>
      <c r="J207" s="33">
        <v>43287</v>
      </c>
      <c r="K207" s="33">
        <v>43652</v>
      </c>
      <c r="L207" s="16" t="s">
        <v>66</v>
      </c>
      <c r="M207" s="16" t="s">
        <v>67</v>
      </c>
      <c r="N207" s="16" t="s">
        <v>68</v>
      </c>
      <c r="O207" s="16" t="s">
        <v>436</v>
      </c>
      <c r="P207" s="16" t="s">
        <v>572</v>
      </c>
      <c r="Q207" s="16" t="s">
        <v>71</v>
      </c>
      <c r="R207" s="17" t="s">
        <v>2624</v>
      </c>
      <c r="S207" s="16" t="s">
        <v>2625</v>
      </c>
      <c r="T207" s="16" t="s">
        <v>2626</v>
      </c>
      <c r="U207" s="16" t="s">
        <v>2627</v>
      </c>
      <c r="V207" s="16" t="s">
        <v>2628</v>
      </c>
      <c r="W207" s="16" t="s">
        <v>2629</v>
      </c>
      <c r="X207" s="16"/>
      <c r="Y207" s="16" t="s">
        <v>2630</v>
      </c>
      <c r="Z207" s="16"/>
      <c r="AA207" s="16"/>
      <c r="AB207" s="17" t="s">
        <v>2631</v>
      </c>
      <c r="AC207" s="16" t="s">
        <v>71</v>
      </c>
      <c r="AD207" s="17" t="s">
        <v>2631</v>
      </c>
      <c r="AG207" s="16" t="s">
        <v>2632</v>
      </c>
      <c r="AH207" s="16" t="s">
        <v>2633</v>
      </c>
      <c r="AI207" s="16"/>
      <c r="AJ207" s="16"/>
      <c r="AK207" s="16"/>
      <c r="AL207" s="16"/>
    </row>
    <row r="208" spans="1:38" x14ac:dyDescent="0.5">
      <c r="A208">
        <v>16521</v>
      </c>
      <c r="B208" s="16" t="s">
        <v>2634</v>
      </c>
      <c r="C208" s="16" t="s">
        <v>2635</v>
      </c>
      <c r="D208" s="16"/>
      <c r="E208" s="16" t="s">
        <v>2636</v>
      </c>
      <c r="F208" s="17" t="s">
        <v>2637</v>
      </c>
      <c r="H208" s="16" t="s">
        <v>2638</v>
      </c>
      <c r="I208" s="16" t="s">
        <v>2639</v>
      </c>
      <c r="J208" s="33">
        <v>39989</v>
      </c>
      <c r="K208" s="33">
        <v>43465</v>
      </c>
      <c r="L208" s="16" t="s">
        <v>66</v>
      </c>
      <c r="M208" s="16" t="s">
        <v>167</v>
      </c>
      <c r="N208" s="16" t="s">
        <v>110</v>
      </c>
      <c r="O208" s="16" t="s">
        <v>280</v>
      </c>
      <c r="P208" s="16" t="s">
        <v>70</v>
      </c>
      <c r="Q208" s="16" t="s">
        <v>71</v>
      </c>
      <c r="R208" s="17" t="s">
        <v>2640</v>
      </c>
      <c r="S208" s="16" t="s">
        <v>113</v>
      </c>
      <c r="T208" s="16" t="s">
        <v>74</v>
      </c>
      <c r="U208" s="16" t="s">
        <v>75</v>
      </c>
      <c r="V208" s="16" t="s">
        <v>2641</v>
      </c>
      <c r="W208" s="16"/>
      <c r="X208" s="16" t="s">
        <v>2642</v>
      </c>
      <c r="Y208" s="16" t="s">
        <v>78</v>
      </c>
      <c r="Z208" s="16" t="s">
        <v>117</v>
      </c>
      <c r="AA208" s="16" t="s">
        <v>113</v>
      </c>
      <c r="AB208" s="17" t="s">
        <v>2643</v>
      </c>
      <c r="AC208" s="16" t="s">
        <v>71</v>
      </c>
      <c r="AD208" s="17" t="s">
        <v>2643</v>
      </c>
      <c r="AE208" s="17" t="s">
        <v>2643</v>
      </c>
      <c r="AF208" s="17" t="s">
        <v>2644</v>
      </c>
      <c r="AG208" s="16" t="s">
        <v>1938</v>
      </c>
      <c r="AH208" s="16" t="s">
        <v>2322</v>
      </c>
      <c r="AI208" s="16"/>
      <c r="AJ208" s="16"/>
      <c r="AK208" s="16"/>
      <c r="AL208" s="16" t="s">
        <v>2645</v>
      </c>
    </row>
    <row r="209" spans="1:38" x14ac:dyDescent="0.5">
      <c r="A209">
        <v>16531</v>
      </c>
      <c r="B209" s="16" t="s">
        <v>2646</v>
      </c>
      <c r="C209" s="16" t="s">
        <v>2646</v>
      </c>
      <c r="D209" s="16"/>
      <c r="E209" s="16" t="s">
        <v>2647</v>
      </c>
      <c r="F209" s="17" t="s">
        <v>2648</v>
      </c>
      <c r="H209" s="16" t="s">
        <v>468</v>
      </c>
      <c r="I209" s="16" t="s">
        <v>2649</v>
      </c>
      <c r="J209" s="33">
        <v>39989</v>
      </c>
      <c r="K209" s="33">
        <v>43465</v>
      </c>
      <c r="L209" s="16" t="s">
        <v>66</v>
      </c>
      <c r="M209" s="16" t="s">
        <v>167</v>
      </c>
      <c r="N209" s="16" t="s">
        <v>110</v>
      </c>
      <c r="O209" s="16" t="s">
        <v>280</v>
      </c>
      <c r="P209" s="16" t="s">
        <v>70</v>
      </c>
      <c r="Q209" s="16" t="s">
        <v>71</v>
      </c>
      <c r="R209" s="17" t="s">
        <v>2650</v>
      </c>
      <c r="S209" s="16" t="s">
        <v>113</v>
      </c>
      <c r="T209" s="16" t="s">
        <v>74</v>
      </c>
      <c r="U209" s="16" t="s">
        <v>75</v>
      </c>
      <c r="V209" s="16" t="s">
        <v>2651</v>
      </c>
      <c r="W209" s="16"/>
      <c r="X209" s="16" t="s">
        <v>2652</v>
      </c>
      <c r="Y209" s="16" t="s">
        <v>78</v>
      </c>
      <c r="Z209" s="16" t="s">
        <v>117</v>
      </c>
      <c r="AA209" s="16" t="s">
        <v>113</v>
      </c>
      <c r="AB209" s="17" t="s">
        <v>2653</v>
      </c>
      <c r="AC209" s="16" t="s">
        <v>71</v>
      </c>
      <c r="AD209" s="17" t="s">
        <v>2653</v>
      </c>
      <c r="AE209" s="17" t="s">
        <v>2654</v>
      </c>
      <c r="AG209" s="16" t="s">
        <v>2655</v>
      </c>
      <c r="AH209" s="16" t="s">
        <v>2656</v>
      </c>
      <c r="AI209" s="16"/>
      <c r="AJ209" s="16"/>
      <c r="AK209" s="16"/>
      <c r="AL209" s="16" t="s">
        <v>2657</v>
      </c>
    </row>
    <row r="210" spans="1:38" x14ac:dyDescent="0.5">
      <c r="A210">
        <v>16571</v>
      </c>
      <c r="B210" s="16" t="s">
        <v>353</v>
      </c>
      <c r="C210" s="16" t="s">
        <v>353</v>
      </c>
      <c r="D210" s="16"/>
      <c r="E210" s="16" t="s">
        <v>2658</v>
      </c>
      <c r="F210" s="17" t="s">
        <v>2659</v>
      </c>
      <c r="G210" s="17" t="s">
        <v>2660</v>
      </c>
      <c r="H210" s="16" t="s">
        <v>2661</v>
      </c>
      <c r="I210" s="16" t="s">
        <v>2662</v>
      </c>
      <c r="J210" s="33">
        <v>39989</v>
      </c>
      <c r="K210" s="33">
        <v>43465</v>
      </c>
      <c r="L210" s="16" t="s">
        <v>66</v>
      </c>
      <c r="M210" s="16" t="s">
        <v>167</v>
      </c>
      <c r="N210" s="16" t="s">
        <v>110</v>
      </c>
      <c r="O210" s="16" t="s">
        <v>253</v>
      </c>
      <c r="P210" s="16" t="s">
        <v>70</v>
      </c>
      <c r="Q210" s="16" t="s">
        <v>71</v>
      </c>
      <c r="R210" s="17" t="s">
        <v>2663</v>
      </c>
      <c r="S210" s="16" t="s">
        <v>2664</v>
      </c>
      <c r="T210" s="16" t="s">
        <v>74</v>
      </c>
      <c r="U210" s="16" t="s">
        <v>75</v>
      </c>
      <c r="V210" s="16" t="s">
        <v>2665</v>
      </c>
      <c r="W210" s="16"/>
      <c r="X210" s="16" t="s">
        <v>2666</v>
      </c>
      <c r="Y210" s="16" t="s">
        <v>78</v>
      </c>
      <c r="Z210" s="16" t="s">
        <v>189</v>
      </c>
      <c r="AA210" s="16" t="s">
        <v>190</v>
      </c>
      <c r="AB210" s="17" t="s">
        <v>2667</v>
      </c>
      <c r="AC210" s="16" t="s">
        <v>71</v>
      </c>
      <c r="AD210" s="17" t="s">
        <v>2667</v>
      </c>
      <c r="AE210" s="17" t="s">
        <v>2668</v>
      </c>
      <c r="AG210" s="16" t="s">
        <v>1548</v>
      </c>
      <c r="AH210" s="16" t="s">
        <v>1017</v>
      </c>
      <c r="AI210" s="16"/>
      <c r="AJ210" s="16"/>
      <c r="AK210" s="16"/>
      <c r="AL210" s="16" t="s">
        <v>2669</v>
      </c>
    </row>
    <row r="211" spans="1:38" x14ac:dyDescent="0.5">
      <c r="A211">
        <v>16581</v>
      </c>
      <c r="B211" s="16" t="s">
        <v>2670</v>
      </c>
      <c r="C211" s="16" t="s">
        <v>2670</v>
      </c>
      <c r="D211" s="16"/>
      <c r="E211" s="16" t="s">
        <v>2671</v>
      </c>
      <c r="F211" s="17" t="s">
        <v>2672</v>
      </c>
      <c r="G211" s="17" t="s">
        <v>2673</v>
      </c>
      <c r="H211" s="16" t="s">
        <v>699</v>
      </c>
      <c r="I211" s="16" t="s">
        <v>278</v>
      </c>
      <c r="J211" s="33">
        <v>39989</v>
      </c>
      <c r="K211" s="33">
        <v>43465</v>
      </c>
      <c r="L211" s="16" t="s">
        <v>66</v>
      </c>
      <c r="M211" s="16" t="s">
        <v>167</v>
      </c>
      <c r="N211" s="16" t="s">
        <v>110</v>
      </c>
      <c r="O211" s="16" t="s">
        <v>111</v>
      </c>
      <c r="P211" s="16" t="s">
        <v>70</v>
      </c>
      <c r="Q211" s="16" t="s">
        <v>71</v>
      </c>
      <c r="R211" s="17" t="s">
        <v>2674</v>
      </c>
      <c r="S211" s="16" t="s">
        <v>2675</v>
      </c>
      <c r="T211" s="16" t="s">
        <v>1411</v>
      </c>
      <c r="U211" s="16" t="s">
        <v>1412</v>
      </c>
      <c r="V211" s="16" t="s">
        <v>2676</v>
      </c>
      <c r="W211" s="16"/>
      <c r="X211" s="16" t="s">
        <v>2677</v>
      </c>
      <c r="Y211" s="16" t="s">
        <v>744</v>
      </c>
      <c r="Z211" s="16"/>
      <c r="AA211" s="16"/>
      <c r="AB211" s="17" t="s">
        <v>2678</v>
      </c>
      <c r="AC211" s="16" t="s">
        <v>71</v>
      </c>
      <c r="AD211" s="17" t="s">
        <v>2678</v>
      </c>
      <c r="AF211" s="17" t="s">
        <v>2679</v>
      </c>
      <c r="AG211" s="16" t="s">
        <v>1524</v>
      </c>
      <c r="AH211" s="16" t="s">
        <v>1693</v>
      </c>
      <c r="AI211" s="16"/>
      <c r="AJ211" s="16"/>
      <c r="AK211" s="16"/>
      <c r="AL211" s="16" t="s">
        <v>2680</v>
      </c>
    </row>
    <row r="212" spans="1:38" x14ac:dyDescent="0.5">
      <c r="A212">
        <v>16591</v>
      </c>
      <c r="B212" s="16" t="s">
        <v>980</v>
      </c>
      <c r="C212" s="16" t="s">
        <v>980</v>
      </c>
      <c r="D212" s="16"/>
      <c r="E212" s="16" t="s">
        <v>2681</v>
      </c>
      <c r="F212" s="17" t="s">
        <v>2682</v>
      </c>
      <c r="H212" s="16" t="s">
        <v>2683</v>
      </c>
      <c r="I212" s="16" t="s">
        <v>2684</v>
      </c>
      <c r="J212" s="33">
        <v>39989</v>
      </c>
      <c r="K212" s="33">
        <v>43465</v>
      </c>
      <c r="L212" s="16" t="s">
        <v>66</v>
      </c>
      <c r="M212" s="16" t="s">
        <v>167</v>
      </c>
      <c r="N212" s="16" t="s">
        <v>110</v>
      </c>
      <c r="O212" s="16" t="s">
        <v>280</v>
      </c>
      <c r="P212" s="16" t="s">
        <v>70</v>
      </c>
      <c r="Q212" s="16" t="s">
        <v>71</v>
      </c>
      <c r="R212" s="17" t="s">
        <v>2685</v>
      </c>
      <c r="S212" s="16" t="s">
        <v>113</v>
      </c>
      <c r="T212" s="16" t="s">
        <v>74</v>
      </c>
      <c r="U212" s="16" t="s">
        <v>75</v>
      </c>
      <c r="V212" s="16" t="s">
        <v>2686</v>
      </c>
      <c r="W212" s="16"/>
      <c r="X212" s="16" t="s">
        <v>2687</v>
      </c>
      <c r="Y212" s="16" t="s">
        <v>78</v>
      </c>
      <c r="Z212" s="16" t="s">
        <v>117</v>
      </c>
      <c r="AA212" s="16" t="s">
        <v>113</v>
      </c>
      <c r="AB212" s="17" t="s">
        <v>2688</v>
      </c>
      <c r="AC212" s="16" t="s">
        <v>71</v>
      </c>
      <c r="AD212" s="17" t="s">
        <v>2688</v>
      </c>
      <c r="AE212" s="17" t="s">
        <v>2689</v>
      </c>
      <c r="AG212" s="16" t="s">
        <v>2690</v>
      </c>
      <c r="AH212" s="16" t="s">
        <v>2322</v>
      </c>
      <c r="AI212" s="16"/>
      <c r="AJ212" s="16"/>
      <c r="AK212" s="16"/>
      <c r="AL212" s="16" t="s">
        <v>2691</v>
      </c>
    </row>
    <row r="213" spans="1:38" x14ac:dyDescent="0.5">
      <c r="A213">
        <v>16601</v>
      </c>
      <c r="B213" s="16" t="s">
        <v>2692</v>
      </c>
      <c r="C213" s="16" t="s">
        <v>2692</v>
      </c>
      <c r="D213" s="16" t="s">
        <v>85</v>
      </c>
      <c r="E213" s="16" t="s">
        <v>2693</v>
      </c>
      <c r="F213" s="17" t="s">
        <v>2694</v>
      </c>
      <c r="G213" s="17" t="s">
        <v>2695</v>
      </c>
      <c r="H213" s="16" t="s">
        <v>2696</v>
      </c>
      <c r="I213" s="16" t="s">
        <v>2697</v>
      </c>
      <c r="J213" s="33">
        <v>39989</v>
      </c>
      <c r="K213" s="33">
        <v>43465</v>
      </c>
      <c r="L213" s="16" t="s">
        <v>66</v>
      </c>
      <c r="M213" s="16" t="s">
        <v>235</v>
      </c>
      <c r="N213" s="16" t="s">
        <v>236</v>
      </c>
      <c r="O213" s="16" t="s">
        <v>253</v>
      </c>
      <c r="P213" s="16" t="s">
        <v>70</v>
      </c>
      <c r="Q213" s="16" t="s">
        <v>71</v>
      </c>
      <c r="R213" s="17" t="s">
        <v>2698</v>
      </c>
      <c r="S213" s="16" t="s">
        <v>2699</v>
      </c>
      <c r="T213" s="16" t="s">
        <v>74</v>
      </c>
      <c r="U213" s="16" t="s">
        <v>75</v>
      </c>
      <c r="V213" s="16" t="s">
        <v>2700</v>
      </c>
      <c r="W213" s="16"/>
      <c r="X213" s="16" t="s">
        <v>2701</v>
      </c>
      <c r="Y213" s="16" t="s">
        <v>78</v>
      </c>
      <c r="Z213" s="16" t="s">
        <v>2702</v>
      </c>
      <c r="AA213" s="16" t="s">
        <v>2703</v>
      </c>
      <c r="AB213" s="17" t="s">
        <v>2704</v>
      </c>
      <c r="AC213" s="16" t="s">
        <v>71</v>
      </c>
      <c r="AD213" s="17" t="s">
        <v>2704</v>
      </c>
      <c r="AE213" s="17" t="s">
        <v>2705</v>
      </c>
      <c r="AF213" s="17" t="s">
        <v>2706</v>
      </c>
      <c r="AG213" s="16" t="s">
        <v>1572</v>
      </c>
      <c r="AH213" s="16" t="s">
        <v>2094</v>
      </c>
      <c r="AI213" s="16"/>
      <c r="AJ213" s="16"/>
      <c r="AK213" s="16"/>
      <c r="AL213" s="16" t="s">
        <v>2707</v>
      </c>
    </row>
    <row r="214" spans="1:38" x14ac:dyDescent="0.5">
      <c r="A214">
        <v>16611</v>
      </c>
      <c r="B214" s="16" t="s">
        <v>382</v>
      </c>
      <c r="C214" s="16" t="s">
        <v>382</v>
      </c>
      <c r="D214" s="16" t="s">
        <v>302</v>
      </c>
      <c r="E214" s="16" t="s">
        <v>2708</v>
      </c>
      <c r="F214" s="17" t="s">
        <v>2709</v>
      </c>
      <c r="H214" s="16" t="s">
        <v>317</v>
      </c>
      <c r="I214" s="16" t="s">
        <v>2710</v>
      </c>
      <c r="J214" s="33">
        <v>39990</v>
      </c>
      <c r="K214" s="33">
        <v>43465</v>
      </c>
      <c r="L214" s="16" t="s">
        <v>66</v>
      </c>
      <c r="M214" s="16" t="s">
        <v>167</v>
      </c>
      <c r="N214" s="16" t="s">
        <v>110</v>
      </c>
      <c r="O214" s="16" t="s">
        <v>111</v>
      </c>
      <c r="P214" s="16" t="s">
        <v>70</v>
      </c>
      <c r="Q214" s="16" t="s">
        <v>71</v>
      </c>
      <c r="R214" s="17" t="s">
        <v>2711</v>
      </c>
      <c r="S214" s="16" t="s">
        <v>267</v>
      </c>
      <c r="T214" s="16" t="s">
        <v>74</v>
      </c>
      <c r="U214" s="16" t="s">
        <v>75</v>
      </c>
      <c r="V214" s="16" t="s">
        <v>2712</v>
      </c>
      <c r="W214" s="16" t="s">
        <v>2713</v>
      </c>
      <c r="X214" s="16" t="s">
        <v>269</v>
      </c>
      <c r="Y214" s="16" t="s">
        <v>78</v>
      </c>
      <c r="Z214" s="16" t="s">
        <v>270</v>
      </c>
      <c r="AA214" s="16" t="s">
        <v>271</v>
      </c>
      <c r="AB214" s="17" t="s">
        <v>2714</v>
      </c>
      <c r="AC214" s="16" t="s">
        <v>71</v>
      </c>
      <c r="AD214" s="17" t="s">
        <v>2714</v>
      </c>
      <c r="AE214" s="17" t="s">
        <v>2715</v>
      </c>
      <c r="AG214" s="16" t="s">
        <v>1572</v>
      </c>
      <c r="AH214" s="16" t="s">
        <v>2716</v>
      </c>
      <c r="AI214" s="16"/>
      <c r="AJ214" s="16"/>
      <c r="AK214" s="16"/>
      <c r="AL214" s="16" t="s">
        <v>1976</v>
      </c>
    </row>
    <row r="215" spans="1:38" x14ac:dyDescent="0.5">
      <c r="A215">
        <v>16621</v>
      </c>
      <c r="B215" s="16" t="s">
        <v>2717</v>
      </c>
      <c r="C215" s="16" t="s">
        <v>2717</v>
      </c>
      <c r="D215" s="16"/>
      <c r="E215" s="16" t="s">
        <v>2718</v>
      </c>
      <c r="F215" s="17" t="s">
        <v>2719</v>
      </c>
      <c r="H215" s="16" t="s">
        <v>127</v>
      </c>
      <c r="I215" s="16"/>
      <c r="J215" s="33">
        <v>39990</v>
      </c>
      <c r="K215" s="33">
        <v>43465</v>
      </c>
      <c r="L215" s="16" t="s">
        <v>66</v>
      </c>
      <c r="M215" s="16" t="s">
        <v>291</v>
      </c>
      <c r="N215" s="16" t="s">
        <v>127</v>
      </c>
      <c r="O215" s="16" t="s">
        <v>127</v>
      </c>
      <c r="P215" s="16" t="s">
        <v>70</v>
      </c>
      <c r="Q215" s="16" t="s">
        <v>71</v>
      </c>
      <c r="R215" s="17" t="s">
        <v>2720</v>
      </c>
      <c r="S215" s="16" t="s">
        <v>1497</v>
      </c>
      <c r="T215" s="16" t="s">
        <v>74</v>
      </c>
      <c r="U215" s="16" t="s">
        <v>75</v>
      </c>
      <c r="V215" s="16" t="s">
        <v>2721</v>
      </c>
      <c r="W215" s="16"/>
      <c r="X215" s="16" t="s">
        <v>2722</v>
      </c>
      <c r="Y215" s="16" t="s">
        <v>78</v>
      </c>
      <c r="Z215" s="16" t="s">
        <v>1025</v>
      </c>
      <c r="AA215" s="16" t="s">
        <v>1026</v>
      </c>
      <c r="AB215" s="17" t="s">
        <v>2723</v>
      </c>
      <c r="AC215" s="16" t="s">
        <v>966</v>
      </c>
      <c r="AF215" s="17" t="s">
        <v>2723</v>
      </c>
      <c r="AG215" s="16" t="s">
        <v>2021</v>
      </c>
      <c r="AH215" s="16" t="s">
        <v>871</v>
      </c>
      <c r="AI215" s="16"/>
      <c r="AJ215" s="16"/>
      <c r="AK215" s="16"/>
      <c r="AL215" s="16" t="s">
        <v>2724</v>
      </c>
    </row>
    <row r="216" spans="1:38" x14ac:dyDescent="0.5">
      <c r="A216">
        <v>16951</v>
      </c>
      <c r="B216" s="16" t="s">
        <v>453</v>
      </c>
      <c r="C216" s="16" t="s">
        <v>453</v>
      </c>
      <c r="D216" s="16"/>
      <c r="E216" s="16" t="s">
        <v>2725</v>
      </c>
      <c r="F216" s="17" t="s">
        <v>2726</v>
      </c>
      <c r="G216" s="17" t="s">
        <v>2727</v>
      </c>
      <c r="H216" s="16" t="s">
        <v>456</v>
      </c>
      <c r="I216" s="16" t="s">
        <v>8600</v>
      </c>
      <c r="J216" s="33">
        <v>40043</v>
      </c>
      <c r="K216" s="33">
        <v>43465</v>
      </c>
      <c r="L216" s="16" t="s">
        <v>66</v>
      </c>
      <c r="M216" s="16" t="s">
        <v>235</v>
      </c>
      <c r="N216" s="16" t="s">
        <v>236</v>
      </c>
      <c r="O216" s="16" t="s">
        <v>237</v>
      </c>
      <c r="P216" s="16" t="s">
        <v>70</v>
      </c>
      <c r="Q216" s="16" t="s">
        <v>71</v>
      </c>
      <c r="R216" s="17" t="s">
        <v>2729</v>
      </c>
      <c r="S216" s="16" t="s">
        <v>113</v>
      </c>
      <c r="T216" s="16" t="s">
        <v>74</v>
      </c>
      <c r="U216" s="16" t="s">
        <v>75</v>
      </c>
      <c r="V216" s="16" t="s">
        <v>2730</v>
      </c>
      <c r="W216" s="16"/>
      <c r="X216" s="16" t="s">
        <v>1556</v>
      </c>
      <c r="Y216" s="16" t="s">
        <v>78</v>
      </c>
      <c r="Z216" s="16" t="s">
        <v>117</v>
      </c>
      <c r="AA216" s="16" t="s">
        <v>113</v>
      </c>
      <c r="AB216" s="17" t="s">
        <v>2731</v>
      </c>
      <c r="AC216" s="16" t="s">
        <v>71</v>
      </c>
      <c r="AD216" s="17" t="s">
        <v>2731</v>
      </c>
      <c r="AE216" s="17" t="s">
        <v>2732</v>
      </c>
      <c r="AF216" s="17" t="s">
        <v>2733</v>
      </c>
      <c r="AG216" s="16" t="s">
        <v>1693</v>
      </c>
      <c r="AH216" s="16" t="s">
        <v>2734</v>
      </c>
      <c r="AI216" s="16"/>
      <c r="AJ216" s="16"/>
      <c r="AK216" s="16"/>
      <c r="AL216" s="16" t="s">
        <v>2735</v>
      </c>
    </row>
    <row r="217" spans="1:38" x14ac:dyDescent="0.5">
      <c r="A217">
        <v>16981</v>
      </c>
      <c r="B217" s="16" t="s">
        <v>2324</v>
      </c>
      <c r="C217" s="16" t="s">
        <v>2324</v>
      </c>
      <c r="D217" s="16" t="s">
        <v>695</v>
      </c>
      <c r="E217" s="16" t="s">
        <v>2736</v>
      </c>
      <c r="F217" s="17" t="s">
        <v>2737</v>
      </c>
      <c r="G217" s="17" t="s">
        <v>2738</v>
      </c>
      <c r="H217" s="16" t="s">
        <v>317</v>
      </c>
      <c r="I217" s="16" t="s">
        <v>2739</v>
      </c>
      <c r="J217" s="33">
        <v>40043</v>
      </c>
      <c r="K217" s="33">
        <v>43465</v>
      </c>
      <c r="L217" s="16" t="s">
        <v>66</v>
      </c>
      <c r="M217" s="16" t="s">
        <v>67</v>
      </c>
      <c r="N217" s="16" t="s">
        <v>68</v>
      </c>
      <c r="O217" s="16" t="s">
        <v>111</v>
      </c>
      <c r="P217" s="16" t="s">
        <v>70</v>
      </c>
      <c r="Q217" s="16" t="s">
        <v>71</v>
      </c>
      <c r="R217" s="17" t="s">
        <v>2740</v>
      </c>
      <c r="S217" s="16" t="s">
        <v>2741</v>
      </c>
      <c r="T217" s="16" t="s">
        <v>74</v>
      </c>
      <c r="U217" s="16" t="s">
        <v>75</v>
      </c>
      <c r="V217" s="16" t="s">
        <v>2742</v>
      </c>
      <c r="W217" s="16"/>
      <c r="X217" s="16" t="s">
        <v>2743</v>
      </c>
      <c r="Y217" s="16" t="s">
        <v>78</v>
      </c>
      <c r="Z217" s="16" t="s">
        <v>376</v>
      </c>
      <c r="AA217" s="16" t="s">
        <v>377</v>
      </c>
      <c r="AB217" s="17" t="s">
        <v>2744</v>
      </c>
      <c r="AC217" s="16" t="s">
        <v>71</v>
      </c>
      <c r="AD217" s="17" t="s">
        <v>2744</v>
      </c>
      <c r="AE217" s="17" t="s">
        <v>2745</v>
      </c>
      <c r="AF217" s="17" t="s">
        <v>2746</v>
      </c>
      <c r="AG217" s="16" t="s">
        <v>2716</v>
      </c>
      <c r="AH217" s="16" t="s">
        <v>2747</v>
      </c>
      <c r="AI217" s="16"/>
      <c r="AJ217" s="16"/>
      <c r="AK217" s="16"/>
      <c r="AL217" s="16" t="s">
        <v>2748</v>
      </c>
    </row>
    <row r="218" spans="1:38" x14ac:dyDescent="0.5">
      <c r="A218">
        <v>16991</v>
      </c>
      <c r="B218" s="16" t="s">
        <v>2749</v>
      </c>
      <c r="C218" s="16" t="s">
        <v>2749</v>
      </c>
      <c r="D218" s="16" t="s">
        <v>533</v>
      </c>
      <c r="E218" s="16" t="s">
        <v>2750</v>
      </c>
      <c r="F218" s="17" t="s">
        <v>2751</v>
      </c>
      <c r="H218" s="16" t="s">
        <v>2752</v>
      </c>
      <c r="I218" s="16" t="s">
        <v>2753</v>
      </c>
      <c r="J218" s="33">
        <v>40043</v>
      </c>
      <c r="K218" s="33">
        <v>43465</v>
      </c>
      <c r="L218" s="16" t="s">
        <v>66</v>
      </c>
      <c r="M218" s="16" t="s">
        <v>67</v>
      </c>
      <c r="N218" s="16" t="s">
        <v>68</v>
      </c>
      <c r="O218" s="16" t="s">
        <v>436</v>
      </c>
      <c r="P218" s="16" t="s">
        <v>70</v>
      </c>
      <c r="Q218" s="16" t="s">
        <v>71</v>
      </c>
      <c r="R218" s="17" t="s">
        <v>2754</v>
      </c>
      <c r="S218" s="16" t="s">
        <v>2755</v>
      </c>
      <c r="T218" s="16" t="s">
        <v>2596</v>
      </c>
      <c r="U218" s="16" t="s">
        <v>2597</v>
      </c>
      <c r="V218" s="16" t="s">
        <v>2756</v>
      </c>
      <c r="W218" s="16"/>
      <c r="X218" s="16" t="s">
        <v>2757</v>
      </c>
      <c r="Y218" s="16" t="s">
        <v>744</v>
      </c>
      <c r="Z218" s="16"/>
      <c r="AA218" s="16"/>
      <c r="AB218" s="17" t="s">
        <v>2758</v>
      </c>
      <c r="AC218" s="16" t="s">
        <v>71</v>
      </c>
      <c r="AD218" s="17" t="s">
        <v>2758</v>
      </c>
      <c r="AE218" s="17" t="s">
        <v>2759</v>
      </c>
      <c r="AG218" s="16" t="s">
        <v>1693</v>
      </c>
      <c r="AH218" s="16" t="s">
        <v>578</v>
      </c>
      <c r="AI218" s="16"/>
      <c r="AJ218" s="16"/>
      <c r="AK218" s="16"/>
      <c r="AL218" s="16" t="s">
        <v>2760</v>
      </c>
    </row>
    <row r="219" spans="1:38" x14ac:dyDescent="0.5">
      <c r="A219">
        <v>17071</v>
      </c>
      <c r="B219" s="16" t="s">
        <v>1490</v>
      </c>
      <c r="C219" s="16" t="s">
        <v>2761</v>
      </c>
      <c r="D219" s="16"/>
      <c r="E219" s="16" t="s">
        <v>2762</v>
      </c>
      <c r="F219" s="17" t="s">
        <v>2763</v>
      </c>
      <c r="G219" s="17" t="s">
        <v>2764</v>
      </c>
      <c r="H219" s="16" t="s">
        <v>2065</v>
      </c>
      <c r="I219" s="16" t="s">
        <v>2765</v>
      </c>
      <c r="J219" s="33">
        <v>40086</v>
      </c>
      <c r="K219" s="33">
        <v>43465</v>
      </c>
      <c r="L219" s="16" t="s">
        <v>66</v>
      </c>
      <c r="M219" s="16" t="s">
        <v>67</v>
      </c>
      <c r="N219" s="16" t="s">
        <v>68</v>
      </c>
      <c r="O219" s="16" t="s">
        <v>253</v>
      </c>
      <c r="P219" s="16" t="s">
        <v>70</v>
      </c>
      <c r="Q219" s="16" t="s">
        <v>71</v>
      </c>
      <c r="R219" s="17" t="s">
        <v>2766</v>
      </c>
      <c r="S219" s="16" t="s">
        <v>2767</v>
      </c>
      <c r="T219" s="16" t="s">
        <v>74</v>
      </c>
      <c r="U219" s="16" t="s">
        <v>75</v>
      </c>
      <c r="V219" s="16" t="s">
        <v>2768</v>
      </c>
      <c r="W219" s="16"/>
      <c r="X219" s="16" t="s">
        <v>2769</v>
      </c>
      <c r="Y219" s="16" t="s">
        <v>78</v>
      </c>
      <c r="Z219" s="16" t="s">
        <v>1158</v>
      </c>
      <c r="AA219" s="16" t="s">
        <v>1159</v>
      </c>
      <c r="AB219" s="17" t="s">
        <v>2770</v>
      </c>
      <c r="AC219" s="16" t="s">
        <v>71</v>
      </c>
      <c r="AD219" s="17" t="s">
        <v>2770</v>
      </c>
      <c r="AG219" s="16" t="s">
        <v>1017</v>
      </c>
      <c r="AH219" s="16" t="s">
        <v>2322</v>
      </c>
      <c r="AI219" s="16"/>
      <c r="AJ219" s="16"/>
      <c r="AK219" s="16"/>
      <c r="AL219" s="16" t="s">
        <v>2771</v>
      </c>
    </row>
    <row r="220" spans="1:38" x14ac:dyDescent="0.5">
      <c r="A220">
        <v>17081</v>
      </c>
      <c r="B220" s="16" t="s">
        <v>1777</v>
      </c>
      <c r="C220" s="16" t="s">
        <v>1777</v>
      </c>
      <c r="D220" s="16" t="s">
        <v>533</v>
      </c>
      <c r="E220" s="16" t="s">
        <v>2772</v>
      </c>
      <c r="F220" s="17" t="s">
        <v>2773</v>
      </c>
      <c r="H220" s="16" t="s">
        <v>2774</v>
      </c>
      <c r="I220" s="16" t="s">
        <v>2775</v>
      </c>
      <c r="J220" s="33">
        <v>40086</v>
      </c>
      <c r="K220" s="33">
        <v>43465</v>
      </c>
      <c r="L220" s="16" t="s">
        <v>66</v>
      </c>
      <c r="M220" s="16" t="s">
        <v>67</v>
      </c>
      <c r="N220" s="16" t="s">
        <v>68</v>
      </c>
      <c r="O220" s="16" t="s">
        <v>436</v>
      </c>
      <c r="P220" s="16" t="s">
        <v>70</v>
      </c>
      <c r="Q220" s="16" t="s">
        <v>71</v>
      </c>
      <c r="R220" s="17" t="s">
        <v>2776</v>
      </c>
      <c r="S220" s="16" t="s">
        <v>2777</v>
      </c>
      <c r="T220" s="16" t="s">
        <v>74</v>
      </c>
      <c r="U220" s="16" t="s">
        <v>75</v>
      </c>
      <c r="V220" s="16" t="s">
        <v>2778</v>
      </c>
      <c r="W220" s="16"/>
      <c r="X220" s="16" t="s">
        <v>2779</v>
      </c>
      <c r="Y220" s="16" t="s">
        <v>78</v>
      </c>
      <c r="Z220" s="16" t="s">
        <v>270</v>
      </c>
      <c r="AA220" s="16" t="s">
        <v>271</v>
      </c>
      <c r="AB220" s="17" t="s">
        <v>2780</v>
      </c>
      <c r="AC220" s="16" t="s">
        <v>71</v>
      </c>
      <c r="AD220" s="17" t="s">
        <v>2780</v>
      </c>
      <c r="AE220" s="17" t="s">
        <v>2781</v>
      </c>
      <c r="AF220" s="17" t="s">
        <v>2782</v>
      </c>
      <c r="AG220" s="16" t="s">
        <v>2716</v>
      </c>
      <c r="AH220" s="16" t="s">
        <v>2747</v>
      </c>
      <c r="AI220" s="16"/>
      <c r="AJ220" s="16"/>
      <c r="AK220" s="16"/>
      <c r="AL220" s="16" t="s">
        <v>2783</v>
      </c>
    </row>
    <row r="221" spans="1:38" x14ac:dyDescent="0.5">
      <c r="A221">
        <v>17131</v>
      </c>
      <c r="B221" s="16" t="s">
        <v>2784</v>
      </c>
      <c r="C221" s="16" t="s">
        <v>2784</v>
      </c>
      <c r="D221" s="16"/>
      <c r="E221" s="16" t="s">
        <v>2785</v>
      </c>
      <c r="F221" s="17" t="s">
        <v>2786</v>
      </c>
      <c r="G221" s="17" t="s">
        <v>2787</v>
      </c>
      <c r="H221" s="16" t="s">
        <v>2788</v>
      </c>
      <c r="I221" s="16" t="s">
        <v>2789</v>
      </c>
      <c r="J221" s="33">
        <v>40092</v>
      </c>
      <c r="K221" s="33">
        <v>43465</v>
      </c>
      <c r="L221" s="16" t="s">
        <v>66</v>
      </c>
      <c r="M221" s="16" t="s">
        <v>67</v>
      </c>
      <c r="N221" s="16" t="s">
        <v>68</v>
      </c>
      <c r="O221" s="16" t="s">
        <v>436</v>
      </c>
      <c r="P221" s="16" t="s">
        <v>70</v>
      </c>
      <c r="Q221" s="16" t="s">
        <v>71</v>
      </c>
      <c r="R221" s="17" t="s">
        <v>2790</v>
      </c>
      <c r="S221" s="16" t="s">
        <v>2791</v>
      </c>
      <c r="T221" s="16" t="s">
        <v>74</v>
      </c>
      <c r="U221" s="16" t="s">
        <v>75</v>
      </c>
      <c r="V221" s="16" t="s">
        <v>2792</v>
      </c>
      <c r="W221" s="16"/>
      <c r="X221" s="16" t="s">
        <v>2793</v>
      </c>
      <c r="Y221" s="16" t="s">
        <v>78</v>
      </c>
      <c r="Z221" s="16" t="s">
        <v>270</v>
      </c>
      <c r="AA221" s="16" t="s">
        <v>271</v>
      </c>
      <c r="AB221" s="17" t="s">
        <v>2794</v>
      </c>
      <c r="AC221" s="16" t="s">
        <v>71</v>
      </c>
      <c r="AD221" s="17" t="s">
        <v>2794</v>
      </c>
      <c r="AE221" s="17" t="s">
        <v>2795</v>
      </c>
      <c r="AF221" s="17" t="s">
        <v>2796</v>
      </c>
      <c r="AG221" s="16" t="s">
        <v>1017</v>
      </c>
      <c r="AH221" s="16" t="s">
        <v>1147</v>
      </c>
      <c r="AI221" s="16"/>
      <c r="AJ221" s="16"/>
      <c r="AK221" s="16"/>
      <c r="AL221" s="16" t="s">
        <v>2797</v>
      </c>
    </row>
    <row r="222" spans="1:38" x14ac:dyDescent="0.5">
      <c r="A222">
        <v>17151</v>
      </c>
      <c r="B222" s="16" t="s">
        <v>1135</v>
      </c>
      <c r="C222" s="16" t="s">
        <v>1135</v>
      </c>
      <c r="D222" s="16"/>
      <c r="E222" s="16" t="s">
        <v>2798</v>
      </c>
      <c r="F222" s="17" t="s">
        <v>2799</v>
      </c>
      <c r="G222" s="17" t="s">
        <v>2799</v>
      </c>
      <c r="H222" s="16" t="s">
        <v>685</v>
      </c>
      <c r="I222" s="16" t="s">
        <v>2800</v>
      </c>
      <c r="J222" s="33">
        <v>41352</v>
      </c>
      <c r="K222" s="33">
        <v>43465</v>
      </c>
      <c r="L222" s="16" t="s">
        <v>66</v>
      </c>
      <c r="M222" s="16" t="s">
        <v>167</v>
      </c>
      <c r="N222" s="16" t="s">
        <v>110</v>
      </c>
      <c r="O222" s="16" t="s">
        <v>253</v>
      </c>
      <c r="P222" s="16" t="s">
        <v>1792</v>
      </c>
      <c r="Q222" s="16" t="s">
        <v>71</v>
      </c>
      <c r="R222" s="17" t="s">
        <v>2801</v>
      </c>
      <c r="S222" s="16" t="s">
        <v>2802</v>
      </c>
      <c r="T222" s="16" t="s">
        <v>74</v>
      </c>
      <c r="U222" s="16" t="s">
        <v>75</v>
      </c>
      <c r="V222" s="16" t="s">
        <v>2803</v>
      </c>
      <c r="W222" s="16"/>
      <c r="X222" s="16" t="s">
        <v>2804</v>
      </c>
      <c r="Y222" s="16" t="s">
        <v>78</v>
      </c>
      <c r="Z222" s="16" t="s">
        <v>132</v>
      </c>
      <c r="AA222" s="16" t="s">
        <v>133</v>
      </c>
      <c r="AB222" s="17" t="s">
        <v>2805</v>
      </c>
      <c r="AC222" s="16" t="s">
        <v>71</v>
      </c>
      <c r="AD222" s="17" t="s">
        <v>2805</v>
      </c>
      <c r="AG222" s="16" t="s">
        <v>2806</v>
      </c>
      <c r="AH222" s="16" t="s">
        <v>2359</v>
      </c>
      <c r="AI222" s="16"/>
      <c r="AJ222" s="16"/>
      <c r="AK222" s="16"/>
      <c r="AL222" s="16" t="s">
        <v>2807</v>
      </c>
    </row>
    <row r="223" spans="1:38" x14ac:dyDescent="0.5">
      <c r="A223">
        <v>17231</v>
      </c>
      <c r="B223" s="16" t="s">
        <v>2635</v>
      </c>
      <c r="C223" s="16" t="s">
        <v>2635</v>
      </c>
      <c r="D223" s="16"/>
      <c r="E223" s="16" t="s">
        <v>2808</v>
      </c>
      <c r="F223" s="17" t="s">
        <v>2809</v>
      </c>
      <c r="H223" s="16" t="s">
        <v>2810</v>
      </c>
      <c r="I223" s="16" t="s">
        <v>2811</v>
      </c>
      <c r="J223" s="33">
        <v>43334</v>
      </c>
      <c r="K223" s="33">
        <v>43699</v>
      </c>
      <c r="L223" s="16" t="s">
        <v>66</v>
      </c>
      <c r="M223" s="16" t="s">
        <v>67</v>
      </c>
      <c r="N223" s="16" t="s">
        <v>68</v>
      </c>
      <c r="O223" s="16" t="s">
        <v>436</v>
      </c>
      <c r="P223" s="16" t="s">
        <v>572</v>
      </c>
      <c r="Q223" s="16" t="s">
        <v>71</v>
      </c>
      <c r="R223" s="17" t="s">
        <v>2812</v>
      </c>
      <c r="S223" s="16" t="s">
        <v>1460</v>
      </c>
      <c r="T223" s="16" t="s">
        <v>74</v>
      </c>
      <c r="U223" s="16" t="s">
        <v>75</v>
      </c>
      <c r="V223" s="16" t="s">
        <v>2813</v>
      </c>
      <c r="W223" s="16" t="s">
        <v>2814</v>
      </c>
      <c r="X223" s="16" t="s">
        <v>2815</v>
      </c>
      <c r="Y223" s="16" t="s">
        <v>78</v>
      </c>
      <c r="Z223" s="16" t="s">
        <v>242</v>
      </c>
      <c r="AA223" s="16" t="s">
        <v>243</v>
      </c>
      <c r="AB223" s="17" t="s">
        <v>2816</v>
      </c>
      <c r="AC223" s="16" t="s">
        <v>71</v>
      </c>
      <c r="AD223" s="17" t="s">
        <v>2816</v>
      </c>
      <c r="AG223" s="16" t="s">
        <v>2817</v>
      </c>
      <c r="AH223" s="16" t="s">
        <v>2818</v>
      </c>
      <c r="AI223" s="16"/>
      <c r="AJ223" s="16"/>
      <c r="AK223" s="16"/>
      <c r="AL223" s="16" t="s">
        <v>2819</v>
      </c>
    </row>
    <row r="224" spans="1:38" x14ac:dyDescent="0.5">
      <c r="A224">
        <v>17311</v>
      </c>
      <c r="B224" s="16" t="s">
        <v>229</v>
      </c>
      <c r="C224" s="16" t="s">
        <v>229</v>
      </c>
      <c r="D224" s="16"/>
      <c r="E224" s="16" t="s">
        <v>2820</v>
      </c>
      <c r="F224" s="17" t="s">
        <v>2821</v>
      </c>
      <c r="G224" s="17" t="s">
        <v>2822</v>
      </c>
      <c r="H224" s="16" t="s">
        <v>332</v>
      </c>
      <c r="I224" s="16" t="s">
        <v>2823</v>
      </c>
      <c r="J224" s="33">
        <v>42783</v>
      </c>
      <c r="K224" s="33">
        <v>43100</v>
      </c>
      <c r="L224" s="16" t="s">
        <v>66</v>
      </c>
      <c r="M224" s="16" t="s">
        <v>67</v>
      </c>
      <c r="N224" s="16" t="s">
        <v>68</v>
      </c>
      <c r="O224" s="16" t="s">
        <v>253</v>
      </c>
      <c r="P224" s="16" t="s">
        <v>4047</v>
      </c>
      <c r="Q224" s="16" t="s">
        <v>71</v>
      </c>
      <c r="R224" s="17" t="s">
        <v>2824</v>
      </c>
      <c r="S224" s="16" t="s">
        <v>2825</v>
      </c>
      <c r="T224" s="16" t="s">
        <v>74</v>
      </c>
      <c r="U224" s="16" t="s">
        <v>75</v>
      </c>
      <c r="V224" s="16" t="s">
        <v>2826</v>
      </c>
      <c r="W224" s="16"/>
      <c r="X224" s="16" t="s">
        <v>2827</v>
      </c>
      <c r="Y224" s="16" t="s">
        <v>78</v>
      </c>
      <c r="Z224" s="16" t="s">
        <v>242</v>
      </c>
      <c r="AA224" s="16" t="s">
        <v>243</v>
      </c>
      <c r="AB224" s="17" t="s">
        <v>2828</v>
      </c>
      <c r="AC224" s="16" t="s">
        <v>71</v>
      </c>
      <c r="AD224" s="17" t="s">
        <v>2828</v>
      </c>
      <c r="AF224" s="17" t="s">
        <v>2829</v>
      </c>
      <c r="AG224" s="16" t="s">
        <v>2108</v>
      </c>
      <c r="AH224" s="16" t="s">
        <v>653</v>
      </c>
      <c r="AI224" s="16"/>
      <c r="AJ224" s="16"/>
      <c r="AK224" s="16"/>
      <c r="AL224" s="16" t="s">
        <v>1494</v>
      </c>
    </row>
    <row r="225" spans="1:38" x14ac:dyDescent="0.5">
      <c r="A225">
        <v>17521</v>
      </c>
      <c r="B225" s="16" t="s">
        <v>2830</v>
      </c>
      <c r="C225" s="16" t="s">
        <v>2830</v>
      </c>
      <c r="D225" s="16"/>
      <c r="E225" s="16" t="s">
        <v>2831</v>
      </c>
      <c r="F225" s="17" t="s">
        <v>2832</v>
      </c>
      <c r="H225" s="16" t="s">
        <v>1803</v>
      </c>
      <c r="I225" s="16" t="s">
        <v>2833</v>
      </c>
      <c r="J225" s="33">
        <v>42831</v>
      </c>
      <c r="K225" s="33">
        <v>43465</v>
      </c>
      <c r="L225" s="16" t="s">
        <v>66</v>
      </c>
      <c r="M225" s="16" t="s">
        <v>67</v>
      </c>
      <c r="N225" s="16" t="s">
        <v>68</v>
      </c>
      <c r="O225" s="16" t="s">
        <v>436</v>
      </c>
      <c r="P225" s="16" t="s">
        <v>572</v>
      </c>
      <c r="Q225" s="16" t="s">
        <v>71</v>
      </c>
      <c r="R225" s="17" t="s">
        <v>2834</v>
      </c>
      <c r="S225" s="16" t="s">
        <v>113</v>
      </c>
      <c r="T225" s="16" t="s">
        <v>74</v>
      </c>
      <c r="U225" s="16" t="s">
        <v>75</v>
      </c>
      <c r="V225" s="16" t="s">
        <v>2835</v>
      </c>
      <c r="W225" s="16"/>
      <c r="X225" s="16" t="s">
        <v>2836</v>
      </c>
      <c r="Y225" s="16" t="s">
        <v>78</v>
      </c>
      <c r="Z225" s="16" t="s">
        <v>117</v>
      </c>
      <c r="AA225" s="16" t="s">
        <v>113</v>
      </c>
      <c r="AB225" s="17" t="s">
        <v>2837</v>
      </c>
      <c r="AC225" s="16" t="s">
        <v>71</v>
      </c>
      <c r="AD225" s="17" t="s">
        <v>2837</v>
      </c>
      <c r="AF225" s="17" t="s">
        <v>2838</v>
      </c>
      <c r="AG225" s="16" t="s">
        <v>2839</v>
      </c>
      <c r="AH225" s="16" t="s">
        <v>2840</v>
      </c>
      <c r="AI225" s="16"/>
      <c r="AJ225" s="16"/>
      <c r="AK225" s="16"/>
      <c r="AL225" s="16" t="s">
        <v>1803</v>
      </c>
    </row>
    <row r="226" spans="1:38" x14ac:dyDescent="0.5">
      <c r="A226">
        <v>17551</v>
      </c>
      <c r="B226" s="16" t="s">
        <v>2841</v>
      </c>
      <c r="C226" s="16" t="s">
        <v>2842</v>
      </c>
      <c r="D226" s="16" t="s">
        <v>85</v>
      </c>
      <c r="E226" s="16" t="s">
        <v>2843</v>
      </c>
      <c r="F226" s="17" t="s">
        <v>2844</v>
      </c>
      <c r="G226" s="17" t="s">
        <v>2845</v>
      </c>
      <c r="H226" s="16" t="s">
        <v>2846</v>
      </c>
      <c r="I226" s="16" t="s">
        <v>2847</v>
      </c>
      <c r="J226" s="33">
        <v>43297</v>
      </c>
      <c r="K226" s="33">
        <v>43662</v>
      </c>
      <c r="L226" s="16" t="s">
        <v>66</v>
      </c>
      <c r="M226" s="16" t="s">
        <v>235</v>
      </c>
      <c r="N226" s="16" t="s">
        <v>236</v>
      </c>
      <c r="O226" s="16" t="s">
        <v>237</v>
      </c>
      <c r="P226" s="16" t="s">
        <v>572</v>
      </c>
      <c r="Q226" s="16" t="s">
        <v>71</v>
      </c>
      <c r="R226" s="17" t="s">
        <v>2848</v>
      </c>
      <c r="S226" s="16" t="s">
        <v>222</v>
      </c>
      <c r="T226" s="16" t="s">
        <v>74</v>
      </c>
      <c r="U226" s="16" t="s">
        <v>75</v>
      </c>
      <c r="V226" s="16" t="s">
        <v>2849</v>
      </c>
      <c r="W226" s="16"/>
      <c r="X226" s="16" t="s">
        <v>2850</v>
      </c>
      <c r="Y226" s="16" t="s">
        <v>78</v>
      </c>
      <c r="Z226" s="16" t="s">
        <v>189</v>
      </c>
      <c r="AA226" s="16" t="s">
        <v>190</v>
      </c>
      <c r="AB226" s="17" t="s">
        <v>2851</v>
      </c>
      <c r="AC226" s="16" t="s">
        <v>71</v>
      </c>
      <c r="AD226" s="17" t="s">
        <v>2851</v>
      </c>
      <c r="AE226" s="17" t="s">
        <v>2852</v>
      </c>
      <c r="AG226" s="16" t="s">
        <v>2616</v>
      </c>
      <c r="AH226" s="16" t="s">
        <v>1030</v>
      </c>
      <c r="AI226" s="16"/>
      <c r="AJ226" s="16"/>
      <c r="AK226" s="16"/>
      <c r="AL226" s="16" t="s">
        <v>2853</v>
      </c>
    </row>
    <row r="227" spans="1:38" x14ac:dyDescent="0.5">
      <c r="A227">
        <v>17611</v>
      </c>
      <c r="B227" s="16" t="s">
        <v>567</v>
      </c>
      <c r="C227" s="16" t="s">
        <v>567</v>
      </c>
      <c r="D227" s="16" t="s">
        <v>533</v>
      </c>
      <c r="E227" s="16" t="s">
        <v>2854</v>
      </c>
      <c r="F227" s="17" t="s">
        <v>2855</v>
      </c>
      <c r="G227" s="17" t="s">
        <v>2856</v>
      </c>
      <c r="H227" s="16" t="s">
        <v>142</v>
      </c>
      <c r="I227" s="16" t="s">
        <v>2857</v>
      </c>
      <c r="J227" s="33">
        <v>40233</v>
      </c>
      <c r="K227" s="33">
        <v>43465</v>
      </c>
      <c r="L227" s="16" t="s">
        <v>66</v>
      </c>
      <c r="M227" s="16" t="s">
        <v>167</v>
      </c>
      <c r="N227" s="16" t="s">
        <v>110</v>
      </c>
      <c r="O227" s="16" t="s">
        <v>253</v>
      </c>
      <c r="P227" s="16" t="s">
        <v>70</v>
      </c>
      <c r="Q227" s="16" t="s">
        <v>71</v>
      </c>
      <c r="R227" s="17" t="s">
        <v>2858</v>
      </c>
      <c r="S227" s="16" t="s">
        <v>2859</v>
      </c>
      <c r="T227" s="16" t="s">
        <v>74</v>
      </c>
      <c r="U227" s="16" t="s">
        <v>75</v>
      </c>
      <c r="V227" s="16" t="s">
        <v>2860</v>
      </c>
      <c r="W227" s="16"/>
      <c r="X227" s="16" t="s">
        <v>2861</v>
      </c>
      <c r="Y227" s="16" t="s">
        <v>78</v>
      </c>
      <c r="Z227" s="16" t="s">
        <v>117</v>
      </c>
      <c r="AA227" s="16" t="s">
        <v>113</v>
      </c>
      <c r="AB227" s="17" t="s">
        <v>2862</v>
      </c>
      <c r="AC227" s="16" t="s">
        <v>71</v>
      </c>
      <c r="AD227" s="17" t="s">
        <v>2862</v>
      </c>
      <c r="AE227" s="17" t="s">
        <v>2863</v>
      </c>
      <c r="AG227" s="16" t="s">
        <v>2180</v>
      </c>
      <c r="AH227" s="16" t="s">
        <v>1345</v>
      </c>
      <c r="AI227" s="16"/>
      <c r="AJ227" s="16"/>
      <c r="AK227" s="16"/>
      <c r="AL227" s="16" t="s">
        <v>2864</v>
      </c>
    </row>
    <row r="228" spans="1:38" x14ac:dyDescent="0.5">
      <c r="A228">
        <v>17631</v>
      </c>
      <c r="B228" s="16" t="s">
        <v>2382</v>
      </c>
      <c r="C228" s="16" t="s">
        <v>2382</v>
      </c>
      <c r="D228" s="16" t="s">
        <v>288</v>
      </c>
      <c r="E228" s="16" t="s">
        <v>2865</v>
      </c>
      <c r="F228" s="17" t="s">
        <v>2866</v>
      </c>
      <c r="G228" s="17" t="s">
        <v>2867</v>
      </c>
      <c r="H228" s="16" t="s">
        <v>2868</v>
      </c>
      <c r="I228" s="16" t="s">
        <v>2869</v>
      </c>
      <c r="J228" s="33">
        <v>40233</v>
      </c>
      <c r="K228" s="33">
        <v>43465</v>
      </c>
      <c r="L228" s="16" t="s">
        <v>66</v>
      </c>
      <c r="M228" s="16" t="s">
        <v>67</v>
      </c>
      <c r="N228" s="16" t="s">
        <v>68</v>
      </c>
      <c r="O228" s="16" t="s">
        <v>69</v>
      </c>
      <c r="P228" s="16" t="s">
        <v>70</v>
      </c>
      <c r="Q228" s="16" t="s">
        <v>71</v>
      </c>
      <c r="R228" s="17" t="s">
        <v>2870</v>
      </c>
      <c r="S228" s="16" t="s">
        <v>222</v>
      </c>
      <c r="T228" s="16" t="s">
        <v>74</v>
      </c>
      <c r="U228" s="16" t="s">
        <v>75</v>
      </c>
      <c r="V228" s="16" t="s">
        <v>2871</v>
      </c>
      <c r="W228" s="16"/>
      <c r="X228" s="16" t="s">
        <v>2872</v>
      </c>
      <c r="Y228" s="16" t="s">
        <v>78</v>
      </c>
      <c r="Z228" s="16" t="s">
        <v>189</v>
      </c>
      <c r="AA228" s="16" t="s">
        <v>190</v>
      </c>
      <c r="AB228" s="17" t="s">
        <v>2873</v>
      </c>
      <c r="AC228" s="16" t="s">
        <v>71</v>
      </c>
      <c r="AD228" s="17" t="s">
        <v>2873</v>
      </c>
      <c r="AE228" s="17" t="s">
        <v>2874</v>
      </c>
      <c r="AG228" s="16" t="s">
        <v>1076</v>
      </c>
      <c r="AH228" s="16" t="s">
        <v>2034</v>
      </c>
      <c r="AI228" s="16"/>
      <c r="AJ228" s="16"/>
      <c r="AK228" s="16"/>
      <c r="AL228" s="16" t="s">
        <v>2875</v>
      </c>
    </row>
    <row r="229" spans="1:38" x14ac:dyDescent="0.5">
      <c r="A229">
        <v>17641</v>
      </c>
      <c r="B229" s="16" t="s">
        <v>382</v>
      </c>
      <c r="C229" s="16" t="s">
        <v>382</v>
      </c>
      <c r="D229" s="16" t="s">
        <v>383</v>
      </c>
      <c r="E229" s="16" t="s">
        <v>2876</v>
      </c>
      <c r="F229" s="17" t="s">
        <v>2877</v>
      </c>
      <c r="H229" s="16" t="s">
        <v>2878</v>
      </c>
      <c r="I229" s="16" t="s">
        <v>2879</v>
      </c>
      <c r="J229" s="33">
        <v>40233</v>
      </c>
      <c r="K229" s="33">
        <v>43465</v>
      </c>
      <c r="L229" s="16" t="s">
        <v>66</v>
      </c>
      <c r="M229" s="16" t="s">
        <v>67</v>
      </c>
      <c r="N229" s="16" t="s">
        <v>68</v>
      </c>
      <c r="O229" s="16" t="s">
        <v>436</v>
      </c>
      <c r="P229" s="16" t="s">
        <v>70</v>
      </c>
      <c r="Q229" s="16" t="s">
        <v>71</v>
      </c>
      <c r="R229" s="17" t="s">
        <v>2880</v>
      </c>
      <c r="S229" s="16" t="s">
        <v>604</v>
      </c>
      <c r="T229" s="16" t="s">
        <v>74</v>
      </c>
      <c r="U229" s="16" t="s">
        <v>75</v>
      </c>
      <c r="V229" s="16" t="s">
        <v>2881</v>
      </c>
      <c r="W229" s="16"/>
      <c r="X229" s="16" t="s">
        <v>2882</v>
      </c>
      <c r="Y229" s="16" t="s">
        <v>78</v>
      </c>
      <c r="Z229" s="16" t="s">
        <v>635</v>
      </c>
      <c r="AA229" s="16" t="s">
        <v>636</v>
      </c>
      <c r="AB229" s="17" t="s">
        <v>2883</v>
      </c>
      <c r="AC229" s="16" t="s">
        <v>71</v>
      </c>
      <c r="AD229" s="17" t="s">
        <v>2883</v>
      </c>
      <c r="AF229" s="17" t="s">
        <v>2884</v>
      </c>
      <c r="AG229" s="16" t="s">
        <v>1693</v>
      </c>
      <c r="AH229" s="16" t="s">
        <v>1913</v>
      </c>
      <c r="AI229" s="16"/>
      <c r="AJ229" s="16"/>
      <c r="AK229" s="16"/>
      <c r="AL229" s="16" t="s">
        <v>2885</v>
      </c>
    </row>
    <row r="230" spans="1:38" x14ac:dyDescent="0.5">
      <c r="A230">
        <v>17651</v>
      </c>
      <c r="B230" s="16" t="s">
        <v>2886</v>
      </c>
      <c r="C230" s="16" t="s">
        <v>2886</v>
      </c>
      <c r="D230" s="16"/>
      <c r="E230" s="16" t="s">
        <v>2887</v>
      </c>
      <c r="F230" s="17" t="s">
        <v>2888</v>
      </c>
      <c r="H230" s="16" t="s">
        <v>2889</v>
      </c>
      <c r="I230" s="16" t="s">
        <v>2890</v>
      </c>
      <c r="J230" s="33">
        <v>40233</v>
      </c>
      <c r="K230" s="33">
        <v>43465</v>
      </c>
      <c r="L230" s="16" t="s">
        <v>66</v>
      </c>
      <c r="M230" s="16" t="s">
        <v>67</v>
      </c>
      <c r="N230" s="16" t="s">
        <v>68</v>
      </c>
      <c r="O230" s="16" t="s">
        <v>436</v>
      </c>
      <c r="P230" s="16" t="s">
        <v>70</v>
      </c>
      <c r="Q230" s="16" t="s">
        <v>71</v>
      </c>
      <c r="R230" s="17" t="s">
        <v>2891</v>
      </c>
      <c r="S230" s="16" t="s">
        <v>2892</v>
      </c>
      <c r="T230" s="16" t="s">
        <v>74</v>
      </c>
      <c r="U230" s="16" t="s">
        <v>75</v>
      </c>
      <c r="V230" s="16" t="s">
        <v>2893</v>
      </c>
      <c r="W230" s="16"/>
      <c r="X230" s="16" t="s">
        <v>2894</v>
      </c>
      <c r="Y230" s="16" t="s">
        <v>78</v>
      </c>
      <c r="Z230" s="16" t="s">
        <v>376</v>
      </c>
      <c r="AA230" s="16" t="s">
        <v>377</v>
      </c>
      <c r="AB230" s="17" t="s">
        <v>2895</v>
      </c>
      <c r="AC230" s="16" t="s">
        <v>71</v>
      </c>
      <c r="AD230" s="17" t="s">
        <v>2895</v>
      </c>
      <c r="AE230" s="17" t="s">
        <v>2896</v>
      </c>
      <c r="AG230" s="16" t="s">
        <v>2083</v>
      </c>
      <c r="AH230" s="16" t="s">
        <v>2297</v>
      </c>
      <c r="AI230" s="16"/>
      <c r="AJ230" s="16"/>
      <c r="AK230" s="16"/>
      <c r="AL230" s="16" t="s">
        <v>2897</v>
      </c>
    </row>
    <row r="231" spans="1:38" x14ac:dyDescent="0.5">
      <c r="A231">
        <v>17681</v>
      </c>
      <c r="B231" s="16" t="s">
        <v>2898</v>
      </c>
      <c r="C231" s="16" t="s">
        <v>2898</v>
      </c>
      <c r="D231" s="16" t="s">
        <v>288</v>
      </c>
      <c r="E231" s="16" t="s">
        <v>2899</v>
      </c>
      <c r="F231" s="17" t="s">
        <v>2900</v>
      </c>
      <c r="G231" s="17" t="s">
        <v>2901</v>
      </c>
      <c r="H231" s="16" t="s">
        <v>2902</v>
      </c>
      <c r="I231" s="16" t="s">
        <v>2903</v>
      </c>
      <c r="J231" s="33">
        <v>42052</v>
      </c>
      <c r="K231" s="33">
        <v>43465</v>
      </c>
      <c r="L231" s="16" t="s">
        <v>66</v>
      </c>
      <c r="M231" s="16" t="s">
        <v>67</v>
      </c>
      <c r="N231" s="16" t="s">
        <v>68</v>
      </c>
      <c r="O231" s="16" t="s">
        <v>436</v>
      </c>
      <c r="P231" s="16" t="s">
        <v>572</v>
      </c>
      <c r="Q231" s="16" t="s">
        <v>71</v>
      </c>
      <c r="R231" s="17" t="s">
        <v>2904</v>
      </c>
      <c r="S231" s="16" t="s">
        <v>727</v>
      </c>
      <c r="T231" s="16" t="s">
        <v>74</v>
      </c>
      <c r="U231" s="16" t="s">
        <v>75</v>
      </c>
      <c r="V231" s="16" t="s">
        <v>2905</v>
      </c>
      <c r="W231" s="16" t="s">
        <v>2906</v>
      </c>
      <c r="X231" s="16" t="s">
        <v>2907</v>
      </c>
      <c r="Y231" s="16" t="s">
        <v>78</v>
      </c>
      <c r="Z231" s="16" t="s">
        <v>189</v>
      </c>
      <c r="AA231" s="16" t="s">
        <v>190</v>
      </c>
      <c r="AB231" s="17" t="s">
        <v>2908</v>
      </c>
      <c r="AC231" s="16" t="s">
        <v>71</v>
      </c>
      <c r="AD231" s="17" t="s">
        <v>2908</v>
      </c>
      <c r="AF231" s="17" t="s">
        <v>2909</v>
      </c>
      <c r="AG231" s="16" t="s">
        <v>2910</v>
      </c>
      <c r="AH231" s="16" t="s">
        <v>2156</v>
      </c>
      <c r="AI231" s="16"/>
      <c r="AJ231" s="16"/>
      <c r="AK231" s="16"/>
      <c r="AL231" s="16" t="s">
        <v>2911</v>
      </c>
    </row>
    <row r="232" spans="1:38" x14ac:dyDescent="0.5">
      <c r="A232">
        <v>18391</v>
      </c>
      <c r="B232" s="16" t="s">
        <v>286</v>
      </c>
      <c r="C232" s="16" t="s">
        <v>286</v>
      </c>
      <c r="D232" s="16" t="s">
        <v>123</v>
      </c>
      <c r="E232" s="16" t="s">
        <v>2912</v>
      </c>
      <c r="F232" s="17" t="s">
        <v>2913</v>
      </c>
      <c r="G232" s="17" t="s">
        <v>2914</v>
      </c>
      <c r="H232" s="16" t="s">
        <v>2915</v>
      </c>
      <c r="I232" s="16" t="s">
        <v>2916</v>
      </c>
      <c r="J232" s="33">
        <v>40353</v>
      </c>
      <c r="K232" s="33">
        <v>43465</v>
      </c>
      <c r="L232" s="16" t="s">
        <v>66</v>
      </c>
      <c r="M232" s="16" t="s">
        <v>167</v>
      </c>
      <c r="N232" s="16" t="s">
        <v>110</v>
      </c>
      <c r="O232" s="16" t="s">
        <v>436</v>
      </c>
      <c r="P232" s="16" t="s">
        <v>70</v>
      </c>
      <c r="Q232" s="16" t="s">
        <v>71</v>
      </c>
      <c r="R232" s="17" t="s">
        <v>2917</v>
      </c>
      <c r="S232" s="16" t="s">
        <v>2918</v>
      </c>
      <c r="T232" s="16" t="s">
        <v>74</v>
      </c>
      <c r="U232" s="16" t="s">
        <v>75</v>
      </c>
      <c r="V232" s="16" t="s">
        <v>2919</v>
      </c>
      <c r="W232" s="16"/>
      <c r="X232" s="16" t="s">
        <v>2920</v>
      </c>
      <c r="Y232" s="16" t="s">
        <v>78</v>
      </c>
      <c r="Z232" s="16" t="s">
        <v>242</v>
      </c>
      <c r="AA232" s="16" t="s">
        <v>243</v>
      </c>
      <c r="AB232" s="17" t="s">
        <v>2921</v>
      </c>
      <c r="AC232" s="16" t="s">
        <v>71</v>
      </c>
      <c r="AD232" s="17" t="s">
        <v>2921</v>
      </c>
      <c r="AE232" s="17" t="s">
        <v>2922</v>
      </c>
      <c r="AF232" s="17" t="s">
        <v>2921</v>
      </c>
      <c r="AG232" s="16" t="s">
        <v>2923</v>
      </c>
      <c r="AH232" s="16" t="s">
        <v>1572</v>
      </c>
      <c r="AI232" s="16"/>
      <c r="AJ232" s="16"/>
      <c r="AK232" s="16"/>
      <c r="AL232" s="16" t="s">
        <v>2924</v>
      </c>
    </row>
    <row r="233" spans="1:38" x14ac:dyDescent="0.5">
      <c r="A233">
        <v>18401</v>
      </c>
      <c r="B233" s="16" t="s">
        <v>640</v>
      </c>
      <c r="C233" s="16" t="s">
        <v>640</v>
      </c>
      <c r="D233" s="16"/>
      <c r="E233" s="16" t="s">
        <v>2925</v>
      </c>
      <c r="F233" s="17" t="s">
        <v>2926</v>
      </c>
      <c r="H233" s="16" t="s">
        <v>127</v>
      </c>
      <c r="I233" s="16" t="s">
        <v>2927</v>
      </c>
      <c r="J233" s="33">
        <v>40353</v>
      </c>
      <c r="K233" s="33">
        <v>43465</v>
      </c>
      <c r="L233" s="16" t="s">
        <v>66</v>
      </c>
      <c r="M233" s="16" t="s">
        <v>291</v>
      </c>
      <c r="N233" s="16" t="s">
        <v>127</v>
      </c>
      <c r="O233" s="16" t="s">
        <v>127</v>
      </c>
      <c r="P233" s="16" t="s">
        <v>70</v>
      </c>
      <c r="Q233" s="16" t="s">
        <v>71</v>
      </c>
      <c r="R233" s="17" t="s">
        <v>2928</v>
      </c>
      <c r="S233" s="16" t="s">
        <v>2929</v>
      </c>
      <c r="T233" s="16" t="s">
        <v>74</v>
      </c>
      <c r="U233" s="16" t="s">
        <v>75</v>
      </c>
      <c r="V233" s="16" t="s">
        <v>2930</v>
      </c>
      <c r="W233" s="16"/>
      <c r="X233" s="16" t="s">
        <v>2931</v>
      </c>
      <c r="Y233" s="16" t="s">
        <v>78</v>
      </c>
      <c r="Z233" s="16" t="s">
        <v>2165</v>
      </c>
      <c r="AA233" s="16" t="s">
        <v>2166</v>
      </c>
      <c r="AB233" s="17" t="s">
        <v>2932</v>
      </c>
      <c r="AC233" s="16" t="s">
        <v>71</v>
      </c>
      <c r="AD233" s="17" t="s">
        <v>2932</v>
      </c>
      <c r="AF233" s="17" t="s">
        <v>2932</v>
      </c>
      <c r="AG233" s="16" t="s">
        <v>1572</v>
      </c>
      <c r="AH233" s="16" t="s">
        <v>2716</v>
      </c>
      <c r="AI233" s="16"/>
      <c r="AJ233" s="16"/>
      <c r="AK233" s="16"/>
      <c r="AL233" s="16" t="s">
        <v>2933</v>
      </c>
    </row>
    <row r="234" spans="1:38" x14ac:dyDescent="0.5">
      <c r="A234">
        <v>18411</v>
      </c>
      <c r="B234" s="16" t="s">
        <v>2934</v>
      </c>
      <c r="C234" s="16" t="s">
        <v>2934</v>
      </c>
      <c r="D234" s="16"/>
      <c r="E234" s="16" t="s">
        <v>2935</v>
      </c>
      <c r="F234" s="17" t="s">
        <v>2936</v>
      </c>
      <c r="H234" s="16" t="s">
        <v>142</v>
      </c>
      <c r="I234" s="16" t="s">
        <v>2937</v>
      </c>
      <c r="J234" s="33">
        <v>40353</v>
      </c>
      <c r="K234" s="33">
        <v>43465</v>
      </c>
      <c r="L234" s="16" t="s">
        <v>66</v>
      </c>
      <c r="M234" s="16" t="s">
        <v>167</v>
      </c>
      <c r="N234" s="16" t="s">
        <v>110</v>
      </c>
      <c r="O234" s="16" t="s">
        <v>253</v>
      </c>
      <c r="P234" s="16" t="s">
        <v>70</v>
      </c>
      <c r="Q234" s="16" t="s">
        <v>71</v>
      </c>
      <c r="R234" s="17" t="s">
        <v>2938</v>
      </c>
      <c r="S234" s="16" t="s">
        <v>2939</v>
      </c>
      <c r="T234" s="16" t="s">
        <v>74</v>
      </c>
      <c r="U234" s="16" t="s">
        <v>75</v>
      </c>
      <c r="V234" s="16" t="s">
        <v>2940</v>
      </c>
      <c r="W234" s="16"/>
      <c r="X234" s="16" t="s">
        <v>2941</v>
      </c>
      <c r="Y234" s="16" t="s">
        <v>78</v>
      </c>
      <c r="Z234" s="16" t="s">
        <v>1999</v>
      </c>
      <c r="AA234" s="16" t="s">
        <v>2000</v>
      </c>
      <c r="AB234" s="17" t="s">
        <v>2942</v>
      </c>
      <c r="AC234" s="16" t="s">
        <v>71</v>
      </c>
      <c r="AD234" s="17" t="s">
        <v>2942</v>
      </c>
      <c r="AE234" s="17" t="s">
        <v>2943</v>
      </c>
      <c r="AF234" s="17" t="s">
        <v>2942</v>
      </c>
      <c r="AG234" s="16" t="s">
        <v>1572</v>
      </c>
      <c r="AH234" s="16" t="s">
        <v>871</v>
      </c>
      <c r="AI234" s="16"/>
      <c r="AJ234" s="16"/>
      <c r="AK234" s="16"/>
      <c r="AL234" s="16" t="s">
        <v>1755</v>
      </c>
    </row>
    <row r="235" spans="1:38" x14ac:dyDescent="0.5">
      <c r="A235">
        <v>18491</v>
      </c>
      <c r="B235" s="16" t="s">
        <v>213</v>
      </c>
      <c r="C235" s="16" t="s">
        <v>213</v>
      </c>
      <c r="D235" s="16"/>
      <c r="E235" s="16" t="s">
        <v>2944</v>
      </c>
      <c r="F235" s="17" t="s">
        <v>2945</v>
      </c>
      <c r="G235" s="17" t="s">
        <v>2946</v>
      </c>
      <c r="H235" s="16" t="s">
        <v>1759</v>
      </c>
      <c r="I235" s="16" t="s">
        <v>8589</v>
      </c>
      <c r="J235" s="33">
        <v>42125</v>
      </c>
      <c r="K235" s="33">
        <v>43465</v>
      </c>
      <c r="L235" s="16" t="s">
        <v>66</v>
      </c>
      <c r="M235" s="16" t="s">
        <v>67</v>
      </c>
      <c r="N235" s="16" t="s">
        <v>68</v>
      </c>
      <c r="O235" s="16" t="s">
        <v>202</v>
      </c>
      <c r="P235" s="16" t="s">
        <v>2947</v>
      </c>
      <c r="Q235" s="16" t="s">
        <v>71</v>
      </c>
      <c r="R235" s="17" t="s">
        <v>2948</v>
      </c>
      <c r="S235" s="16" t="s">
        <v>1771</v>
      </c>
      <c r="T235" s="16" t="s">
        <v>74</v>
      </c>
      <c r="U235" s="16" t="s">
        <v>75</v>
      </c>
      <c r="V235" s="16" t="s">
        <v>2949</v>
      </c>
      <c r="W235" s="16"/>
      <c r="X235" s="16" t="s">
        <v>1773</v>
      </c>
      <c r="Y235" s="16" t="s">
        <v>78</v>
      </c>
      <c r="Z235" s="16" t="s">
        <v>1025</v>
      </c>
      <c r="AA235" s="16" t="s">
        <v>1026</v>
      </c>
      <c r="AB235" s="17" t="s">
        <v>2950</v>
      </c>
      <c r="AC235" s="16" t="s">
        <v>71</v>
      </c>
      <c r="AD235" s="17" t="s">
        <v>2950</v>
      </c>
      <c r="AF235" s="17" t="s">
        <v>2951</v>
      </c>
      <c r="AG235" s="16" t="s">
        <v>1285</v>
      </c>
      <c r="AH235" s="16" t="s">
        <v>1030</v>
      </c>
      <c r="AI235" s="16"/>
      <c r="AJ235" s="16"/>
      <c r="AK235" s="16"/>
      <c r="AL235" s="16" t="s">
        <v>2952</v>
      </c>
    </row>
    <row r="236" spans="1:38" x14ac:dyDescent="0.5">
      <c r="A236">
        <v>18591</v>
      </c>
      <c r="B236" s="16" t="s">
        <v>2954</v>
      </c>
      <c r="C236" s="16" t="s">
        <v>2954</v>
      </c>
      <c r="D236" s="16"/>
      <c r="E236" s="16" t="s">
        <v>2955</v>
      </c>
      <c r="F236" s="17" t="s">
        <v>2956</v>
      </c>
      <c r="H236" s="16" t="s">
        <v>2957</v>
      </c>
      <c r="I236" s="16" t="s">
        <v>2958</v>
      </c>
      <c r="J236" s="33">
        <v>40414</v>
      </c>
      <c r="K236" s="33">
        <v>43465</v>
      </c>
      <c r="L236" s="16" t="s">
        <v>66</v>
      </c>
      <c r="M236" s="16" t="s">
        <v>67</v>
      </c>
      <c r="N236" s="16" t="s">
        <v>68</v>
      </c>
      <c r="O236" s="16" t="s">
        <v>436</v>
      </c>
      <c r="P236" s="16" t="s">
        <v>70</v>
      </c>
      <c r="Q236" s="16" t="s">
        <v>71</v>
      </c>
      <c r="R236" s="17" t="s">
        <v>2959</v>
      </c>
      <c r="S236" s="16" t="s">
        <v>2960</v>
      </c>
      <c r="T236" s="16" t="s">
        <v>74</v>
      </c>
      <c r="U236" s="16" t="s">
        <v>75</v>
      </c>
      <c r="V236" s="16" t="s">
        <v>2961</v>
      </c>
      <c r="W236" s="16"/>
      <c r="X236" s="16" t="s">
        <v>2962</v>
      </c>
      <c r="Y236" s="16" t="s">
        <v>78</v>
      </c>
      <c r="Z236" s="16" t="s">
        <v>242</v>
      </c>
      <c r="AA236" s="16" t="s">
        <v>243</v>
      </c>
      <c r="AB236" s="17" t="s">
        <v>2963</v>
      </c>
      <c r="AC236" s="16" t="s">
        <v>71</v>
      </c>
      <c r="AD236" s="17" t="s">
        <v>2963</v>
      </c>
      <c r="AE236" s="17" t="s">
        <v>2964</v>
      </c>
      <c r="AG236" s="16" t="s">
        <v>2457</v>
      </c>
      <c r="AH236" s="16" t="s">
        <v>1259</v>
      </c>
      <c r="AI236" s="16"/>
      <c r="AJ236" s="16"/>
      <c r="AK236" s="16"/>
      <c r="AL236" s="16" t="s">
        <v>2965</v>
      </c>
    </row>
    <row r="237" spans="1:38" x14ac:dyDescent="0.5">
      <c r="A237">
        <v>18601</v>
      </c>
      <c r="B237" s="16" t="s">
        <v>2966</v>
      </c>
      <c r="C237" s="16" t="s">
        <v>2966</v>
      </c>
      <c r="D237" s="16" t="s">
        <v>103</v>
      </c>
      <c r="E237" s="16" t="s">
        <v>2967</v>
      </c>
      <c r="F237" s="17" t="s">
        <v>2968</v>
      </c>
      <c r="G237" s="17" t="s">
        <v>2969</v>
      </c>
      <c r="H237" s="16" t="s">
        <v>332</v>
      </c>
      <c r="I237" s="16" t="s">
        <v>2970</v>
      </c>
      <c r="J237" s="33">
        <v>40442</v>
      </c>
      <c r="K237" s="33">
        <v>43465</v>
      </c>
      <c r="L237" s="16" t="s">
        <v>66</v>
      </c>
      <c r="M237" s="16" t="s">
        <v>67</v>
      </c>
      <c r="N237" s="16" t="s">
        <v>68</v>
      </c>
      <c r="O237" s="16" t="s">
        <v>69</v>
      </c>
      <c r="P237" s="16" t="s">
        <v>70</v>
      </c>
      <c r="Q237" s="16" t="s">
        <v>71</v>
      </c>
      <c r="R237" s="17" t="s">
        <v>2971</v>
      </c>
      <c r="S237" s="16" t="s">
        <v>2972</v>
      </c>
      <c r="T237" s="16" t="s">
        <v>74</v>
      </c>
      <c r="U237" s="16" t="s">
        <v>75</v>
      </c>
      <c r="V237" s="16" t="s">
        <v>2973</v>
      </c>
      <c r="W237" s="16"/>
      <c r="X237" s="16"/>
      <c r="Y237" s="16" t="s">
        <v>78</v>
      </c>
      <c r="Z237" s="16" t="s">
        <v>132</v>
      </c>
      <c r="AA237" s="16" t="s">
        <v>133</v>
      </c>
      <c r="AB237" s="17" t="s">
        <v>2974</v>
      </c>
      <c r="AC237" s="16" t="s">
        <v>71</v>
      </c>
      <c r="AD237" s="17" t="s">
        <v>2974</v>
      </c>
      <c r="AF237" s="17" t="s">
        <v>2975</v>
      </c>
      <c r="AG237" s="16" t="s">
        <v>1784</v>
      </c>
      <c r="AH237" s="16" t="s">
        <v>2655</v>
      </c>
      <c r="AI237" s="16"/>
      <c r="AJ237" s="16"/>
      <c r="AK237" s="16"/>
      <c r="AL237" s="16" t="s">
        <v>2976</v>
      </c>
    </row>
    <row r="238" spans="1:38" x14ac:dyDescent="0.5">
      <c r="A238">
        <v>18631</v>
      </c>
      <c r="B238" s="16" t="s">
        <v>286</v>
      </c>
      <c r="C238" s="16" t="s">
        <v>286</v>
      </c>
      <c r="D238" s="16"/>
      <c r="E238" s="16" t="s">
        <v>2977</v>
      </c>
      <c r="F238" s="17" t="s">
        <v>2978</v>
      </c>
      <c r="H238" s="16" t="s">
        <v>468</v>
      </c>
      <c r="I238" s="16" t="s">
        <v>2979</v>
      </c>
      <c r="J238" s="33">
        <v>40535</v>
      </c>
      <c r="K238" s="33">
        <v>43465</v>
      </c>
      <c r="L238" s="16" t="s">
        <v>66</v>
      </c>
      <c r="M238" s="16" t="s">
        <v>167</v>
      </c>
      <c r="N238" s="16" t="s">
        <v>110</v>
      </c>
      <c r="O238" s="16" t="s">
        <v>280</v>
      </c>
      <c r="P238" s="16" t="s">
        <v>70</v>
      </c>
      <c r="Q238" s="16" t="s">
        <v>71</v>
      </c>
      <c r="R238" s="17" t="s">
        <v>2980</v>
      </c>
      <c r="S238" s="16" t="s">
        <v>113</v>
      </c>
      <c r="T238" s="16" t="s">
        <v>74</v>
      </c>
      <c r="U238" s="16" t="s">
        <v>75</v>
      </c>
      <c r="V238" s="16" t="s">
        <v>2981</v>
      </c>
      <c r="W238" s="16"/>
      <c r="X238" s="16" t="s">
        <v>321</v>
      </c>
      <c r="Y238" s="16" t="s">
        <v>78</v>
      </c>
      <c r="Z238" s="16" t="s">
        <v>117</v>
      </c>
      <c r="AA238" s="16" t="s">
        <v>113</v>
      </c>
      <c r="AB238" s="17" t="s">
        <v>2982</v>
      </c>
      <c r="AC238" s="16" t="s">
        <v>71</v>
      </c>
      <c r="AD238" s="17" t="s">
        <v>2982</v>
      </c>
      <c r="AG238" s="16" t="s">
        <v>1693</v>
      </c>
      <c r="AH238" s="16" t="s">
        <v>1913</v>
      </c>
      <c r="AI238" s="16"/>
      <c r="AJ238" s="16"/>
      <c r="AK238" s="16"/>
      <c r="AL238" s="16" t="s">
        <v>2983</v>
      </c>
    </row>
    <row r="239" spans="1:38" x14ac:dyDescent="0.5">
      <c r="A239">
        <v>18651</v>
      </c>
      <c r="B239" s="16" t="s">
        <v>381</v>
      </c>
      <c r="C239" s="16" t="s">
        <v>382</v>
      </c>
      <c r="D239" s="16"/>
      <c r="E239" s="16" t="s">
        <v>2984</v>
      </c>
      <c r="F239" s="17" t="s">
        <v>2985</v>
      </c>
      <c r="G239" s="17" t="s">
        <v>2986</v>
      </c>
      <c r="H239" s="16" t="s">
        <v>2987</v>
      </c>
      <c r="I239" s="16" t="s">
        <v>357</v>
      </c>
      <c r="J239" s="33">
        <v>40414</v>
      </c>
      <c r="K239" s="33">
        <v>43465</v>
      </c>
      <c r="L239" s="16" t="s">
        <v>66</v>
      </c>
      <c r="M239" s="16" t="s">
        <v>167</v>
      </c>
      <c r="N239" s="16" t="s">
        <v>110</v>
      </c>
      <c r="O239" s="16" t="s">
        <v>280</v>
      </c>
      <c r="P239" s="16" t="s">
        <v>70</v>
      </c>
      <c r="Q239" s="16" t="s">
        <v>71</v>
      </c>
      <c r="R239" s="17" t="s">
        <v>2988</v>
      </c>
      <c r="S239" s="16" t="s">
        <v>359</v>
      </c>
      <c r="T239" s="16" t="s">
        <v>74</v>
      </c>
      <c r="U239" s="16" t="s">
        <v>75</v>
      </c>
      <c r="V239" s="16" t="s">
        <v>2989</v>
      </c>
      <c r="W239" s="16" t="s">
        <v>2029</v>
      </c>
      <c r="X239" s="16" t="s">
        <v>362</v>
      </c>
      <c r="Y239" s="16" t="s">
        <v>78</v>
      </c>
      <c r="Z239" s="16" t="s">
        <v>242</v>
      </c>
      <c r="AA239" s="16" t="s">
        <v>243</v>
      </c>
      <c r="AB239" s="17" t="s">
        <v>2990</v>
      </c>
      <c r="AC239" s="16" t="s">
        <v>71</v>
      </c>
      <c r="AD239" s="17" t="s">
        <v>2990</v>
      </c>
      <c r="AE239" s="17" t="s">
        <v>363</v>
      </c>
      <c r="AG239" s="16" t="s">
        <v>2923</v>
      </c>
      <c r="AH239" s="16" t="s">
        <v>2991</v>
      </c>
      <c r="AI239" s="16"/>
      <c r="AJ239" s="16"/>
      <c r="AK239" s="16"/>
      <c r="AL239" s="16" t="s">
        <v>2992</v>
      </c>
    </row>
    <row r="240" spans="1:38" x14ac:dyDescent="0.5">
      <c r="A240">
        <v>18661</v>
      </c>
      <c r="B240" s="16" t="s">
        <v>2993</v>
      </c>
      <c r="C240" s="16" t="s">
        <v>2993</v>
      </c>
      <c r="D240" s="16"/>
      <c r="E240" s="16" t="s">
        <v>2994</v>
      </c>
      <c r="F240" s="17" t="s">
        <v>2995</v>
      </c>
      <c r="H240" s="16" t="s">
        <v>2622</v>
      </c>
      <c r="I240" s="16"/>
      <c r="J240" s="33">
        <v>40414</v>
      </c>
      <c r="K240" s="33">
        <v>43465</v>
      </c>
      <c r="L240" s="16" t="s">
        <v>66</v>
      </c>
      <c r="M240" s="16" t="s">
        <v>67</v>
      </c>
      <c r="N240" s="16" t="s">
        <v>68</v>
      </c>
      <c r="O240" s="16" t="s">
        <v>1082</v>
      </c>
      <c r="P240" s="16" t="s">
        <v>70</v>
      </c>
      <c r="Q240" s="16" t="s">
        <v>71</v>
      </c>
      <c r="R240" s="17" t="s">
        <v>2996</v>
      </c>
      <c r="S240" s="16" t="s">
        <v>604</v>
      </c>
      <c r="T240" s="16" t="s">
        <v>74</v>
      </c>
      <c r="U240" s="16" t="s">
        <v>75</v>
      </c>
      <c r="V240" s="16" t="s">
        <v>2997</v>
      </c>
      <c r="W240" s="16" t="s">
        <v>2998</v>
      </c>
      <c r="X240" s="16" t="s">
        <v>2999</v>
      </c>
      <c r="Y240" s="16" t="s">
        <v>78</v>
      </c>
      <c r="Z240" s="16" t="s">
        <v>635</v>
      </c>
      <c r="AA240" s="16" t="s">
        <v>636</v>
      </c>
      <c r="AB240" s="17" t="s">
        <v>3000</v>
      </c>
      <c r="AC240" s="16" t="s">
        <v>966</v>
      </c>
      <c r="AD240" s="17" t="s">
        <v>3001</v>
      </c>
      <c r="AE240" s="17" t="s">
        <v>3002</v>
      </c>
      <c r="AF240" s="17" t="s">
        <v>3000</v>
      </c>
      <c r="AG240" s="16" t="s">
        <v>1693</v>
      </c>
      <c r="AH240" s="16" t="s">
        <v>1285</v>
      </c>
      <c r="AI240" s="16"/>
      <c r="AJ240" s="16"/>
      <c r="AK240" s="16"/>
      <c r="AL240" s="16" t="s">
        <v>3003</v>
      </c>
    </row>
    <row r="241" spans="1:38" x14ac:dyDescent="0.5">
      <c r="A241">
        <v>18691</v>
      </c>
      <c r="B241" s="16" t="s">
        <v>3004</v>
      </c>
      <c r="C241" s="16" t="s">
        <v>3004</v>
      </c>
      <c r="D241" s="16"/>
      <c r="E241" s="16" t="s">
        <v>3005</v>
      </c>
      <c r="F241" s="17" t="s">
        <v>3006</v>
      </c>
      <c r="H241" s="16" t="s">
        <v>3007</v>
      </c>
      <c r="I241" s="16" t="s">
        <v>1712</v>
      </c>
      <c r="J241" s="33">
        <v>43216</v>
      </c>
      <c r="K241" s="33">
        <v>43581</v>
      </c>
      <c r="L241" s="16" t="s">
        <v>66</v>
      </c>
      <c r="M241" s="16" t="s">
        <v>90</v>
      </c>
      <c r="N241" s="16" t="s">
        <v>91</v>
      </c>
      <c r="O241" s="16" t="s">
        <v>91</v>
      </c>
      <c r="P241" s="16"/>
      <c r="Q241" s="16" t="s">
        <v>71</v>
      </c>
      <c r="R241" s="17" t="s">
        <v>3008</v>
      </c>
      <c r="S241" s="16" t="s">
        <v>1714</v>
      </c>
      <c r="T241" s="16" t="s">
        <v>74</v>
      </c>
      <c r="U241" s="16" t="s">
        <v>75</v>
      </c>
      <c r="V241" s="16" t="s">
        <v>3009</v>
      </c>
      <c r="W241" s="16"/>
      <c r="X241" s="16" t="s">
        <v>1717</v>
      </c>
      <c r="Y241" s="16" t="s">
        <v>78</v>
      </c>
      <c r="Z241" s="16" t="s">
        <v>635</v>
      </c>
      <c r="AA241" s="16" t="s">
        <v>636</v>
      </c>
      <c r="AB241" s="17" t="s">
        <v>3010</v>
      </c>
      <c r="AC241" s="16" t="s">
        <v>71</v>
      </c>
      <c r="AD241" s="17" t="s">
        <v>3010</v>
      </c>
      <c r="AF241" s="17" t="s">
        <v>3011</v>
      </c>
      <c r="AG241" s="16" t="s">
        <v>579</v>
      </c>
      <c r="AH241" s="16" t="s">
        <v>2094</v>
      </c>
      <c r="AI241" s="16"/>
      <c r="AJ241" s="16"/>
      <c r="AK241" s="16"/>
      <c r="AL241" s="16" t="s">
        <v>3012</v>
      </c>
    </row>
    <row r="242" spans="1:38" x14ac:dyDescent="0.5">
      <c r="A242">
        <v>18741</v>
      </c>
      <c r="B242" s="16" t="s">
        <v>3013</v>
      </c>
      <c r="C242" s="16" t="s">
        <v>3013</v>
      </c>
      <c r="D242" s="16"/>
      <c r="E242" s="16" t="s">
        <v>3014</v>
      </c>
      <c r="F242" s="17" t="s">
        <v>3015</v>
      </c>
      <c r="G242" s="17" t="s">
        <v>3016</v>
      </c>
      <c r="H242" s="16" t="s">
        <v>456</v>
      </c>
      <c r="I242" s="16" t="s">
        <v>3017</v>
      </c>
      <c r="J242" s="33">
        <v>42037</v>
      </c>
      <c r="K242" s="33">
        <v>43465</v>
      </c>
      <c r="L242" s="16" t="s">
        <v>66</v>
      </c>
      <c r="M242" s="16" t="s">
        <v>235</v>
      </c>
      <c r="N242" s="16" t="s">
        <v>236</v>
      </c>
      <c r="O242" s="16" t="s">
        <v>237</v>
      </c>
      <c r="P242" s="16" t="s">
        <v>572</v>
      </c>
      <c r="Q242" s="16" t="s">
        <v>71</v>
      </c>
      <c r="R242" s="17" t="s">
        <v>3018</v>
      </c>
      <c r="S242" s="16" t="s">
        <v>1460</v>
      </c>
      <c r="T242" s="16" t="s">
        <v>74</v>
      </c>
      <c r="U242" s="16" t="s">
        <v>75</v>
      </c>
      <c r="V242" s="16" t="s">
        <v>3019</v>
      </c>
      <c r="W242" s="16"/>
      <c r="X242" s="16" t="s">
        <v>1462</v>
      </c>
      <c r="Y242" s="16" t="s">
        <v>78</v>
      </c>
      <c r="Z242" s="16" t="s">
        <v>242</v>
      </c>
      <c r="AA242" s="16" t="s">
        <v>243</v>
      </c>
      <c r="AB242" s="17" t="s">
        <v>3020</v>
      </c>
      <c r="AC242" s="16" t="s">
        <v>71</v>
      </c>
      <c r="AD242" s="17" t="s">
        <v>3020</v>
      </c>
      <c r="AF242" s="17" t="s">
        <v>3020</v>
      </c>
      <c r="AG242" s="16" t="s">
        <v>780</v>
      </c>
      <c r="AH242" s="16" t="s">
        <v>1003</v>
      </c>
      <c r="AI242" s="16"/>
      <c r="AJ242" s="16"/>
      <c r="AK242" s="16"/>
      <c r="AL242" s="16" t="s">
        <v>3021</v>
      </c>
    </row>
    <row r="243" spans="1:38" x14ac:dyDescent="0.5">
      <c r="A243">
        <v>18864</v>
      </c>
      <c r="B243" s="16" t="s">
        <v>381</v>
      </c>
      <c r="C243" s="16" t="s">
        <v>382</v>
      </c>
      <c r="D243" s="16" t="s">
        <v>302</v>
      </c>
      <c r="E243" s="16" t="s">
        <v>3022</v>
      </c>
      <c r="F243" s="17" t="s">
        <v>3023</v>
      </c>
      <c r="G243" s="17" t="s">
        <v>3024</v>
      </c>
      <c r="H243" s="16" t="s">
        <v>3025</v>
      </c>
      <c r="I243" s="16" t="s">
        <v>3026</v>
      </c>
      <c r="J243" s="33">
        <v>40471</v>
      </c>
      <c r="K243" s="33">
        <v>43465</v>
      </c>
      <c r="L243" s="16" t="s">
        <v>66</v>
      </c>
      <c r="M243" s="16" t="s">
        <v>67</v>
      </c>
      <c r="N243" s="16" t="s">
        <v>68</v>
      </c>
      <c r="O243" s="16" t="s">
        <v>436</v>
      </c>
      <c r="P243" s="16" t="s">
        <v>70</v>
      </c>
      <c r="Q243" s="16" t="s">
        <v>71</v>
      </c>
      <c r="R243" s="17" t="s">
        <v>3027</v>
      </c>
      <c r="S243" s="16" t="s">
        <v>1329</v>
      </c>
      <c r="T243" s="16" t="s">
        <v>74</v>
      </c>
      <c r="U243" s="16" t="s">
        <v>75</v>
      </c>
      <c r="V243" s="16" t="s">
        <v>3028</v>
      </c>
      <c r="W243" s="16"/>
      <c r="X243" s="16" t="s">
        <v>3029</v>
      </c>
      <c r="Y243" s="16" t="s">
        <v>78</v>
      </c>
      <c r="Z243" s="16" t="s">
        <v>79</v>
      </c>
      <c r="AA243" s="16" t="s">
        <v>80</v>
      </c>
      <c r="AB243" s="17" t="s">
        <v>3030</v>
      </c>
      <c r="AC243" s="16" t="s">
        <v>71</v>
      </c>
      <c r="AD243" s="17" t="s">
        <v>3030</v>
      </c>
      <c r="AE243" s="17" t="s">
        <v>3030</v>
      </c>
      <c r="AF243" s="17" t="s">
        <v>3031</v>
      </c>
      <c r="AG243" s="16" t="s">
        <v>1285</v>
      </c>
      <c r="AH243" s="16" t="s">
        <v>3032</v>
      </c>
      <c r="AI243" s="16"/>
      <c r="AJ243" s="16"/>
      <c r="AK243" s="16"/>
      <c r="AL243" s="16" t="s">
        <v>3033</v>
      </c>
    </row>
    <row r="244" spans="1:38" x14ac:dyDescent="0.5">
      <c r="A244">
        <v>18891</v>
      </c>
      <c r="B244" s="16" t="s">
        <v>3034</v>
      </c>
      <c r="C244" s="16" t="s">
        <v>3034</v>
      </c>
      <c r="D244" s="16"/>
      <c r="E244" s="16" t="s">
        <v>3035</v>
      </c>
      <c r="F244" s="17" t="s">
        <v>3036</v>
      </c>
      <c r="H244" s="16" t="s">
        <v>3037</v>
      </c>
      <c r="I244" s="16" t="s">
        <v>3038</v>
      </c>
      <c r="J244" s="33">
        <v>40532</v>
      </c>
      <c r="K244" s="33">
        <v>43465</v>
      </c>
      <c r="L244" s="16" t="s">
        <v>66</v>
      </c>
      <c r="M244" s="16" t="s">
        <v>67</v>
      </c>
      <c r="N244" s="16" t="s">
        <v>68</v>
      </c>
      <c r="O244" s="16" t="s">
        <v>436</v>
      </c>
      <c r="P244" s="16" t="s">
        <v>70</v>
      </c>
      <c r="Q244" s="16" t="s">
        <v>71</v>
      </c>
      <c r="R244" s="17" t="s">
        <v>3039</v>
      </c>
      <c r="S244" s="16" t="s">
        <v>3040</v>
      </c>
      <c r="T244" s="16" t="s">
        <v>74</v>
      </c>
      <c r="U244" s="16" t="s">
        <v>75</v>
      </c>
      <c r="V244" s="16" t="s">
        <v>3041</v>
      </c>
      <c r="W244" s="16"/>
      <c r="X244" s="16" t="s">
        <v>3042</v>
      </c>
      <c r="Y244" s="16" t="s">
        <v>78</v>
      </c>
      <c r="Z244" s="16" t="s">
        <v>349</v>
      </c>
      <c r="AA244" s="16" t="s">
        <v>350</v>
      </c>
      <c r="AB244" s="17" t="s">
        <v>3043</v>
      </c>
      <c r="AC244" s="16" t="s">
        <v>71</v>
      </c>
      <c r="AD244" s="17" t="s">
        <v>3043</v>
      </c>
      <c r="AG244" s="16" t="s">
        <v>1572</v>
      </c>
      <c r="AH244" s="16" t="s">
        <v>2434</v>
      </c>
      <c r="AI244" s="16"/>
      <c r="AJ244" s="16"/>
      <c r="AK244" s="16"/>
      <c r="AL244" s="16" t="s">
        <v>3044</v>
      </c>
    </row>
    <row r="245" spans="1:38" x14ac:dyDescent="0.5">
      <c r="A245">
        <v>18892</v>
      </c>
      <c r="B245" s="16" t="s">
        <v>3045</v>
      </c>
      <c r="C245" s="16" t="s">
        <v>3045</v>
      </c>
      <c r="D245" s="16" t="s">
        <v>3046</v>
      </c>
      <c r="E245" s="16" t="s">
        <v>3047</v>
      </c>
      <c r="F245" s="17" t="s">
        <v>3048</v>
      </c>
      <c r="H245" s="16" t="s">
        <v>3049</v>
      </c>
      <c r="I245" s="16" t="s">
        <v>3050</v>
      </c>
      <c r="J245" s="33">
        <v>40603</v>
      </c>
      <c r="K245" s="33">
        <v>43465</v>
      </c>
      <c r="L245" s="16" t="s">
        <v>66</v>
      </c>
      <c r="M245" s="16" t="s">
        <v>90</v>
      </c>
      <c r="N245" s="16" t="s">
        <v>91</v>
      </c>
      <c r="O245" s="16" t="s">
        <v>91</v>
      </c>
      <c r="P245" s="16" t="s">
        <v>70</v>
      </c>
      <c r="Q245" s="16" t="s">
        <v>71</v>
      </c>
      <c r="R245" s="17" t="s">
        <v>3051</v>
      </c>
      <c r="S245" s="16" t="s">
        <v>2595</v>
      </c>
      <c r="T245" s="16" t="s">
        <v>2596</v>
      </c>
      <c r="U245" s="16" t="s">
        <v>2597</v>
      </c>
      <c r="V245" s="16" t="s">
        <v>3052</v>
      </c>
      <c r="W245" s="16"/>
      <c r="X245" s="16" t="s">
        <v>3053</v>
      </c>
      <c r="Y245" s="16" t="s">
        <v>744</v>
      </c>
      <c r="Z245" s="16" t="s">
        <v>2702</v>
      </c>
      <c r="AA245" s="16" t="s">
        <v>2703</v>
      </c>
      <c r="AB245" s="17" t="s">
        <v>3054</v>
      </c>
      <c r="AC245" s="16" t="s">
        <v>71</v>
      </c>
      <c r="AD245" s="17" t="s">
        <v>3054</v>
      </c>
      <c r="AG245" s="16" t="s">
        <v>1938</v>
      </c>
      <c r="AH245" s="16" t="s">
        <v>1850</v>
      </c>
      <c r="AI245" s="16"/>
      <c r="AJ245" s="16"/>
      <c r="AK245" s="16"/>
      <c r="AL245" s="16" t="s">
        <v>3055</v>
      </c>
    </row>
    <row r="246" spans="1:38" x14ac:dyDescent="0.5">
      <c r="A246">
        <v>18895</v>
      </c>
      <c r="B246" s="16" t="s">
        <v>340</v>
      </c>
      <c r="C246" s="16" t="s">
        <v>340</v>
      </c>
      <c r="D246" s="16" t="s">
        <v>85</v>
      </c>
      <c r="E246" s="16" t="s">
        <v>3057</v>
      </c>
      <c r="F246" s="17" t="s">
        <v>3058</v>
      </c>
      <c r="G246" s="17" t="s">
        <v>3058</v>
      </c>
      <c r="H246" s="16" t="s">
        <v>127</v>
      </c>
      <c r="I246" s="16"/>
      <c r="J246" s="33">
        <v>40511</v>
      </c>
      <c r="K246" s="33">
        <v>43465</v>
      </c>
      <c r="L246" s="16" t="s">
        <v>66</v>
      </c>
      <c r="M246" s="16" t="s">
        <v>291</v>
      </c>
      <c r="N246" s="16" t="s">
        <v>127</v>
      </c>
      <c r="O246" s="16" t="s">
        <v>127</v>
      </c>
      <c r="P246" s="16" t="s">
        <v>70</v>
      </c>
      <c r="Q246" s="16" t="s">
        <v>71</v>
      </c>
      <c r="R246" s="17" t="s">
        <v>3059</v>
      </c>
      <c r="S246" s="16" t="s">
        <v>3060</v>
      </c>
      <c r="T246" s="16" t="s">
        <v>74</v>
      </c>
      <c r="U246" s="16" t="s">
        <v>75</v>
      </c>
      <c r="V246" s="16" t="s">
        <v>3061</v>
      </c>
      <c r="W246" s="16"/>
      <c r="X246" s="16" t="s">
        <v>3062</v>
      </c>
      <c r="Y246" s="16" t="s">
        <v>78</v>
      </c>
      <c r="Z246" s="16" t="s">
        <v>270</v>
      </c>
      <c r="AA246" s="16" t="s">
        <v>271</v>
      </c>
      <c r="AB246" s="17" t="s">
        <v>3063</v>
      </c>
      <c r="AC246" s="16" t="s">
        <v>71</v>
      </c>
      <c r="AD246" s="17" t="s">
        <v>3063</v>
      </c>
      <c r="AE246" s="17" t="s">
        <v>3064</v>
      </c>
      <c r="AF246" s="17" t="s">
        <v>3065</v>
      </c>
      <c r="AG246" s="16" t="s">
        <v>1017</v>
      </c>
      <c r="AH246" s="16" t="s">
        <v>2747</v>
      </c>
      <c r="AI246" s="16"/>
      <c r="AJ246" s="16"/>
      <c r="AK246" s="16"/>
      <c r="AL246" s="16" t="s">
        <v>3066</v>
      </c>
    </row>
    <row r="247" spans="1:38" x14ac:dyDescent="0.5">
      <c r="A247">
        <v>18900</v>
      </c>
      <c r="B247" s="16" t="s">
        <v>804</v>
      </c>
      <c r="C247" s="16" t="s">
        <v>804</v>
      </c>
      <c r="D247" s="16"/>
      <c r="E247" s="16" t="s">
        <v>3067</v>
      </c>
      <c r="F247" s="17" t="s">
        <v>3068</v>
      </c>
      <c r="G247" s="17" t="s">
        <v>3069</v>
      </c>
      <c r="H247" s="16" t="s">
        <v>3070</v>
      </c>
      <c r="I247" s="16" t="s">
        <v>3071</v>
      </c>
      <c r="J247" s="33">
        <v>40519</v>
      </c>
      <c r="K247" s="33">
        <v>43465</v>
      </c>
      <c r="L247" s="16" t="s">
        <v>66</v>
      </c>
      <c r="M247" s="16" t="s">
        <v>67</v>
      </c>
      <c r="N247" s="16" t="s">
        <v>68</v>
      </c>
      <c r="O247" s="16" t="s">
        <v>436</v>
      </c>
      <c r="P247" s="16" t="s">
        <v>70</v>
      </c>
      <c r="Q247" s="16" t="s">
        <v>71</v>
      </c>
      <c r="R247" s="17" t="s">
        <v>3072</v>
      </c>
      <c r="S247" s="16" t="s">
        <v>3073</v>
      </c>
      <c r="T247" s="16" t="s">
        <v>74</v>
      </c>
      <c r="U247" s="16" t="s">
        <v>75</v>
      </c>
      <c r="V247" s="16" t="s">
        <v>3074</v>
      </c>
      <c r="W247" s="16"/>
      <c r="X247" s="16" t="s">
        <v>3075</v>
      </c>
      <c r="Y247" s="16" t="s">
        <v>78</v>
      </c>
      <c r="Z247" s="16" t="s">
        <v>2165</v>
      </c>
      <c r="AA247" s="16" t="s">
        <v>2166</v>
      </c>
      <c r="AB247" s="17" t="s">
        <v>3076</v>
      </c>
      <c r="AC247" s="16" t="s">
        <v>71</v>
      </c>
      <c r="AD247" s="17" t="s">
        <v>3076</v>
      </c>
      <c r="AE247" s="17" t="s">
        <v>3077</v>
      </c>
      <c r="AG247" s="16" t="s">
        <v>3078</v>
      </c>
      <c r="AH247" s="16" t="s">
        <v>1572</v>
      </c>
      <c r="AI247" s="16"/>
      <c r="AJ247" s="16"/>
      <c r="AK247" s="16"/>
      <c r="AL247" s="16" t="s">
        <v>3079</v>
      </c>
    </row>
    <row r="248" spans="1:38" x14ac:dyDescent="0.5">
      <c r="A248">
        <v>18901</v>
      </c>
      <c r="B248" s="16" t="s">
        <v>567</v>
      </c>
      <c r="C248" s="16" t="s">
        <v>567</v>
      </c>
      <c r="D248" s="16"/>
      <c r="E248" s="16" t="s">
        <v>696</v>
      </c>
      <c r="F248" s="17" t="s">
        <v>3080</v>
      </c>
      <c r="G248" s="17" t="s">
        <v>3081</v>
      </c>
      <c r="H248" s="16" t="s">
        <v>3082</v>
      </c>
      <c r="I248" s="16" t="s">
        <v>278</v>
      </c>
      <c r="J248" s="33">
        <v>40535</v>
      </c>
      <c r="K248" s="33">
        <v>43465</v>
      </c>
      <c r="L248" s="16" t="s">
        <v>66</v>
      </c>
      <c r="M248" s="16" t="s">
        <v>167</v>
      </c>
      <c r="N248" s="16" t="s">
        <v>110</v>
      </c>
      <c r="O248" s="16" t="s">
        <v>111</v>
      </c>
      <c r="P248" s="16" t="s">
        <v>70</v>
      </c>
      <c r="Q248" s="16" t="s">
        <v>71</v>
      </c>
      <c r="R248" s="17" t="s">
        <v>3083</v>
      </c>
      <c r="S248" s="16" t="s">
        <v>1165</v>
      </c>
      <c r="T248" s="16" t="s">
        <v>740</v>
      </c>
      <c r="U248" s="16" t="s">
        <v>741</v>
      </c>
      <c r="V248" s="16" t="s">
        <v>3084</v>
      </c>
      <c r="W248" s="16" t="s">
        <v>3085</v>
      </c>
      <c r="X248" s="16" t="s">
        <v>3086</v>
      </c>
      <c r="Y248" s="16" t="s">
        <v>744</v>
      </c>
      <c r="Z248" s="16"/>
      <c r="AA248" s="16"/>
      <c r="AB248" s="17" t="s">
        <v>3087</v>
      </c>
      <c r="AC248" s="16" t="s">
        <v>71</v>
      </c>
      <c r="AD248" s="17" t="s">
        <v>3087</v>
      </c>
      <c r="AF248" s="17" t="s">
        <v>3088</v>
      </c>
      <c r="AG248" s="16" t="s">
        <v>2457</v>
      </c>
      <c r="AH248" s="16" t="s">
        <v>1345</v>
      </c>
      <c r="AI248" s="16"/>
      <c r="AJ248" s="16"/>
      <c r="AK248" s="16"/>
      <c r="AL248" s="16" t="s">
        <v>3089</v>
      </c>
    </row>
    <row r="249" spans="1:38" x14ac:dyDescent="0.5">
      <c r="A249">
        <v>18939</v>
      </c>
      <c r="B249" s="16" t="s">
        <v>3090</v>
      </c>
      <c r="C249" s="16" t="s">
        <v>3090</v>
      </c>
      <c r="D249" s="16"/>
      <c r="E249" s="16" t="s">
        <v>3091</v>
      </c>
      <c r="F249" s="17" t="s">
        <v>3092</v>
      </c>
      <c r="H249" s="16" t="s">
        <v>3093</v>
      </c>
      <c r="I249" s="16" t="s">
        <v>3094</v>
      </c>
      <c r="J249" s="33">
        <v>41450</v>
      </c>
      <c r="K249" s="33">
        <v>43465</v>
      </c>
      <c r="L249" s="16" t="s">
        <v>66</v>
      </c>
      <c r="M249" s="16" t="s">
        <v>67</v>
      </c>
      <c r="N249" s="16" t="s">
        <v>68</v>
      </c>
      <c r="O249" s="16" t="s">
        <v>436</v>
      </c>
      <c r="P249" s="16" t="s">
        <v>572</v>
      </c>
      <c r="Q249" s="16" t="s">
        <v>71</v>
      </c>
      <c r="R249" s="17" t="s">
        <v>3095</v>
      </c>
      <c r="S249" s="16" t="s">
        <v>1111</v>
      </c>
      <c r="T249" s="16" t="s">
        <v>74</v>
      </c>
      <c r="U249" s="16" t="s">
        <v>75</v>
      </c>
      <c r="V249" s="16" t="s">
        <v>3096</v>
      </c>
      <c r="W249" s="16"/>
      <c r="X249" s="16" t="s">
        <v>3097</v>
      </c>
      <c r="Y249" s="16" t="s">
        <v>78</v>
      </c>
      <c r="Z249" s="16" t="s">
        <v>207</v>
      </c>
      <c r="AA249" s="16" t="s">
        <v>208</v>
      </c>
      <c r="AB249" s="17" t="s">
        <v>3098</v>
      </c>
      <c r="AC249" s="16" t="s">
        <v>71</v>
      </c>
      <c r="AD249" s="17" t="s">
        <v>3098</v>
      </c>
      <c r="AG249" s="16" t="s">
        <v>3032</v>
      </c>
      <c r="AH249" s="16" t="s">
        <v>2083</v>
      </c>
      <c r="AI249" s="16"/>
      <c r="AJ249" s="16"/>
      <c r="AK249" s="16"/>
      <c r="AL249" s="16" t="s">
        <v>3099</v>
      </c>
    </row>
    <row r="250" spans="1:38" x14ac:dyDescent="0.5">
      <c r="A250">
        <v>18943</v>
      </c>
      <c r="B250" s="16" t="s">
        <v>246</v>
      </c>
      <c r="C250" s="16" t="s">
        <v>247</v>
      </c>
      <c r="D250" s="16"/>
      <c r="E250" s="16" t="s">
        <v>3100</v>
      </c>
      <c r="F250" s="17" t="s">
        <v>3101</v>
      </c>
      <c r="H250" s="16" t="s">
        <v>3102</v>
      </c>
      <c r="I250" s="16" t="s">
        <v>3103</v>
      </c>
      <c r="J250" s="33">
        <v>42184</v>
      </c>
      <c r="K250" s="33">
        <v>43465</v>
      </c>
      <c r="L250" s="16" t="s">
        <v>66</v>
      </c>
      <c r="M250" s="16" t="s">
        <v>67</v>
      </c>
      <c r="N250" s="16" t="s">
        <v>68</v>
      </c>
      <c r="O250" s="16" t="s">
        <v>436</v>
      </c>
      <c r="P250" s="16" t="s">
        <v>572</v>
      </c>
      <c r="Q250" s="16" t="s">
        <v>71</v>
      </c>
      <c r="R250" s="17" t="s">
        <v>3104</v>
      </c>
      <c r="S250" s="16" t="s">
        <v>3105</v>
      </c>
      <c r="T250" s="16" t="s">
        <v>74</v>
      </c>
      <c r="U250" s="16" t="s">
        <v>75</v>
      </c>
      <c r="V250" s="16" t="s">
        <v>3106</v>
      </c>
      <c r="W250" s="16"/>
      <c r="X250" s="16" t="s">
        <v>3107</v>
      </c>
      <c r="Y250" s="16" t="s">
        <v>78</v>
      </c>
      <c r="Z250" s="16" t="s">
        <v>296</v>
      </c>
      <c r="AA250" s="16" t="s">
        <v>297</v>
      </c>
      <c r="AB250" s="17" t="s">
        <v>3108</v>
      </c>
      <c r="AC250" s="16" t="s">
        <v>71</v>
      </c>
      <c r="AD250" s="17" t="s">
        <v>3108</v>
      </c>
      <c r="AE250" s="17" t="s">
        <v>3109</v>
      </c>
      <c r="AF250" s="17" t="s">
        <v>3110</v>
      </c>
      <c r="AG250" s="16" t="s">
        <v>3111</v>
      </c>
      <c r="AH250" s="16" t="s">
        <v>1785</v>
      </c>
      <c r="AI250" s="16" t="s">
        <v>579</v>
      </c>
      <c r="AJ250" s="16"/>
      <c r="AK250" s="16"/>
      <c r="AL250" s="16" t="s">
        <v>3112</v>
      </c>
    </row>
    <row r="251" spans="1:38" x14ac:dyDescent="0.5">
      <c r="A251">
        <v>18952</v>
      </c>
      <c r="B251" s="16" t="s">
        <v>2934</v>
      </c>
      <c r="C251" s="16" t="s">
        <v>1323</v>
      </c>
      <c r="D251" s="16"/>
      <c r="E251" s="16" t="s">
        <v>3113</v>
      </c>
      <c r="F251" s="17" t="s">
        <v>3114</v>
      </c>
      <c r="G251" s="17" t="s">
        <v>3114</v>
      </c>
      <c r="H251" s="16" t="s">
        <v>3115</v>
      </c>
      <c r="I251" s="16" t="s">
        <v>1699</v>
      </c>
      <c r="J251" s="33">
        <v>42257</v>
      </c>
      <c r="K251" s="33">
        <v>43465</v>
      </c>
      <c r="L251" s="16" t="s">
        <v>66</v>
      </c>
      <c r="M251" s="16" t="s">
        <v>67</v>
      </c>
      <c r="N251" s="16" t="s">
        <v>68</v>
      </c>
      <c r="O251" s="16" t="s">
        <v>202</v>
      </c>
      <c r="P251" s="16" t="s">
        <v>3116</v>
      </c>
      <c r="Q251" s="16" t="s">
        <v>71</v>
      </c>
      <c r="R251" s="17" t="s">
        <v>3117</v>
      </c>
      <c r="S251" s="16" t="s">
        <v>2249</v>
      </c>
      <c r="T251" s="16" t="s">
        <v>74</v>
      </c>
      <c r="U251" s="16" t="s">
        <v>75</v>
      </c>
      <c r="V251" s="16" t="s">
        <v>3118</v>
      </c>
      <c r="W251" s="16"/>
      <c r="X251" s="16" t="s">
        <v>3119</v>
      </c>
      <c r="Y251" s="16" t="s">
        <v>78</v>
      </c>
      <c r="Z251" s="16" t="s">
        <v>207</v>
      </c>
      <c r="AA251" s="16" t="s">
        <v>208</v>
      </c>
      <c r="AB251" s="17" t="s">
        <v>3120</v>
      </c>
      <c r="AC251" s="16" t="s">
        <v>71</v>
      </c>
      <c r="AD251" s="17" t="s">
        <v>3120</v>
      </c>
      <c r="AF251" s="17" t="s">
        <v>3121</v>
      </c>
      <c r="AG251" s="16" t="s">
        <v>2297</v>
      </c>
      <c r="AH251" s="16" t="s">
        <v>3122</v>
      </c>
      <c r="AI251" s="16"/>
      <c r="AJ251" s="16"/>
      <c r="AK251" s="16"/>
      <c r="AL251" s="16" t="s">
        <v>3123</v>
      </c>
    </row>
    <row r="252" spans="1:38" x14ac:dyDescent="0.5">
      <c r="A252">
        <v>18953</v>
      </c>
      <c r="B252" s="16" t="s">
        <v>3124</v>
      </c>
      <c r="C252" s="16" t="s">
        <v>3124</v>
      </c>
      <c r="D252" s="16"/>
      <c r="E252" s="16" t="s">
        <v>3125</v>
      </c>
      <c r="F252" s="17" t="s">
        <v>3126</v>
      </c>
      <c r="H252" s="16" t="s">
        <v>3127</v>
      </c>
      <c r="I252" s="16" t="s">
        <v>3128</v>
      </c>
      <c r="J252" s="33">
        <v>41351</v>
      </c>
      <c r="K252" s="33">
        <v>43465</v>
      </c>
      <c r="L252" s="16" t="s">
        <v>66</v>
      </c>
      <c r="M252" s="16" t="s">
        <v>67</v>
      </c>
      <c r="N252" s="16" t="s">
        <v>68</v>
      </c>
      <c r="O252" s="16" t="s">
        <v>436</v>
      </c>
      <c r="P252" s="16" t="s">
        <v>572</v>
      </c>
      <c r="Q252" s="16" t="s">
        <v>71</v>
      </c>
      <c r="R252" s="17" t="s">
        <v>3129</v>
      </c>
      <c r="S252" s="16" t="s">
        <v>3130</v>
      </c>
      <c r="T252" s="16" t="s">
        <v>74</v>
      </c>
      <c r="U252" s="16" t="s">
        <v>75</v>
      </c>
      <c r="V252" s="16" t="s">
        <v>3131</v>
      </c>
      <c r="W252" s="16"/>
      <c r="X252" s="16" t="s">
        <v>3132</v>
      </c>
      <c r="Y252" s="16" t="s">
        <v>78</v>
      </c>
      <c r="Z252" s="16" t="s">
        <v>1158</v>
      </c>
      <c r="AA252" s="16" t="s">
        <v>1159</v>
      </c>
      <c r="AB252" s="17" t="s">
        <v>3133</v>
      </c>
      <c r="AC252" s="16" t="s">
        <v>71</v>
      </c>
      <c r="AD252" s="17" t="s">
        <v>3133</v>
      </c>
      <c r="AE252" s="17" t="s">
        <v>3134</v>
      </c>
      <c r="AF252" s="17" t="s">
        <v>3135</v>
      </c>
      <c r="AG252" s="16" t="s">
        <v>3136</v>
      </c>
      <c r="AH252" s="16" t="s">
        <v>1003</v>
      </c>
      <c r="AI252" s="16"/>
      <c r="AJ252" s="16"/>
      <c r="AK252" s="16"/>
      <c r="AL252" s="16" t="s">
        <v>3137</v>
      </c>
    </row>
    <row r="253" spans="1:38" x14ac:dyDescent="0.5">
      <c r="A253">
        <v>18960</v>
      </c>
      <c r="B253" s="16" t="s">
        <v>442</v>
      </c>
      <c r="C253" s="16" t="s">
        <v>442</v>
      </c>
      <c r="D253" s="16"/>
      <c r="E253" s="16" t="s">
        <v>3138</v>
      </c>
      <c r="F253" s="17" t="s">
        <v>3139</v>
      </c>
      <c r="H253" s="16" t="s">
        <v>3140</v>
      </c>
      <c r="I253" s="16" t="s">
        <v>3141</v>
      </c>
      <c r="J253" s="33">
        <v>42401</v>
      </c>
      <c r="K253" s="33">
        <v>43465</v>
      </c>
      <c r="L253" s="16" t="s">
        <v>66</v>
      </c>
      <c r="M253" s="16" t="s">
        <v>67</v>
      </c>
      <c r="N253" s="16" t="s">
        <v>68</v>
      </c>
      <c r="O253" s="16" t="s">
        <v>436</v>
      </c>
      <c r="P253" s="16" t="s">
        <v>572</v>
      </c>
      <c r="Q253" s="16" t="s">
        <v>71</v>
      </c>
      <c r="R253" s="17" t="s">
        <v>3142</v>
      </c>
      <c r="S253" s="16" t="s">
        <v>1497</v>
      </c>
      <c r="T253" s="16" t="s">
        <v>74</v>
      </c>
      <c r="U253" s="16" t="s">
        <v>75</v>
      </c>
      <c r="V253" s="16" t="s">
        <v>3143</v>
      </c>
      <c r="W253" s="16" t="s">
        <v>3144</v>
      </c>
      <c r="X253" s="16" t="s">
        <v>3145</v>
      </c>
      <c r="Y253" s="16" t="s">
        <v>78</v>
      </c>
      <c r="Z253" s="16" t="s">
        <v>1025</v>
      </c>
      <c r="AA253" s="16" t="s">
        <v>1026</v>
      </c>
      <c r="AB253" s="17" t="s">
        <v>3146</v>
      </c>
      <c r="AC253" s="16" t="s">
        <v>71</v>
      </c>
      <c r="AD253" s="17" t="s">
        <v>3146</v>
      </c>
      <c r="AE253" s="17" t="s">
        <v>3147</v>
      </c>
      <c r="AG253" s="16" t="s">
        <v>1502</v>
      </c>
      <c r="AH253" s="16" t="s">
        <v>1345</v>
      </c>
      <c r="AI253" s="16"/>
      <c r="AJ253" s="16"/>
      <c r="AK253" s="16"/>
      <c r="AL253" s="16" t="s">
        <v>3148</v>
      </c>
    </row>
    <row r="254" spans="1:38" x14ac:dyDescent="0.5">
      <c r="A254">
        <v>18961</v>
      </c>
      <c r="B254" s="16" t="s">
        <v>1490</v>
      </c>
      <c r="C254" s="16" t="s">
        <v>1490</v>
      </c>
      <c r="D254" s="16"/>
      <c r="E254" s="16" t="s">
        <v>3149</v>
      </c>
      <c r="F254" s="17" t="s">
        <v>3150</v>
      </c>
      <c r="H254" s="16" t="s">
        <v>3151</v>
      </c>
      <c r="I254" s="16" t="s">
        <v>3152</v>
      </c>
      <c r="J254" s="33">
        <v>42403</v>
      </c>
      <c r="K254" s="33">
        <v>43465</v>
      </c>
      <c r="L254" s="16" t="s">
        <v>66</v>
      </c>
      <c r="M254" s="16" t="s">
        <v>67</v>
      </c>
      <c r="N254" s="16" t="s">
        <v>68</v>
      </c>
      <c r="O254" s="16" t="s">
        <v>436</v>
      </c>
      <c r="P254" s="16" t="s">
        <v>572</v>
      </c>
      <c r="Q254" s="16" t="s">
        <v>71</v>
      </c>
      <c r="R254" s="17" t="s">
        <v>3153</v>
      </c>
      <c r="S254" s="16" t="s">
        <v>1967</v>
      </c>
      <c r="T254" s="16" t="s">
        <v>74</v>
      </c>
      <c r="U254" s="16" t="s">
        <v>75</v>
      </c>
      <c r="V254" s="16" t="s">
        <v>3154</v>
      </c>
      <c r="W254" s="16"/>
      <c r="X254" s="16" t="s">
        <v>3155</v>
      </c>
      <c r="Y254" s="16" t="s">
        <v>78</v>
      </c>
      <c r="Z254" s="16" t="s">
        <v>1025</v>
      </c>
      <c r="AA254" s="16" t="s">
        <v>1026</v>
      </c>
      <c r="AB254" s="17" t="s">
        <v>3156</v>
      </c>
      <c r="AC254" s="16" t="s">
        <v>966</v>
      </c>
      <c r="AF254" s="17" t="s">
        <v>3156</v>
      </c>
      <c r="AG254" s="16" t="s">
        <v>2108</v>
      </c>
      <c r="AH254" s="16" t="s">
        <v>3136</v>
      </c>
      <c r="AI254" s="16"/>
      <c r="AJ254" s="16"/>
      <c r="AK254" s="16"/>
      <c r="AL254" s="16" t="s">
        <v>3157</v>
      </c>
    </row>
    <row r="255" spans="1:38" x14ac:dyDescent="0.5">
      <c r="A255">
        <v>18962</v>
      </c>
      <c r="B255" s="16" t="s">
        <v>2646</v>
      </c>
      <c r="C255" s="16" t="s">
        <v>2646</v>
      </c>
      <c r="D255" s="16"/>
      <c r="E255" s="16" t="s">
        <v>3158</v>
      </c>
      <c r="F255" s="17" t="s">
        <v>3159</v>
      </c>
      <c r="G255" s="17" t="s">
        <v>3160</v>
      </c>
      <c r="H255" s="16" t="s">
        <v>3161</v>
      </c>
      <c r="I255" s="16" t="s">
        <v>2916</v>
      </c>
      <c r="J255" s="33">
        <v>41934</v>
      </c>
      <c r="K255" s="33">
        <v>43465</v>
      </c>
      <c r="L255" s="16" t="s">
        <v>66</v>
      </c>
      <c r="M255" s="16" t="s">
        <v>67</v>
      </c>
      <c r="N255" s="16" t="s">
        <v>68</v>
      </c>
      <c r="O255" s="16" t="s">
        <v>436</v>
      </c>
      <c r="P255" s="16" t="s">
        <v>572</v>
      </c>
      <c r="Q255" s="16" t="s">
        <v>71</v>
      </c>
      <c r="R255" s="17" t="s">
        <v>3162</v>
      </c>
      <c r="S255" s="16" t="s">
        <v>2918</v>
      </c>
      <c r="T255" s="16" t="s">
        <v>74</v>
      </c>
      <c r="U255" s="16" t="s">
        <v>75</v>
      </c>
      <c r="V255" s="16" t="s">
        <v>3163</v>
      </c>
      <c r="W255" s="16"/>
      <c r="X255" s="16" t="s">
        <v>3164</v>
      </c>
      <c r="Y255" s="16" t="s">
        <v>78</v>
      </c>
      <c r="Z255" s="16" t="s">
        <v>242</v>
      </c>
      <c r="AA255" s="16" t="s">
        <v>243</v>
      </c>
      <c r="AB255" s="17" t="s">
        <v>3165</v>
      </c>
      <c r="AC255" s="16" t="s">
        <v>71</v>
      </c>
      <c r="AD255" s="17" t="s">
        <v>3165</v>
      </c>
      <c r="AE255" s="17" t="s">
        <v>3166</v>
      </c>
      <c r="AF255" s="17" t="s">
        <v>3167</v>
      </c>
      <c r="AG255" s="16" t="s">
        <v>2108</v>
      </c>
      <c r="AH255" s="16" t="s">
        <v>653</v>
      </c>
      <c r="AI255" s="16"/>
      <c r="AJ255" s="16"/>
      <c r="AK255" s="16"/>
      <c r="AL255" s="16" t="s">
        <v>3168</v>
      </c>
    </row>
    <row r="256" spans="1:38" x14ac:dyDescent="0.5">
      <c r="A256">
        <v>19015</v>
      </c>
      <c r="B256" s="16" t="s">
        <v>453</v>
      </c>
      <c r="C256" s="16" t="s">
        <v>453</v>
      </c>
      <c r="D256" s="16"/>
      <c r="E256" s="16" t="s">
        <v>3169</v>
      </c>
      <c r="F256" s="17" t="s">
        <v>3170</v>
      </c>
      <c r="G256" s="17" t="s">
        <v>3171</v>
      </c>
      <c r="H256" s="16" t="s">
        <v>3172</v>
      </c>
      <c r="I256" s="16" t="s">
        <v>3173</v>
      </c>
      <c r="J256" s="33">
        <v>41446</v>
      </c>
      <c r="K256" s="33">
        <v>43465</v>
      </c>
      <c r="L256" s="16" t="s">
        <v>66</v>
      </c>
      <c r="M256" s="16" t="s">
        <v>67</v>
      </c>
      <c r="N256" s="16" t="s">
        <v>68</v>
      </c>
      <c r="O256" s="16" t="s">
        <v>202</v>
      </c>
      <c r="P256" s="16" t="s">
        <v>572</v>
      </c>
      <c r="Q256" s="16" t="s">
        <v>71</v>
      </c>
      <c r="R256" s="17" t="s">
        <v>3174</v>
      </c>
      <c r="S256" s="16" t="s">
        <v>764</v>
      </c>
      <c r="T256" s="16" t="s">
        <v>74</v>
      </c>
      <c r="U256" s="16" t="s">
        <v>75</v>
      </c>
      <c r="V256" s="16" t="s">
        <v>3175</v>
      </c>
      <c r="W256" s="16" t="s">
        <v>3176</v>
      </c>
      <c r="X256" s="16" t="s">
        <v>766</v>
      </c>
      <c r="Y256" s="16" t="s">
        <v>78</v>
      </c>
      <c r="Z256" s="16" t="s">
        <v>189</v>
      </c>
      <c r="AA256" s="16" t="s">
        <v>190</v>
      </c>
      <c r="AB256" s="17" t="s">
        <v>3177</v>
      </c>
      <c r="AC256" s="16" t="s">
        <v>71</v>
      </c>
      <c r="AD256" s="17" t="s">
        <v>3177</v>
      </c>
      <c r="AG256" s="16" t="s">
        <v>2156</v>
      </c>
      <c r="AH256" s="16" t="s">
        <v>3178</v>
      </c>
      <c r="AI256" s="16"/>
      <c r="AJ256" s="16"/>
      <c r="AK256" s="16"/>
      <c r="AL256" s="16" t="s">
        <v>3179</v>
      </c>
    </row>
    <row r="257" spans="1:38" x14ac:dyDescent="0.5">
      <c r="A257">
        <v>19045</v>
      </c>
      <c r="B257" s="16" t="s">
        <v>3180</v>
      </c>
      <c r="C257" s="16" t="s">
        <v>3180</v>
      </c>
      <c r="D257" s="16"/>
      <c r="E257" s="16" t="s">
        <v>3181</v>
      </c>
      <c r="F257" s="17" t="s">
        <v>3182</v>
      </c>
      <c r="G257" s="17" t="s">
        <v>3182</v>
      </c>
      <c r="H257" s="16" t="s">
        <v>3183</v>
      </c>
      <c r="I257" s="16" t="s">
        <v>3184</v>
      </c>
      <c r="J257" s="33">
        <v>41710</v>
      </c>
      <c r="K257" s="33">
        <v>43465</v>
      </c>
      <c r="L257" s="16" t="s">
        <v>66</v>
      </c>
      <c r="M257" s="16" t="s">
        <v>67</v>
      </c>
      <c r="N257" s="16" t="s">
        <v>68</v>
      </c>
      <c r="O257" s="16" t="s">
        <v>436</v>
      </c>
      <c r="P257" s="16" t="s">
        <v>572</v>
      </c>
      <c r="Q257" s="16" t="s">
        <v>71</v>
      </c>
      <c r="R257" s="17" t="s">
        <v>3185</v>
      </c>
      <c r="S257" s="16" t="s">
        <v>3186</v>
      </c>
      <c r="T257" s="16" t="s">
        <v>74</v>
      </c>
      <c r="U257" s="16" t="s">
        <v>75</v>
      </c>
      <c r="V257" s="16" t="s">
        <v>3187</v>
      </c>
      <c r="W257" s="16"/>
      <c r="X257" s="16" t="s">
        <v>3188</v>
      </c>
      <c r="Y257" s="16" t="s">
        <v>78</v>
      </c>
      <c r="Z257" s="16" t="s">
        <v>189</v>
      </c>
      <c r="AA257" s="16" t="s">
        <v>190</v>
      </c>
      <c r="AB257" s="17" t="s">
        <v>3189</v>
      </c>
      <c r="AC257" s="16" t="s">
        <v>71</v>
      </c>
      <c r="AD257" s="17" t="s">
        <v>3189</v>
      </c>
      <c r="AG257" s="16" t="s">
        <v>3190</v>
      </c>
      <c r="AH257" s="16" t="s">
        <v>1285</v>
      </c>
      <c r="AI257" s="16" t="s">
        <v>2156</v>
      </c>
      <c r="AJ257" s="16"/>
      <c r="AK257" s="16"/>
      <c r="AL257" s="16" t="s">
        <v>3191</v>
      </c>
    </row>
    <row r="258" spans="1:38" x14ac:dyDescent="0.5">
      <c r="A258">
        <v>19073</v>
      </c>
      <c r="B258" s="16" t="s">
        <v>3192</v>
      </c>
      <c r="C258" s="16" t="s">
        <v>3192</v>
      </c>
      <c r="D258" s="16"/>
      <c r="E258" s="16" t="s">
        <v>3193</v>
      </c>
      <c r="F258" s="17" t="s">
        <v>3194</v>
      </c>
      <c r="H258" s="16" t="s">
        <v>1976</v>
      </c>
      <c r="I258" s="16" t="s">
        <v>3195</v>
      </c>
      <c r="J258" s="33">
        <v>41452</v>
      </c>
      <c r="K258" s="33">
        <v>43465</v>
      </c>
      <c r="L258" s="16" t="s">
        <v>66</v>
      </c>
      <c r="M258" s="16" t="s">
        <v>67</v>
      </c>
      <c r="N258" s="16" t="s">
        <v>68</v>
      </c>
      <c r="O258" s="16" t="s">
        <v>436</v>
      </c>
      <c r="P258" s="16" t="s">
        <v>572</v>
      </c>
      <c r="Q258" s="16" t="s">
        <v>71</v>
      </c>
      <c r="R258" s="17" t="s">
        <v>3196</v>
      </c>
      <c r="S258" s="16" t="s">
        <v>3197</v>
      </c>
      <c r="T258" s="16" t="s">
        <v>74</v>
      </c>
      <c r="U258" s="16" t="s">
        <v>75</v>
      </c>
      <c r="V258" s="16" t="s">
        <v>3198</v>
      </c>
      <c r="W258" s="16" t="s">
        <v>3199</v>
      </c>
      <c r="X258" s="16" t="s">
        <v>3200</v>
      </c>
      <c r="Y258" s="16" t="s">
        <v>78</v>
      </c>
      <c r="Z258" s="16" t="s">
        <v>296</v>
      </c>
      <c r="AA258" s="16" t="s">
        <v>297</v>
      </c>
      <c r="AB258" s="17" t="s">
        <v>3201</v>
      </c>
      <c r="AC258" s="16" t="s">
        <v>71</v>
      </c>
      <c r="AD258" s="17" t="s">
        <v>3201</v>
      </c>
      <c r="AE258" s="17" t="s">
        <v>3202</v>
      </c>
      <c r="AG258" s="16" t="s">
        <v>1259</v>
      </c>
      <c r="AH258" s="16" t="s">
        <v>1785</v>
      </c>
      <c r="AI258" s="16"/>
      <c r="AJ258" s="16"/>
      <c r="AK258" s="16"/>
      <c r="AL258" s="16" t="s">
        <v>3203</v>
      </c>
    </row>
    <row r="259" spans="1:38" x14ac:dyDescent="0.5">
      <c r="A259">
        <v>19078</v>
      </c>
      <c r="B259" s="16" t="s">
        <v>246</v>
      </c>
      <c r="C259" s="16" t="s">
        <v>246</v>
      </c>
      <c r="D259" s="16"/>
      <c r="E259" s="16" t="s">
        <v>3204</v>
      </c>
      <c r="F259" s="17" t="s">
        <v>3205</v>
      </c>
      <c r="G259" s="17" t="s">
        <v>3206</v>
      </c>
      <c r="H259" s="16" t="s">
        <v>456</v>
      </c>
      <c r="I259" s="16" t="s">
        <v>3207</v>
      </c>
      <c r="J259" s="33">
        <v>42479</v>
      </c>
      <c r="K259" s="33">
        <v>43465</v>
      </c>
      <c r="L259" s="16" t="s">
        <v>66</v>
      </c>
      <c r="M259" s="16" t="s">
        <v>67</v>
      </c>
      <c r="N259" s="16" t="s">
        <v>68</v>
      </c>
      <c r="O259" s="16" t="s">
        <v>436</v>
      </c>
      <c r="P259" s="16" t="s">
        <v>572</v>
      </c>
      <c r="Q259" s="16" t="s">
        <v>71</v>
      </c>
      <c r="R259" s="17" t="s">
        <v>3208</v>
      </c>
      <c r="S259" s="16" t="s">
        <v>3209</v>
      </c>
      <c r="T259" s="16" t="s">
        <v>74</v>
      </c>
      <c r="U259" s="16" t="s">
        <v>75</v>
      </c>
      <c r="V259" s="16" t="s">
        <v>3210</v>
      </c>
      <c r="W259" s="16"/>
      <c r="X259" s="16" t="s">
        <v>3211</v>
      </c>
      <c r="Y259" s="16" t="s">
        <v>78</v>
      </c>
      <c r="Z259" s="16" t="s">
        <v>296</v>
      </c>
      <c r="AA259" s="16" t="s">
        <v>297</v>
      </c>
      <c r="AB259" s="17" t="s">
        <v>3212</v>
      </c>
      <c r="AC259" s="16" t="s">
        <v>71</v>
      </c>
      <c r="AD259" s="17" t="s">
        <v>3212</v>
      </c>
      <c r="AE259" s="17" t="s">
        <v>3213</v>
      </c>
      <c r="AF259" s="17" t="s">
        <v>3214</v>
      </c>
      <c r="AG259" s="16" t="s">
        <v>2289</v>
      </c>
      <c r="AH259" s="16" t="s">
        <v>1133</v>
      </c>
      <c r="AI259" s="16"/>
      <c r="AJ259" s="16"/>
      <c r="AK259" s="16"/>
      <c r="AL259" s="16" t="s">
        <v>456</v>
      </c>
    </row>
    <row r="260" spans="1:38" x14ac:dyDescent="0.5">
      <c r="A260">
        <v>19081</v>
      </c>
      <c r="B260" s="16" t="s">
        <v>3215</v>
      </c>
      <c r="C260" s="16" t="s">
        <v>3215</v>
      </c>
      <c r="D260" s="16"/>
      <c r="E260" s="16" t="s">
        <v>3216</v>
      </c>
      <c r="F260" s="17" t="s">
        <v>3217</v>
      </c>
      <c r="H260" s="16" t="s">
        <v>3218</v>
      </c>
      <c r="I260" s="16" t="s">
        <v>3219</v>
      </c>
      <c r="J260" s="33">
        <v>42535</v>
      </c>
      <c r="K260" s="33">
        <v>43465</v>
      </c>
      <c r="L260" s="16" t="s">
        <v>66</v>
      </c>
      <c r="M260" s="16" t="s">
        <v>67</v>
      </c>
      <c r="N260" s="16" t="s">
        <v>68</v>
      </c>
      <c r="O260" s="16" t="s">
        <v>436</v>
      </c>
      <c r="P260" s="16" t="s">
        <v>572</v>
      </c>
      <c r="Q260" s="16" t="s">
        <v>71</v>
      </c>
      <c r="R260" s="17" t="s">
        <v>3220</v>
      </c>
      <c r="S260" s="16" t="s">
        <v>113</v>
      </c>
      <c r="T260" s="16" t="s">
        <v>74</v>
      </c>
      <c r="U260" s="16" t="s">
        <v>75</v>
      </c>
      <c r="V260" s="16" t="s">
        <v>3221</v>
      </c>
      <c r="W260" s="16"/>
      <c r="X260" s="16" t="s">
        <v>3222</v>
      </c>
      <c r="Y260" s="16" t="s">
        <v>78</v>
      </c>
      <c r="Z260" s="16" t="s">
        <v>117</v>
      </c>
      <c r="AA260" s="16" t="s">
        <v>113</v>
      </c>
      <c r="AB260" s="17" t="s">
        <v>3223</v>
      </c>
      <c r="AC260" s="16" t="s">
        <v>71</v>
      </c>
      <c r="AD260" s="17" t="s">
        <v>3223</v>
      </c>
      <c r="AE260" s="17" t="s">
        <v>3224</v>
      </c>
      <c r="AG260" s="16" t="s">
        <v>780</v>
      </c>
      <c r="AH260" s="16" t="s">
        <v>3225</v>
      </c>
      <c r="AI260" s="16"/>
      <c r="AJ260" s="16"/>
      <c r="AK260" s="16"/>
      <c r="AL260" s="16" t="s">
        <v>3226</v>
      </c>
    </row>
    <row r="261" spans="1:38" x14ac:dyDescent="0.5">
      <c r="A261">
        <v>19091</v>
      </c>
      <c r="B261" s="16" t="s">
        <v>1430</v>
      </c>
      <c r="C261" s="16" t="s">
        <v>1430</v>
      </c>
      <c r="D261" s="16"/>
      <c r="E261" s="16" t="s">
        <v>3227</v>
      </c>
      <c r="F261" s="17" t="s">
        <v>3228</v>
      </c>
      <c r="G261" s="17" t="s">
        <v>3229</v>
      </c>
      <c r="H261" s="16" t="s">
        <v>2810</v>
      </c>
      <c r="I261" s="16" t="s">
        <v>3230</v>
      </c>
      <c r="J261" s="33">
        <v>40737</v>
      </c>
      <c r="K261" s="33">
        <v>43465</v>
      </c>
      <c r="L261" s="16" t="s">
        <v>66</v>
      </c>
      <c r="M261" s="16" t="s">
        <v>67</v>
      </c>
      <c r="N261" s="16" t="s">
        <v>68</v>
      </c>
      <c r="O261" s="16" t="s">
        <v>436</v>
      </c>
      <c r="P261" s="16" t="s">
        <v>70</v>
      </c>
      <c r="Q261" s="16" t="s">
        <v>71</v>
      </c>
      <c r="R261" s="17" t="s">
        <v>3231</v>
      </c>
      <c r="S261" s="16" t="s">
        <v>359</v>
      </c>
      <c r="T261" s="16" t="s">
        <v>74</v>
      </c>
      <c r="U261" s="16" t="s">
        <v>75</v>
      </c>
      <c r="V261" s="16" t="s">
        <v>3232</v>
      </c>
      <c r="W261" s="16"/>
      <c r="X261" s="16" t="s">
        <v>3233</v>
      </c>
      <c r="Y261" s="16" t="s">
        <v>78</v>
      </c>
      <c r="Z261" s="16" t="s">
        <v>242</v>
      </c>
      <c r="AA261" s="16" t="s">
        <v>243</v>
      </c>
      <c r="AB261" s="17" t="s">
        <v>3234</v>
      </c>
      <c r="AC261" s="16" t="s">
        <v>71</v>
      </c>
      <c r="AD261" s="17" t="s">
        <v>3234</v>
      </c>
      <c r="AE261" s="17" t="s">
        <v>3235</v>
      </c>
      <c r="AF261" s="17" t="s">
        <v>3236</v>
      </c>
      <c r="AG261" s="16" t="s">
        <v>653</v>
      </c>
      <c r="AH261" s="16" t="s">
        <v>1357</v>
      </c>
      <c r="AI261" s="16"/>
      <c r="AJ261" s="16"/>
      <c r="AK261" s="16"/>
      <c r="AL261" s="16" t="s">
        <v>3237</v>
      </c>
    </row>
    <row r="262" spans="1:38" x14ac:dyDescent="0.5">
      <c r="A262">
        <v>19143</v>
      </c>
      <c r="B262" s="16" t="s">
        <v>3239</v>
      </c>
      <c r="C262" s="16" t="s">
        <v>3239</v>
      </c>
      <c r="D262" s="16"/>
      <c r="E262" s="16" t="s">
        <v>3240</v>
      </c>
      <c r="F262" s="17" t="s">
        <v>3241</v>
      </c>
      <c r="G262" s="17" t="s">
        <v>3242</v>
      </c>
      <c r="H262" s="16" t="s">
        <v>3243</v>
      </c>
      <c r="I262" s="16" t="s">
        <v>3244</v>
      </c>
      <c r="J262" s="33">
        <v>42949</v>
      </c>
      <c r="K262" s="33">
        <v>43679</v>
      </c>
      <c r="L262" s="16" t="s">
        <v>66</v>
      </c>
      <c r="M262" s="16" t="s">
        <v>167</v>
      </c>
      <c r="N262" s="16" t="s">
        <v>110</v>
      </c>
      <c r="O262" s="16" t="s">
        <v>280</v>
      </c>
      <c r="P262" s="16" t="s">
        <v>572</v>
      </c>
      <c r="Q262" s="16" t="s">
        <v>71</v>
      </c>
      <c r="R262" s="17" t="s">
        <v>3245</v>
      </c>
      <c r="S262" s="16" t="s">
        <v>113</v>
      </c>
      <c r="T262" s="16" t="s">
        <v>74</v>
      </c>
      <c r="U262" s="16" t="s">
        <v>75</v>
      </c>
      <c r="V262" s="16" t="s">
        <v>3246</v>
      </c>
      <c r="W262" s="16"/>
      <c r="X262" s="16" t="s">
        <v>321</v>
      </c>
      <c r="Y262" s="16" t="s">
        <v>78</v>
      </c>
      <c r="Z262" s="16" t="s">
        <v>117</v>
      </c>
      <c r="AA262" s="16" t="s">
        <v>113</v>
      </c>
      <c r="AB262" s="17" t="s">
        <v>3247</v>
      </c>
      <c r="AC262" s="16" t="s">
        <v>71</v>
      </c>
      <c r="AD262" s="17" t="s">
        <v>3247</v>
      </c>
      <c r="AE262" s="17" t="s">
        <v>3248</v>
      </c>
      <c r="AG262" s="16" t="s">
        <v>3249</v>
      </c>
      <c r="AH262" s="16" t="s">
        <v>781</v>
      </c>
      <c r="AI262" s="16"/>
      <c r="AJ262" s="16"/>
      <c r="AK262" s="16"/>
      <c r="AL262" s="16" t="s">
        <v>3250</v>
      </c>
    </row>
    <row r="263" spans="1:38" x14ac:dyDescent="0.5">
      <c r="A263">
        <v>19149</v>
      </c>
      <c r="B263" s="16" t="s">
        <v>747</v>
      </c>
      <c r="C263" s="16" t="s">
        <v>747</v>
      </c>
      <c r="D263" s="16"/>
      <c r="E263" s="16" t="s">
        <v>3251</v>
      </c>
      <c r="F263" s="17" t="s">
        <v>3252</v>
      </c>
      <c r="G263" s="17" t="s">
        <v>3253</v>
      </c>
      <c r="H263" s="16" t="s">
        <v>456</v>
      </c>
      <c r="I263" s="16" t="s">
        <v>3254</v>
      </c>
      <c r="J263" s="33">
        <v>41480</v>
      </c>
      <c r="K263" s="33">
        <v>43465</v>
      </c>
      <c r="L263" s="16" t="s">
        <v>66</v>
      </c>
      <c r="M263" s="16" t="s">
        <v>67</v>
      </c>
      <c r="N263" s="16" t="s">
        <v>68</v>
      </c>
      <c r="O263" s="16" t="s">
        <v>436</v>
      </c>
      <c r="P263" s="16" t="s">
        <v>572</v>
      </c>
      <c r="Q263" s="16" t="s">
        <v>71</v>
      </c>
      <c r="R263" s="17" t="s">
        <v>3255</v>
      </c>
      <c r="S263" s="16" t="s">
        <v>3256</v>
      </c>
      <c r="T263" s="16" t="s">
        <v>74</v>
      </c>
      <c r="U263" s="16" t="s">
        <v>75</v>
      </c>
      <c r="V263" s="16" t="s">
        <v>3257</v>
      </c>
      <c r="W263" s="16"/>
      <c r="X263" s="16" t="s">
        <v>3258</v>
      </c>
      <c r="Y263" s="16" t="s">
        <v>78</v>
      </c>
      <c r="Z263" s="16" t="s">
        <v>207</v>
      </c>
      <c r="AA263" s="16" t="s">
        <v>208</v>
      </c>
      <c r="AB263" s="17" t="s">
        <v>3259</v>
      </c>
      <c r="AC263" s="16" t="s">
        <v>71</v>
      </c>
      <c r="AD263" s="17" t="s">
        <v>3259</v>
      </c>
      <c r="AG263" s="16" t="s">
        <v>2840</v>
      </c>
      <c r="AH263" s="16" t="s">
        <v>1076</v>
      </c>
      <c r="AI263" s="16"/>
      <c r="AJ263" s="16"/>
      <c r="AK263" s="16"/>
      <c r="AL263" s="16" t="s">
        <v>456</v>
      </c>
    </row>
    <row r="264" spans="1:38" x14ac:dyDescent="0.5">
      <c r="A264">
        <v>19151</v>
      </c>
      <c r="B264" s="16" t="s">
        <v>3260</v>
      </c>
      <c r="C264" s="16" t="s">
        <v>3260</v>
      </c>
      <c r="D264" s="16"/>
      <c r="E264" s="16" t="s">
        <v>3261</v>
      </c>
      <c r="F264" s="17" t="s">
        <v>3262</v>
      </c>
      <c r="G264" s="17" t="s">
        <v>3263</v>
      </c>
      <c r="H264" s="16" t="s">
        <v>1976</v>
      </c>
      <c r="I264" s="16" t="s">
        <v>3264</v>
      </c>
      <c r="J264" s="33">
        <v>42475</v>
      </c>
      <c r="K264" s="33">
        <v>43465</v>
      </c>
      <c r="L264" s="16" t="s">
        <v>66</v>
      </c>
      <c r="M264" s="16" t="s">
        <v>67</v>
      </c>
      <c r="N264" s="16" t="s">
        <v>68</v>
      </c>
      <c r="O264" s="16" t="s">
        <v>436</v>
      </c>
      <c r="P264" s="16" t="s">
        <v>572</v>
      </c>
      <c r="Q264" s="16" t="s">
        <v>71</v>
      </c>
      <c r="R264" s="17" t="s">
        <v>3265</v>
      </c>
      <c r="S264" s="16" t="s">
        <v>936</v>
      </c>
      <c r="T264" s="16" t="s">
        <v>74</v>
      </c>
      <c r="U264" s="16" t="s">
        <v>75</v>
      </c>
      <c r="V264" s="16" t="s">
        <v>3266</v>
      </c>
      <c r="W264" s="16"/>
      <c r="X264" s="16" t="s">
        <v>3267</v>
      </c>
      <c r="Y264" s="16" t="s">
        <v>78</v>
      </c>
      <c r="Z264" s="16" t="s">
        <v>242</v>
      </c>
      <c r="AA264" s="16" t="s">
        <v>243</v>
      </c>
      <c r="AB264" s="17" t="s">
        <v>3268</v>
      </c>
      <c r="AC264" s="16" t="s">
        <v>71</v>
      </c>
      <c r="AD264" s="17" t="s">
        <v>3268</v>
      </c>
      <c r="AF264" s="17" t="s">
        <v>3269</v>
      </c>
      <c r="AG264" s="16" t="s">
        <v>2108</v>
      </c>
      <c r="AH264" s="16" t="s">
        <v>653</v>
      </c>
      <c r="AI264" s="16"/>
      <c r="AJ264" s="16"/>
      <c r="AK264" s="16"/>
      <c r="AL264" s="16" t="s">
        <v>3270</v>
      </c>
    </row>
    <row r="265" spans="1:38" x14ac:dyDescent="0.5">
      <c r="A265">
        <v>19161</v>
      </c>
      <c r="B265" s="16" t="s">
        <v>2635</v>
      </c>
      <c r="C265" s="16" t="s">
        <v>2635</v>
      </c>
      <c r="D265" s="16"/>
      <c r="E265" s="16" t="s">
        <v>3271</v>
      </c>
      <c r="F265" s="17" t="s">
        <v>3272</v>
      </c>
      <c r="H265" s="16" t="s">
        <v>3273</v>
      </c>
      <c r="I265" s="16" t="s">
        <v>3274</v>
      </c>
      <c r="J265" s="33">
        <v>42556</v>
      </c>
      <c r="K265" s="33">
        <v>43465</v>
      </c>
      <c r="L265" s="16" t="s">
        <v>66</v>
      </c>
      <c r="M265" s="16" t="s">
        <v>67</v>
      </c>
      <c r="N265" s="16" t="s">
        <v>68</v>
      </c>
      <c r="O265" s="16" t="s">
        <v>436</v>
      </c>
      <c r="P265" s="16" t="s">
        <v>572</v>
      </c>
      <c r="Q265" s="16" t="s">
        <v>71</v>
      </c>
      <c r="R265" s="17" t="s">
        <v>3275</v>
      </c>
      <c r="S265" s="16" t="s">
        <v>359</v>
      </c>
      <c r="T265" s="16" t="s">
        <v>74</v>
      </c>
      <c r="U265" s="16" t="s">
        <v>75</v>
      </c>
      <c r="V265" s="16" t="s">
        <v>3276</v>
      </c>
      <c r="W265" s="16" t="s">
        <v>3277</v>
      </c>
      <c r="X265" s="16" t="s">
        <v>3278</v>
      </c>
      <c r="Y265" s="16" t="s">
        <v>78</v>
      </c>
      <c r="Z265" s="16" t="s">
        <v>242</v>
      </c>
      <c r="AA265" s="16" t="s">
        <v>243</v>
      </c>
      <c r="AB265" s="17" t="s">
        <v>3279</v>
      </c>
      <c r="AC265" s="16" t="s">
        <v>71</v>
      </c>
      <c r="AD265" s="17" t="s">
        <v>3279</v>
      </c>
      <c r="AF265" s="17" t="s">
        <v>3280</v>
      </c>
      <c r="AG265" s="16" t="s">
        <v>2108</v>
      </c>
      <c r="AH265" s="16" t="s">
        <v>653</v>
      </c>
      <c r="AI265" s="16"/>
      <c r="AJ265" s="16"/>
      <c r="AK265" s="16"/>
      <c r="AL265" s="16"/>
    </row>
    <row r="266" spans="1:38" x14ac:dyDescent="0.5">
      <c r="A266">
        <v>19166</v>
      </c>
      <c r="B266" s="16" t="s">
        <v>655</v>
      </c>
      <c r="C266" s="16" t="s">
        <v>655</v>
      </c>
      <c r="D266" s="16"/>
      <c r="E266" s="16" t="s">
        <v>3281</v>
      </c>
      <c r="F266" s="17" t="s">
        <v>3282</v>
      </c>
      <c r="G266" s="17" t="s">
        <v>3283</v>
      </c>
      <c r="H266" s="16" t="s">
        <v>456</v>
      </c>
      <c r="I266" s="16" t="s">
        <v>3284</v>
      </c>
      <c r="J266" s="33">
        <v>42999</v>
      </c>
      <c r="K266" s="33">
        <v>43363</v>
      </c>
      <c r="L266" s="16" t="s">
        <v>66</v>
      </c>
      <c r="M266" s="16" t="s">
        <v>67</v>
      </c>
      <c r="N266" s="16" t="s">
        <v>68</v>
      </c>
      <c r="O266" s="16" t="s">
        <v>436</v>
      </c>
      <c r="P266" s="16" t="s">
        <v>572</v>
      </c>
      <c r="Q266" s="16" t="s">
        <v>71</v>
      </c>
      <c r="R266" s="17" t="s">
        <v>3285</v>
      </c>
      <c r="S266" s="16" t="s">
        <v>1737</v>
      </c>
      <c r="T266" s="16" t="s">
        <v>74</v>
      </c>
      <c r="U266" s="16" t="s">
        <v>75</v>
      </c>
      <c r="V266" s="16" t="s">
        <v>3286</v>
      </c>
      <c r="W266" s="16"/>
      <c r="X266" s="16" t="s">
        <v>3287</v>
      </c>
      <c r="Y266" s="16" t="s">
        <v>78</v>
      </c>
      <c r="Z266" s="16" t="s">
        <v>1025</v>
      </c>
      <c r="AA266" s="16" t="s">
        <v>1026</v>
      </c>
      <c r="AB266" s="17" t="s">
        <v>3288</v>
      </c>
      <c r="AC266" s="16" t="s">
        <v>71</v>
      </c>
      <c r="AD266" s="17" t="s">
        <v>3288</v>
      </c>
      <c r="AE266" s="17" t="s">
        <v>3289</v>
      </c>
      <c r="AG266" s="16" t="s">
        <v>2297</v>
      </c>
      <c r="AH266" s="16" t="s">
        <v>579</v>
      </c>
      <c r="AI266" s="16"/>
      <c r="AJ266" s="16"/>
      <c r="AK266" s="16"/>
      <c r="AL266" s="16" t="s">
        <v>3290</v>
      </c>
    </row>
    <row r="267" spans="1:38" x14ac:dyDescent="0.5">
      <c r="A267">
        <v>19171</v>
      </c>
      <c r="B267" s="16" t="s">
        <v>3291</v>
      </c>
      <c r="C267" s="16" t="s">
        <v>3291</v>
      </c>
      <c r="D267" s="16"/>
      <c r="E267" s="16" t="s">
        <v>3292</v>
      </c>
      <c r="F267" s="17" t="s">
        <v>3293</v>
      </c>
      <c r="H267" s="16" t="s">
        <v>3294</v>
      </c>
      <c r="I267" s="16" t="s">
        <v>8601</v>
      </c>
      <c r="J267" s="33">
        <v>43180</v>
      </c>
      <c r="K267" s="33">
        <v>43545</v>
      </c>
      <c r="L267" s="16" t="s">
        <v>66</v>
      </c>
      <c r="M267" s="16" t="s">
        <v>67</v>
      </c>
      <c r="N267" s="16" t="s">
        <v>68</v>
      </c>
      <c r="O267" s="16" t="s">
        <v>436</v>
      </c>
      <c r="P267" s="16" t="s">
        <v>572</v>
      </c>
      <c r="Q267" s="16" t="s">
        <v>71</v>
      </c>
      <c r="R267" s="17" t="s">
        <v>3296</v>
      </c>
      <c r="S267" s="16" t="s">
        <v>3295</v>
      </c>
      <c r="T267" s="16" t="s">
        <v>74</v>
      </c>
      <c r="U267" s="16" t="s">
        <v>75</v>
      </c>
      <c r="V267" s="16" t="s">
        <v>3297</v>
      </c>
      <c r="W267" s="16"/>
      <c r="X267" s="16" t="s">
        <v>3298</v>
      </c>
      <c r="Y267" s="16" t="s">
        <v>78</v>
      </c>
      <c r="Z267" s="16" t="s">
        <v>963</v>
      </c>
      <c r="AA267" s="16" t="s">
        <v>964</v>
      </c>
      <c r="AB267" s="17" t="s">
        <v>3299</v>
      </c>
      <c r="AC267" s="16" t="s">
        <v>71</v>
      </c>
      <c r="AD267" s="17" t="s">
        <v>3299</v>
      </c>
      <c r="AF267" s="17" t="s">
        <v>3300</v>
      </c>
      <c r="AG267" s="16" t="s">
        <v>3301</v>
      </c>
      <c r="AH267" s="16" t="s">
        <v>3302</v>
      </c>
      <c r="AI267" s="16"/>
      <c r="AJ267" s="16"/>
      <c r="AK267" s="16"/>
      <c r="AL267" s="16" t="s">
        <v>3303</v>
      </c>
    </row>
    <row r="268" spans="1:38" x14ac:dyDescent="0.5">
      <c r="A268">
        <v>19173</v>
      </c>
      <c r="B268" s="16" t="s">
        <v>3304</v>
      </c>
      <c r="C268" s="16" t="s">
        <v>3304</v>
      </c>
      <c r="D268" s="16"/>
      <c r="E268" s="16" t="s">
        <v>3305</v>
      </c>
      <c r="F268" s="17" t="s">
        <v>3306</v>
      </c>
      <c r="G268" s="17" t="s">
        <v>3307</v>
      </c>
      <c r="H268" s="16" t="s">
        <v>3308</v>
      </c>
      <c r="I268" s="16" t="s">
        <v>3309</v>
      </c>
      <c r="J268" s="33">
        <v>41387</v>
      </c>
      <c r="K268" s="33">
        <v>43465</v>
      </c>
      <c r="L268" s="16" t="s">
        <v>66</v>
      </c>
      <c r="M268" s="16" t="s">
        <v>67</v>
      </c>
      <c r="N268" s="16" t="s">
        <v>68</v>
      </c>
      <c r="O268" s="16" t="s">
        <v>436</v>
      </c>
      <c r="P268" s="16" t="s">
        <v>572</v>
      </c>
      <c r="Q268" s="16" t="s">
        <v>71</v>
      </c>
      <c r="R268" s="17" t="s">
        <v>3310</v>
      </c>
      <c r="S268" s="16" t="s">
        <v>3256</v>
      </c>
      <c r="T268" s="16" t="s">
        <v>74</v>
      </c>
      <c r="U268" s="16" t="s">
        <v>75</v>
      </c>
      <c r="V268" s="16" t="s">
        <v>3311</v>
      </c>
      <c r="W268" s="16"/>
      <c r="X268" s="16" t="s">
        <v>3312</v>
      </c>
      <c r="Y268" s="16" t="s">
        <v>78</v>
      </c>
      <c r="Z268" s="16" t="s">
        <v>207</v>
      </c>
      <c r="AA268" s="16" t="s">
        <v>208</v>
      </c>
      <c r="AB268" s="17" t="s">
        <v>3313</v>
      </c>
      <c r="AC268" s="16" t="s">
        <v>71</v>
      </c>
      <c r="AD268" s="17" t="s">
        <v>3313</v>
      </c>
      <c r="AG268" s="16" t="s">
        <v>1076</v>
      </c>
      <c r="AH268" s="16" t="s">
        <v>1345</v>
      </c>
      <c r="AI268" s="16"/>
      <c r="AJ268" s="16"/>
      <c r="AK268" s="16"/>
      <c r="AL268" s="16" t="s">
        <v>3314</v>
      </c>
    </row>
    <row r="269" spans="1:38" x14ac:dyDescent="0.5">
      <c r="A269">
        <v>19192</v>
      </c>
      <c r="B269" s="16" t="s">
        <v>3315</v>
      </c>
      <c r="C269" s="16" t="s">
        <v>3315</v>
      </c>
      <c r="D269" s="16"/>
      <c r="E269" s="16" t="s">
        <v>3316</v>
      </c>
      <c r="F269" s="17" t="s">
        <v>3317</v>
      </c>
      <c r="H269" s="16" t="s">
        <v>127</v>
      </c>
      <c r="I269" s="16"/>
      <c r="J269" s="33">
        <v>40757</v>
      </c>
      <c r="K269" s="33">
        <v>43465</v>
      </c>
      <c r="L269" s="16" t="s">
        <v>66</v>
      </c>
      <c r="M269" s="16" t="s">
        <v>291</v>
      </c>
      <c r="N269" s="16" t="s">
        <v>127</v>
      </c>
      <c r="O269" s="16" t="s">
        <v>127</v>
      </c>
      <c r="P269" s="16" t="s">
        <v>1792</v>
      </c>
      <c r="Q269" s="16" t="s">
        <v>71</v>
      </c>
      <c r="R269" s="17" t="s">
        <v>3318</v>
      </c>
      <c r="S269" s="16" t="s">
        <v>222</v>
      </c>
      <c r="T269" s="16" t="s">
        <v>74</v>
      </c>
      <c r="U269" s="16" t="s">
        <v>75</v>
      </c>
      <c r="V269" s="16" t="s">
        <v>3319</v>
      </c>
      <c r="W269" s="16"/>
      <c r="X269" s="16" t="s">
        <v>868</v>
      </c>
      <c r="Y269" s="16" t="s">
        <v>78</v>
      </c>
      <c r="Z269" s="16" t="s">
        <v>189</v>
      </c>
      <c r="AA269" s="16" t="s">
        <v>190</v>
      </c>
      <c r="AB269" s="17" t="s">
        <v>3320</v>
      </c>
      <c r="AC269" s="16" t="s">
        <v>71</v>
      </c>
      <c r="AD269" s="17" t="s">
        <v>3320</v>
      </c>
      <c r="AF269" s="17" t="s">
        <v>3320</v>
      </c>
      <c r="AG269" s="16" t="s">
        <v>1572</v>
      </c>
      <c r="AH269" s="16" t="s">
        <v>2616</v>
      </c>
      <c r="AI269" s="16"/>
      <c r="AJ269" s="16"/>
      <c r="AK269" s="16"/>
      <c r="AL269" s="16" t="s">
        <v>3321</v>
      </c>
    </row>
    <row r="270" spans="1:38" x14ac:dyDescent="0.5">
      <c r="A270">
        <v>19195</v>
      </c>
      <c r="B270" s="16" t="s">
        <v>1359</v>
      </c>
      <c r="C270" s="16" t="s">
        <v>1359</v>
      </c>
      <c r="D270" s="16"/>
      <c r="E270" s="16" t="s">
        <v>3322</v>
      </c>
      <c r="F270" s="17" t="s">
        <v>3323</v>
      </c>
      <c r="G270" s="17" t="s">
        <v>3324</v>
      </c>
      <c r="H270" s="16" t="s">
        <v>3325</v>
      </c>
      <c r="I270" s="16" t="s">
        <v>3326</v>
      </c>
      <c r="J270" s="33">
        <v>40757</v>
      </c>
      <c r="K270" s="33">
        <v>43465</v>
      </c>
      <c r="L270" s="16" t="s">
        <v>66</v>
      </c>
      <c r="M270" s="16" t="s">
        <v>67</v>
      </c>
      <c r="N270" s="16" t="s">
        <v>68</v>
      </c>
      <c r="O270" s="16" t="s">
        <v>436</v>
      </c>
      <c r="P270" s="16" t="s">
        <v>572</v>
      </c>
      <c r="Q270" s="16" t="s">
        <v>71</v>
      </c>
      <c r="R270" s="17" t="s">
        <v>3327</v>
      </c>
      <c r="S270" s="16" t="s">
        <v>1352</v>
      </c>
      <c r="T270" s="16" t="s">
        <v>74</v>
      </c>
      <c r="U270" s="16" t="s">
        <v>75</v>
      </c>
      <c r="V270" s="16" t="s">
        <v>3328</v>
      </c>
      <c r="W270" s="16" t="s">
        <v>3329</v>
      </c>
      <c r="X270" s="16" t="s">
        <v>1354</v>
      </c>
      <c r="Y270" s="16" t="s">
        <v>78</v>
      </c>
      <c r="Z270" s="16" t="s">
        <v>963</v>
      </c>
      <c r="AA270" s="16" t="s">
        <v>964</v>
      </c>
      <c r="AB270" s="17" t="s">
        <v>3330</v>
      </c>
      <c r="AC270" s="16" t="s">
        <v>71</v>
      </c>
      <c r="AD270" s="17" t="s">
        <v>3330</v>
      </c>
      <c r="AG270" s="16" t="s">
        <v>1233</v>
      </c>
      <c r="AH270" s="16" t="s">
        <v>3331</v>
      </c>
      <c r="AI270" s="16"/>
      <c r="AJ270" s="16"/>
      <c r="AK270" s="16"/>
      <c r="AL270" s="16" t="s">
        <v>3332</v>
      </c>
    </row>
    <row r="271" spans="1:38" x14ac:dyDescent="0.5">
      <c r="A271">
        <v>19196</v>
      </c>
      <c r="B271" s="16" t="s">
        <v>3333</v>
      </c>
      <c r="C271" s="16" t="s">
        <v>3333</v>
      </c>
      <c r="D271" s="16"/>
      <c r="E271" s="16" t="s">
        <v>3334</v>
      </c>
      <c r="F271" s="17" t="s">
        <v>3335</v>
      </c>
      <c r="H271" s="16" t="s">
        <v>3336</v>
      </c>
      <c r="I271" s="16" t="s">
        <v>3337</v>
      </c>
      <c r="J271" s="33">
        <v>40770</v>
      </c>
      <c r="K271" s="33">
        <v>43465</v>
      </c>
      <c r="L271" s="16" t="s">
        <v>66</v>
      </c>
      <c r="M271" s="16" t="s">
        <v>67</v>
      </c>
      <c r="N271" s="16" t="s">
        <v>68</v>
      </c>
      <c r="O271" s="16" t="s">
        <v>436</v>
      </c>
      <c r="P271" s="16" t="s">
        <v>572</v>
      </c>
      <c r="Q271" s="16" t="s">
        <v>71</v>
      </c>
      <c r="R271" s="17" t="s">
        <v>3338</v>
      </c>
      <c r="S271" s="16" t="s">
        <v>113</v>
      </c>
      <c r="T271" s="16" t="s">
        <v>74</v>
      </c>
      <c r="U271" s="16" t="s">
        <v>75</v>
      </c>
      <c r="V271" s="16" t="s">
        <v>3339</v>
      </c>
      <c r="W271" s="16"/>
      <c r="X271" s="16" t="s">
        <v>3340</v>
      </c>
      <c r="Y271" s="16" t="s">
        <v>78</v>
      </c>
      <c r="Z271" s="16" t="s">
        <v>117</v>
      </c>
      <c r="AA271" s="16" t="s">
        <v>113</v>
      </c>
      <c r="AB271" s="17" t="s">
        <v>3341</v>
      </c>
      <c r="AC271" s="16" t="s">
        <v>71</v>
      </c>
      <c r="AD271" s="17" t="s">
        <v>3341</v>
      </c>
      <c r="AG271" s="16" t="s">
        <v>2322</v>
      </c>
      <c r="AH271" s="16" t="s">
        <v>1017</v>
      </c>
      <c r="AI271" s="16"/>
      <c r="AJ271" s="16"/>
      <c r="AK271" s="16"/>
      <c r="AL271" s="16" t="s">
        <v>3342</v>
      </c>
    </row>
    <row r="272" spans="1:38" x14ac:dyDescent="0.5">
      <c r="A272">
        <v>19231</v>
      </c>
      <c r="B272" s="16" t="s">
        <v>3343</v>
      </c>
      <c r="C272" s="16" t="s">
        <v>3343</v>
      </c>
      <c r="D272" s="16"/>
      <c r="E272" s="16" t="s">
        <v>3344</v>
      </c>
      <c r="F272" s="17" t="s">
        <v>3345</v>
      </c>
      <c r="H272" s="16" t="s">
        <v>3346</v>
      </c>
      <c r="I272" s="16" t="s">
        <v>3347</v>
      </c>
      <c r="J272" s="33">
        <v>40788</v>
      </c>
      <c r="K272" s="33">
        <v>43465</v>
      </c>
      <c r="L272" s="16" t="s">
        <v>66</v>
      </c>
      <c r="M272" s="16" t="s">
        <v>67</v>
      </c>
      <c r="N272" s="16" t="s">
        <v>68</v>
      </c>
      <c r="O272" s="16" t="s">
        <v>436</v>
      </c>
      <c r="P272" s="16" t="s">
        <v>572</v>
      </c>
      <c r="Q272" s="16" t="s">
        <v>71</v>
      </c>
      <c r="R272" s="17" t="s">
        <v>3348</v>
      </c>
      <c r="S272" s="16" t="s">
        <v>3349</v>
      </c>
      <c r="T272" s="16" t="s">
        <v>74</v>
      </c>
      <c r="U272" s="16" t="s">
        <v>75</v>
      </c>
      <c r="V272" s="16" t="s">
        <v>3350</v>
      </c>
      <c r="W272" s="16"/>
      <c r="X272" s="16" t="s">
        <v>3351</v>
      </c>
      <c r="Y272" s="16" t="s">
        <v>78</v>
      </c>
      <c r="Z272" s="16" t="s">
        <v>1228</v>
      </c>
      <c r="AA272" s="16" t="s">
        <v>1229</v>
      </c>
      <c r="AB272" s="17" t="s">
        <v>3352</v>
      </c>
      <c r="AC272" s="16" t="s">
        <v>71</v>
      </c>
      <c r="AD272" s="17" t="s">
        <v>3352</v>
      </c>
      <c r="AG272" s="16" t="s">
        <v>1017</v>
      </c>
      <c r="AH272" s="16" t="s">
        <v>3238</v>
      </c>
      <c r="AI272" s="16"/>
      <c r="AJ272" s="16"/>
      <c r="AK272" s="16"/>
      <c r="AL272" s="16" t="s">
        <v>3353</v>
      </c>
    </row>
    <row r="273" spans="1:38" x14ac:dyDescent="0.5">
      <c r="A273">
        <v>19234</v>
      </c>
      <c r="B273" s="16" t="s">
        <v>340</v>
      </c>
      <c r="C273" s="16" t="s">
        <v>340</v>
      </c>
      <c r="D273" s="16"/>
      <c r="E273" s="16" t="s">
        <v>3354</v>
      </c>
      <c r="F273" s="17" t="s">
        <v>3355</v>
      </c>
      <c r="H273" s="16" t="s">
        <v>3356</v>
      </c>
      <c r="I273" s="16" t="s">
        <v>3357</v>
      </c>
      <c r="J273" s="33">
        <v>40778</v>
      </c>
      <c r="K273" s="33">
        <v>43465</v>
      </c>
      <c r="L273" s="16" t="s">
        <v>66</v>
      </c>
      <c r="M273" s="16" t="s">
        <v>67</v>
      </c>
      <c r="N273" s="16" t="s">
        <v>68</v>
      </c>
      <c r="O273" s="16" t="s">
        <v>436</v>
      </c>
      <c r="P273" s="16" t="s">
        <v>572</v>
      </c>
      <c r="Q273" s="16" t="s">
        <v>71</v>
      </c>
      <c r="R273" s="17" t="s">
        <v>3358</v>
      </c>
      <c r="S273" s="16" t="s">
        <v>1995</v>
      </c>
      <c r="T273" s="16" t="s">
        <v>74</v>
      </c>
      <c r="U273" s="16" t="s">
        <v>75</v>
      </c>
      <c r="V273" s="16" t="s">
        <v>3359</v>
      </c>
      <c r="W273" s="16"/>
      <c r="X273" s="16" t="s">
        <v>3360</v>
      </c>
      <c r="Y273" s="16" t="s">
        <v>78</v>
      </c>
      <c r="Z273" s="16" t="s">
        <v>1999</v>
      </c>
      <c r="AA273" s="16" t="s">
        <v>2000</v>
      </c>
      <c r="AB273" s="17" t="s">
        <v>3361</v>
      </c>
      <c r="AC273" s="16" t="s">
        <v>71</v>
      </c>
      <c r="AD273" s="17" t="s">
        <v>3361</v>
      </c>
      <c r="AG273" s="16" t="s">
        <v>1076</v>
      </c>
      <c r="AH273" s="16" t="s">
        <v>1285</v>
      </c>
      <c r="AI273" s="16"/>
      <c r="AJ273" s="16"/>
      <c r="AK273" s="16"/>
      <c r="AL273" s="16" t="s">
        <v>3362</v>
      </c>
    </row>
    <row r="274" spans="1:38" x14ac:dyDescent="0.5">
      <c r="A274">
        <v>19235</v>
      </c>
      <c r="B274" s="16" t="s">
        <v>3363</v>
      </c>
      <c r="C274" s="16" t="s">
        <v>3363</v>
      </c>
      <c r="D274" s="16"/>
      <c r="E274" s="16" t="s">
        <v>3364</v>
      </c>
      <c r="F274" s="17" t="s">
        <v>3365</v>
      </c>
      <c r="H274" s="16" t="s">
        <v>3366</v>
      </c>
      <c r="I274" s="16" t="s">
        <v>3367</v>
      </c>
      <c r="J274" s="33">
        <v>40792</v>
      </c>
      <c r="K274" s="33">
        <v>43465</v>
      </c>
      <c r="L274" s="16" t="s">
        <v>66</v>
      </c>
      <c r="M274" s="16" t="s">
        <v>67</v>
      </c>
      <c r="N274" s="16" t="s">
        <v>68</v>
      </c>
      <c r="O274" s="16" t="s">
        <v>436</v>
      </c>
      <c r="P274" s="16"/>
      <c r="Q274" s="16" t="s">
        <v>71</v>
      </c>
      <c r="R274" s="17" t="s">
        <v>3368</v>
      </c>
      <c r="S274" s="16" t="s">
        <v>662</v>
      </c>
      <c r="T274" s="16" t="s">
        <v>74</v>
      </c>
      <c r="U274" s="16" t="s">
        <v>75</v>
      </c>
      <c r="V274" s="16" t="s">
        <v>3369</v>
      </c>
      <c r="W274" s="16"/>
      <c r="X274" s="16" t="s">
        <v>3370</v>
      </c>
      <c r="Y274" s="16" t="s">
        <v>78</v>
      </c>
      <c r="Z274" s="16" t="s">
        <v>666</v>
      </c>
      <c r="AA274" s="16" t="s">
        <v>667</v>
      </c>
      <c r="AB274" s="17" t="s">
        <v>3371</v>
      </c>
      <c r="AC274" s="16" t="s">
        <v>71</v>
      </c>
      <c r="AD274" s="17" t="s">
        <v>3371</v>
      </c>
      <c r="AF274" s="17" t="s">
        <v>3372</v>
      </c>
      <c r="AG274" s="16" t="s">
        <v>3373</v>
      </c>
      <c r="AH274" s="16" t="s">
        <v>1233</v>
      </c>
      <c r="AI274" s="16"/>
      <c r="AJ274" s="16"/>
      <c r="AK274" s="16"/>
      <c r="AL274" s="16" t="s">
        <v>3374</v>
      </c>
    </row>
    <row r="275" spans="1:38" x14ac:dyDescent="0.5">
      <c r="A275">
        <v>19238</v>
      </c>
      <c r="B275" s="16" t="s">
        <v>3375</v>
      </c>
      <c r="C275" s="16" t="s">
        <v>3375</v>
      </c>
      <c r="D275" s="16"/>
      <c r="E275" s="16" t="s">
        <v>3376</v>
      </c>
      <c r="F275" s="17" t="s">
        <v>3377</v>
      </c>
      <c r="G275" s="17" t="s">
        <v>3378</v>
      </c>
      <c r="H275" s="16" t="s">
        <v>3379</v>
      </c>
      <c r="I275" s="16" t="s">
        <v>8602</v>
      </c>
      <c r="J275" s="33">
        <v>40778</v>
      </c>
      <c r="K275" s="33">
        <v>43465</v>
      </c>
      <c r="L275" s="16" t="s">
        <v>66</v>
      </c>
      <c r="M275" s="16" t="s">
        <v>67</v>
      </c>
      <c r="N275" s="16" t="s">
        <v>68</v>
      </c>
      <c r="O275" s="16" t="s">
        <v>436</v>
      </c>
      <c r="P275" s="16" t="s">
        <v>572</v>
      </c>
      <c r="Q275" s="16" t="s">
        <v>71</v>
      </c>
      <c r="R275" s="17" t="s">
        <v>3380</v>
      </c>
      <c r="S275" s="16" t="s">
        <v>3381</v>
      </c>
      <c r="T275" s="16" t="s">
        <v>74</v>
      </c>
      <c r="U275" s="16" t="s">
        <v>75</v>
      </c>
      <c r="V275" s="16" t="s">
        <v>3382</v>
      </c>
      <c r="W275" s="16"/>
      <c r="X275" s="16" t="s">
        <v>3383</v>
      </c>
      <c r="Y275" s="16" t="s">
        <v>78</v>
      </c>
      <c r="Z275" s="16" t="s">
        <v>207</v>
      </c>
      <c r="AA275" s="16" t="s">
        <v>208</v>
      </c>
      <c r="AB275" s="17" t="s">
        <v>3384</v>
      </c>
      <c r="AC275" s="16" t="s">
        <v>71</v>
      </c>
      <c r="AD275" s="17" t="s">
        <v>3384</v>
      </c>
      <c r="AF275" s="17" t="s">
        <v>3384</v>
      </c>
      <c r="AG275" s="16" t="s">
        <v>1003</v>
      </c>
      <c r="AH275" s="16" t="s">
        <v>1285</v>
      </c>
      <c r="AI275" s="16"/>
      <c r="AJ275" s="16"/>
      <c r="AK275" s="16"/>
      <c r="AL275" s="16" t="s">
        <v>3385</v>
      </c>
    </row>
    <row r="276" spans="1:38" x14ac:dyDescent="0.5">
      <c r="A276">
        <v>19239</v>
      </c>
      <c r="B276" s="16" t="s">
        <v>1377</v>
      </c>
      <c r="C276" s="16" t="s">
        <v>1478</v>
      </c>
      <c r="D276" s="16"/>
      <c r="E276" s="16" t="s">
        <v>3386</v>
      </c>
      <c r="F276" s="17" t="s">
        <v>3387</v>
      </c>
      <c r="G276" s="17" t="s">
        <v>3388</v>
      </c>
      <c r="H276" s="16" t="s">
        <v>699</v>
      </c>
      <c r="I276" s="16" t="s">
        <v>3389</v>
      </c>
      <c r="J276" s="33">
        <v>40787</v>
      </c>
      <c r="K276" s="33">
        <v>43465</v>
      </c>
      <c r="L276" s="16" t="s">
        <v>66</v>
      </c>
      <c r="M276" s="16" t="s">
        <v>167</v>
      </c>
      <c r="N276" s="16" t="s">
        <v>110</v>
      </c>
      <c r="O276" s="16" t="s">
        <v>111</v>
      </c>
      <c r="P276" s="16" t="s">
        <v>1792</v>
      </c>
      <c r="Q276" s="16" t="s">
        <v>71</v>
      </c>
      <c r="R276" s="17" t="s">
        <v>3390</v>
      </c>
      <c r="S276" s="16" t="s">
        <v>3391</v>
      </c>
      <c r="T276" s="16" t="s">
        <v>74</v>
      </c>
      <c r="U276" s="16" t="s">
        <v>75</v>
      </c>
      <c r="V276" s="16" t="s">
        <v>3392</v>
      </c>
      <c r="W276" s="16"/>
      <c r="X276" s="16" t="s">
        <v>3393</v>
      </c>
      <c r="Y276" s="16" t="s">
        <v>78</v>
      </c>
      <c r="Z276" s="16" t="s">
        <v>270</v>
      </c>
      <c r="AA276" s="16" t="s">
        <v>271</v>
      </c>
      <c r="AB276" s="17" t="s">
        <v>3394</v>
      </c>
      <c r="AC276" s="16" t="s">
        <v>71</v>
      </c>
      <c r="AD276" s="17" t="s">
        <v>3394</v>
      </c>
      <c r="AG276" s="16" t="s">
        <v>2655</v>
      </c>
      <c r="AH276" s="16" t="s">
        <v>1572</v>
      </c>
      <c r="AI276" s="16"/>
      <c r="AJ276" s="16"/>
      <c r="AK276" s="16"/>
      <c r="AL276" s="16" t="s">
        <v>3395</v>
      </c>
    </row>
    <row r="277" spans="1:38" x14ac:dyDescent="0.5">
      <c r="A277">
        <v>19241</v>
      </c>
      <c r="B277" s="16" t="s">
        <v>3396</v>
      </c>
      <c r="C277" s="16" t="s">
        <v>3396</v>
      </c>
      <c r="D277" s="16"/>
      <c r="E277" s="16" t="s">
        <v>3397</v>
      </c>
      <c r="F277" s="17" t="s">
        <v>3398</v>
      </c>
      <c r="H277" s="16" t="s">
        <v>3399</v>
      </c>
      <c r="I277" s="16" t="s">
        <v>3400</v>
      </c>
      <c r="J277" s="33">
        <v>40809</v>
      </c>
      <c r="K277" s="33">
        <v>43465</v>
      </c>
      <c r="L277" s="16" t="s">
        <v>66</v>
      </c>
      <c r="M277" s="16" t="s">
        <v>167</v>
      </c>
      <c r="N277" s="16" t="s">
        <v>110</v>
      </c>
      <c r="O277" s="16" t="s">
        <v>280</v>
      </c>
      <c r="P277" s="16" t="s">
        <v>572</v>
      </c>
      <c r="Q277" s="16" t="s">
        <v>71</v>
      </c>
      <c r="R277" s="17" t="s">
        <v>3401</v>
      </c>
      <c r="S277" s="16" t="s">
        <v>113</v>
      </c>
      <c r="T277" s="16" t="s">
        <v>74</v>
      </c>
      <c r="U277" s="16" t="s">
        <v>75</v>
      </c>
      <c r="V277" s="16" t="s">
        <v>3402</v>
      </c>
      <c r="W277" s="16" t="s">
        <v>3403</v>
      </c>
      <c r="X277" s="16" t="s">
        <v>3404</v>
      </c>
      <c r="Y277" s="16" t="s">
        <v>78</v>
      </c>
      <c r="Z277" s="16" t="s">
        <v>117</v>
      </c>
      <c r="AA277" s="16" t="s">
        <v>113</v>
      </c>
      <c r="AB277" s="17" t="s">
        <v>3405</v>
      </c>
      <c r="AC277" s="16" t="s">
        <v>71</v>
      </c>
      <c r="AD277" s="17" t="s">
        <v>3405</v>
      </c>
      <c r="AE277" s="17" t="s">
        <v>3406</v>
      </c>
      <c r="AF277" s="17" t="s">
        <v>3407</v>
      </c>
      <c r="AG277" s="16" t="s">
        <v>2289</v>
      </c>
      <c r="AH277" s="16" t="s">
        <v>2297</v>
      </c>
      <c r="AI277" s="16"/>
      <c r="AJ277" s="16"/>
      <c r="AK277" s="16"/>
      <c r="AL277" s="16" t="s">
        <v>3408</v>
      </c>
    </row>
    <row r="278" spans="1:38" x14ac:dyDescent="0.5">
      <c r="A278">
        <v>19243</v>
      </c>
      <c r="B278" s="16" t="s">
        <v>3409</v>
      </c>
      <c r="C278" s="16" t="s">
        <v>3409</v>
      </c>
      <c r="D278" s="16"/>
      <c r="E278" s="16" t="s">
        <v>3410</v>
      </c>
      <c r="F278" s="17" t="s">
        <v>3411</v>
      </c>
      <c r="H278" s="16" t="s">
        <v>699</v>
      </c>
      <c r="I278" s="16" t="s">
        <v>3412</v>
      </c>
      <c r="J278" s="33">
        <v>43004</v>
      </c>
      <c r="K278" s="33">
        <v>43368</v>
      </c>
      <c r="L278" s="16" t="s">
        <v>66</v>
      </c>
      <c r="M278" s="16" t="s">
        <v>167</v>
      </c>
      <c r="N278" s="16" t="s">
        <v>110</v>
      </c>
      <c r="O278" s="16" t="s">
        <v>280</v>
      </c>
      <c r="P278" s="16" t="s">
        <v>572</v>
      </c>
      <c r="Q278" s="16" t="s">
        <v>71</v>
      </c>
      <c r="R278" s="17" t="s">
        <v>2650</v>
      </c>
      <c r="S278" s="16" t="s">
        <v>113</v>
      </c>
      <c r="T278" s="16" t="s">
        <v>74</v>
      </c>
      <c r="U278" s="16" t="s">
        <v>75</v>
      </c>
      <c r="V278" s="16" t="s">
        <v>2651</v>
      </c>
      <c r="W278" s="16"/>
      <c r="X278" s="16" t="s">
        <v>2652</v>
      </c>
      <c r="Y278" s="16" t="s">
        <v>78</v>
      </c>
      <c r="Z278" s="16" t="s">
        <v>117</v>
      </c>
      <c r="AA278" s="16" t="s">
        <v>113</v>
      </c>
      <c r="AB278" s="17" t="s">
        <v>3413</v>
      </c>
      <c r="AC278" s="16" t="s">
        <v>71</v>
      </c>
      <c r="AD278" s="17" t="s">
        <v>3413</v>
      </c>
      <c r="AG278" s="16" t="s">
        <v>3414</v>
      </c>
      <c r="AH278" s="16" t="s">
        <v>2156</v>
      </c>
      <c r="AI278" s="16"/>
      <c r="AJ278" s="16"/>
      <c r="AK278" s="16"/>
      <c r="AL278" s="16"/>
    </row>
    <row r="279" spans="1:38" x14ac:dyDescent="0.5">
      <c r="A279">
        <v>19271</v>
      </c>
      <c r="B279" s="16" t="s">
        <v>246</v>
      </c>
      <c r="C279" s="16" t="s">
        <v>246</v>
      </c>
      <c r="D279" s="16"/>
      <c r="E279" s="16" t="s">
        <v>3415</v>
      </c>
      <c r="F279" s="17" t="s">
        <v>3416</v>
      </c>
      <c r="H279" s="16" t="s">
        <v>3417</v>
      </c>
      <c r="I279" s="16" t="s">
        <v>3418</v>
      </c>
      <c r="J279" s="33">
        <v>40824</v>
      </c>
      <c r="K279" s="33">
        <v>43465</v>
      </c>
      <c r="L279" s="16" t="s">
        <v>66</v>
      </c>
      <c r="M279" s="16" t="s">
        <v>67</v>
      </c>
      <c r="N279" s="16" t="s">
        <v>68</v>
      </c>
      <c r="O279" s="16" t="s">
        <v>436</v>
      </c>
      <c r="P279" s="16" t="s">
        <v>572</v>
      </c>
      <c r="Q279" s="16" t="s">
        <v>71</v>
      </c>
      <c r="R279" s="17" t="s">
        <v>3419</v>
      </c>
      <c r="S279" s="16" t="s">
        <v>3420</v>
      </c>
      <c r="T279" s="16" t="s">
        <v>74</v>
      </c>
      <c r="U279" s="16" t="s">
        <v>75</v>
      </c>
      <c r="V279" s="16" t="s">
        <v>3421</v>
      </c>
      <c r="W279" s="16"/>
      <c r="X279" s="16" t="s">
        <v>3422</v>
      </c>
      <c r="Y279" s="16" t="s">
        <v>78</v>
      </c>
      <c r="Z279" s="16" t="s">
        <v>883</v>
      </c>
      <c r="AA279" s="16" t="s">
        <v>884</v>
      </c>
      <c r="AB279" s="17" t="s">
        <v>3423</v>
      </c>
      <c r="AC279" s="16" t="s">
        <v>71</v>
      </c>
      <c r="AD279" s="17" t="s">
        <v>3423</v>
      </c>
      <c r="AE279" s="17" t="s">
        <v>3424</v>
      </c>
      <c r="AG279" s="16" t="s">
        <v>2094</v>
      </c>
      <c r="AH279" s="16" t="s">
        <v>3425</v>
      </c>
      <c r="AI279" s="16"/>
      <c r="AJ279" s="16"/>
      <c r="AK279" s="16"/>
      <c r="AL279" s="16" t="s">
        <v>3426</v>
      </c>
    </row>
    <row r="280" spans="1:38" x14ac:dyDescent="0.5">
      <c r="A280">
        <v>19272</v>
      </c>
      <c r="B280" s="16" t="s">
        <v>3427</v>
      </c>
      <c r="C280" s="16" t="s">
        <v>3427</v>
      </c>
      <c r="D280" s="16"/>
      <c r="E280" s="16" t="s">
        <v>3428</v>
      </c>
      <c r="F280" s="17" t="s">
        <v>3429</v>
      </c>
      <c r="H280" s="16" t="s">
        <v>3430</v>
      </c>
      <c r="I280" s="16" t="s">
        <v>3431</v>
      </c>
      <c r="J280" s="33">
        <v>40847</v>
      </c>
      <c r="K280" s="33">
        <v>43465</v>
      </c>
      <c r="L280" s="16" t="s">
        <v>66</v>
      </c>
      <c r="M280" s="16" t="s">
        <v>167</v>
      </c>
      <c r="N280" s="16" t="s">
        <v>110</v>
      </c>
      <c r="O280" s="16" t="s">
        <v>280</v>
      </c>
      <c r="P280" s="16" t="s">
        <v>572</v>
      </c>
      <c r="Q280" s="16" t="s">
        <v>71</v>
      </c>
      <c r="R280" s="17" t="s">
        <v>3432</v>
      </c>
      <c r="S280" s="16" t="s">
        <v>3433</v>
      </c>
      <c r="T280" s="16" t="s">
        <v>74</v>
      </c>
      <c r="U280" s="16" t="s">
        <v>75</v>
      </c>
      <c r="V280" s="16" t="s">
        <v>3434</v>
      </c>
      <c r="W280" s="16"/>
      <c r="X280" s="16" t="s">
        <v>3435</v>
      </c>
      <c r="Y280" s="16" t="s">
        <v>78</v>
      </c>
      <c r="Z280" s="16" t="s">
        <v>242</v>
      </c>
      <c r="AA280" s="16" t="s">
        <v>243</v>
      </c>
      <c r="AB280" s="17" t="s">
        <v>3436</v>
      </c>
      <c r="AC280" s="16" t="s">
        <v>71</v>
      </c>
      <c r="AD280" s="17" t="s">
        <v>3436</v>
      </c>
      <c r="AE280" s="17" t="s">
        <v>3437</v>
      </c>
      <c r="AG280" s="16" t="s">
        <v>2108</v>
      </c>
      <c r="AH280" s="16" t="s">
        <v>653</v>
      </c>
      <c r="AI280" s="16"/>
      <c r="AJ280" s="16"/>
      <c r="AK280" s="16"/>
      <c r="AL280" s="16" t="s">
        <v>3438</v>
      </c>
    </row>
    <row r="281" spans="1:38" x14ac:dyDescent="0.5">
      <c r="A281">
        <v>19280</v>
      </c>
      <c r="B281" s="16" t="s">
        <v>3439</v>
      </c>
      <c r="C281" s="16" t="s">
        <v>3439</v>
      </c>
      <c r="D281" s="16" t="s">
        <v>261</v>
      </c>
      <c r="E281" s="16" t="s">
        <v>3440</v>
      </c>
      <c r="F281" s="17" t="s">
        <v>3441</v>
      </c>
      <c r="G281" s="17" t="s">
        <v>3442</v>
      </c>
      <c r="H281" s="16" t="s">
        <v>3443</v>
      </c>
      <c r="I281" s="16" t="s">
        <v>3444</v>
      </c>
      <c r="J281" s="33">
        <v>40919</v>
      </c>
      <c r="K281" s="33">
        <v>43465</v>
      </c>
      <c r="L281" s="16" t="s">
        <v>66</v>
      </c>
      <c r="M281" s="16" t="s">
        <v>67</v>
      </c>
      <c r="N281" s="16" t="s">
        <v>68</v>
      </c>
      <c r="O281" s="16" t="s">
        <v>436</v>
      </c>
      <c r="P281" s="16" t="s">
        <v>572</v>
      </c>
      <c r="Q281" s="16" t="s">
        <v>71</v>
      </c>
      <c r="R281" s="17" t="s">
        <v>3445</v>
      </c>
      <c r="S281" s="16" t="s">
        <v>3446</v>
      </c>
      <c r="T281" s="16" t="s">
        <v>74</v>
      </c>
      <c r="U281" s="16" t="s">
        <v>75</v>
      </c>
      <c r="V281" s="16" t="s">
        <v>3447</v>
      </c>
      <c r="W281" s="16"/>
      <c r="X281" s="16" t="s">
        <v>3448</v>
      </c>
      <c r="Y281" s="16" t="s">
        <v>78</v>
      </c>
      <c r="Z281" s="16" t="s">
        <v>963</v>
      </c>
      <c r="AA281" s="16" t="s">
        <v>964</v>
      </c>
      <c r="AB281" s="17" t="s">
        <v>3449</v>
      </c>
      <c r="AC281" s="16" t="s">
        <v>71</v>
      </c>
      <c r="AD281" s="17" t="s">
        <v>3449</v>
      </c>
      <c r="AE281" s="17" t="s">
        <v>3450</v>
      </c>
      <c r="AG281" s="16" t="s">
        <v>3373</v>
      </c>
      <c r="AH281" s="16" t="s">
        <v>1233</v>
      </c>
      <c r="AI281" s="16"/>
      <c r="AJ281" s="16"/>
      <c r="AK281" s="16"/>
      <c r="AL281" s="16" t="s">
        <v>3451</v>
      </c>
    </row>
    <row r="282" spans="1:38" x14ac:dyDescent="0.5">
      <c r="A282">
        <v>19281</v>
      </c>
      <c r="B282" s="16" t="s">
        <v>1430</v>
      </c>
      <c r="C282" s="16" t="s">
        <v>1430</v>
      </c>
      <c r="D282" s="16" t="s">
        <v>288</v>
      </c>
      <c r="E282" s="16" t="s">
        <v>3452</v>
      </c>
      <c r="F282" s="17" t="s">
        <v>3453</v>
      </c>
      <c r="H282" s="16" t="s">
        <v>3454</v>
      </c>
      <c r="I282" s="16" t="s">
        <v>3455</v>
      </c>
      <c r="J282" s="33">
        <v>40917</v>
      </c>
      <c r="K282" s="33">
        <v>43465</v>
      </c>
      <c r="L282" s="16" t="s">
        <v>66</v>
      </c>
      <c r="M282" s="16" t="s">
        <v>67</v>
      </c>
      <c r="N282" s="16" t="s">
        <v>68</v>
      </c>
      <c r="O282" s="16" t="s">
        <v>436</v>
      </c>
      <c r="P282" s="16" t="s">
        <v>572</v>
      </c>
      <c r="Q282" s="16" t="s">
        <v>71</v>
      </c>
      <c r="R282" s="17" t="s">
        <v>3456</v>
      </c>
      <c r="S282" s="16" t="s">
        <v>3457</v>
      </c>
      <c r="T282" s="16" t="s">
        <v>74</v>
      </c>
      <c r="U282" s="16" t="s">
        <v>75</v>
      </c>
      <c r="V282" s="16" t="s">
        <v>3458</v>
      </c>
      <c r="W282" s="16"/>
      <c r="X282" s="16" t="s">
        <v>3459</v>
      </c>
      <c r="Y282" s="16" t="s">
        <v>78</v>
      </c>
      <c r="Z282" s="16" t="s">
        <v>1228</v>
      </c>
      <c r="AA282" s="16" t="s">
        <v>1229</v>
      </c>
      <c r="AB282" s="17" t="s">
        <v>3460</v>
      </c>
      <c r="AC282" s="16" t="s">
        <v>71</v>
      </c>
      <c r="AD282" s="17" t="s">
        <v>3460</v>
      </c>
      <c r="AG282" s="16" t="s">
        <v>3461</v>
      </c>
      <c r="AH282" s="16" t="s">
        <v>2747</v>
      </c>
      <c r="AI282" s="16"/>
      <c r="AJ282" s="16"/>
      <c r="AK282" s="16"/>
      <c r="AL282" s="16" t="s">
        <v>3462</v>
      </c>
    </row>
    <row r="283" spans="1:38" x14ac:dyDescent="0.5">
      <c r="A283">
        <v>19282</v>
      </c>
      <c r="B283" s="16" t="s">
        <v>3463</v>
      </c>
      <c r="C283" s="16" t="s">
        <v>3463</v>
      </c>
      <c r="D283" s="16"/>
      <c r="E283" s="16" t="s">
        <v>3464</v>
      </c>
      <c r="F283" s="17" t="s">
        <v>3465</v>
      </c>
      <c r="H283" s="16" t="s">
        <v>3466</v>
      </c>
      <c r="I283" s="16" t="s">
        <v>3467</v>
      </c>
      <c r="J283" s="33">
        <v>42832</v>
      </c>
      <c r="K283" s="33">
        <v>43465</v>
      </c>
      <c r="L283" s="16" t="s">
        <v>66</v>
      </c>
      <c r="M283" s="16" t="s">
        <v>67</v>
      </c>
      <c r="N283" s="16" t="s">
        <v>68</v>
      </c>
      <c r="O283" s="16" t="s">
        <v>436</v>
      </c>
      <c r="P283" s="16" t="s">
        <v>572</v>
      </c>
      <c r="Q283" s="16" t="s">
        <v>71</v>
      </c>
      <c r="R283" s="17" t="s">
        <v>3468</v>
      </c>
      <c r="S283" s="16" t="s">
        <v>3469</v>
      </c>
      <c r="T283" s="16" t="s">
        <v>3470</v>
      </c>
      <c r="U283" s="16" t="s">
        <v>3471</v>
      </c>
      <c r="V283" s="16" t="s">
        <v>3472</v>
      </c>
      <c r="W283" s="16"/>
      <c r="X283" s="16" t="s">
        <v>3473</v>
      </c>
      <c r="Y283" s="16" t="s">
        <v>744</v>
      </c>
      <c r="Z283" s="16"/>
      <c r="AA283" s="16"/>
      <c r="AB283" s="17" t="s">
        <v>3474</v>
      </c>
      <c r="AC283" s="16" t="s">
        <v>71</v>
      </c>
      <c r="AD283" s="17" t="s">
        <v>3474</v>
      </c>
      <c r="AE283" s="17" t="s">
        <v>3475</v>
      </c>
      <c r="AF283" s="17" t="s">
        <v>3476</v>
      </c>
      <c r="AG283" s="16" t="s">
        <v>579</v>
      </c>
      <c r="AH283" s="16" t="s">
        <v>2632</v>
      </c>
      <c r="AI283" s="16"/>
      <c r="AJ283" s="16"/>
      <c r="AK283" s="16"/>
      <c r="AL283" s="16" t="s">
        <v>3477</v>
      </c>
    </row>
    <row r="284" spans="1:38" x14ac:dyDescent="0.5">
      <c r="A284">
        <v>19317</v>
      </c>
      <c r="B284" s="16" t="s">
        <v>3478</v>
      </c>
      <c r="C284" s="16" t="s">
        <v>3478</v>
      </c>
      <c r="D284" s="16" t="s">
        <v>3479</v>
      </c>
      <c r="E284" s="16" t="s">
        <v>3480</v>
      </c>
      <c r="F284" s="17" t="s">
        <v>3481</v>
      </c>
      <c r="G284" s="17" t="s">
        <v>3482</v>
      </c>
      <c r="H284" s="16" t="s">
        <v>3483</v>
      </c>
      <c r="I284" s="16" t="s">
        <v>3484</v>
      </c>
      <c r="J284" s="33">
        <v>42951</v>
      </c>
      <c r="K284" s="33">
        <v>43681</v>
      </c>
      <c r="L284" s="16" t="s">
        <v>66</v>
      </c>
      <c r="M284" s="16" t="s">
        <v>235</v>
      </c>
      <c r="N284" s="16" t="s">
        <v>236</v>
      </c>
      <c r="O284" s="16" t="s">
        <v>237</v>
      </c>
      <c r="P284" s="16" t="s">
        <v>572</v>
      </c>
      <c r="Q284" s="16" t="s">
        <v>71</v>
      </c>
      <c r="R284" s="17" t="s">
        <v>3485</v>
      </c>
      <c r="S284" s="16" t="s">
        <v>3486</v>
      </c>
      <c r="T284" s="16" t="s">
        <v>2137</v>
      </c>
      <c r="U284" s="16" t="s">
        <v>2138</v>
      </c>
      <c r="V284" s="16" t="s">
        <v>3487</v>
      </c>
      <c r="W284" s="16"/>
      <c r="X284" s="16" t="s">
        <v>3488</v>
      </c>
      <c r="Y284" s="16" t="s">
        <v>744</v>
      </c>
      <c r="Z284" s="16"/>
      <c r="AA284" s="16"/>
      <c r="AB284" s="17" t="s">
        <v>3489</v>
      </c>
      <c r="AC284" s="16" t="s">
        <v>966</v>
      </c>
      <c r="AF284" s="17" t="s">
        <v>3489</v>
      </c>
      <c r="AG284" s="16" t="s">
        <v>2297</v>
      </c>
      <c r="AH284" s="16" t="s">
        <v>579</v>
      </c>
      <c r="AI284" s="16"/>
      <c r="AJ284" s="16"/>
      <c r="AK284" s="16"/>
      <c r="AL284" s="16"/>
    </row>
    <row r="285" spans="1:38" x14ac:dyDescent="0.5">
      <c r="A285">
        <v>19324</v>
      </c>
      <c r="B285" s="16" t="s">
        <v>3490</v>
      </c>
      <c r="C285" s="16" t="s">
        <v>944</v>
      </c>
      <c r="D285" s="16"/>
      <c r="E285" s="16" t="s">
        <v>3491</v>
      </c>
      <c r="F285" s="17" t="s">
        <v>3492</v>
      </c>
      <c r="G285" s="17" t="s">
        <v>3493</v>
      </c>
      <c r="H285" s="16" t="s">
        <v>3183</v>
      </c>
      <c r="I285" s="16" t="s">
        <v>3494</v>
      </c>
      <c r="J285" s="33">
        <v>42411</v>
      </c>
      <c r="K285" s="33">
        <v>43465</v>
      </c>
      <c r="L285" s="16" t="s">
        <v>66</v>
      </c>
      <c r="M285" s="16" t="s">
        <v>67</v>
      </c>
      <c r="N285" s="16" t="s">
        <v>68</v>
      </c>
      <c r="O285" s="16" t="s">
        <v>436</v>
      </c>
      <c r="P285" s="16" t="s">
        <v>572</v>
      </c>
      <c r="Q285" s="16" t="s">
        <v>71</v>
      </c>
      <c r="R285" s="17" t="s">
        <v>3495</v>
      </c>
      <c r="S285" s="16" t="s">
        <v>1084</v>
      </c>
      <c r="T285" s="16" t="s">
        <v>74</v>
      </c>
      <c r="U285" s="16" t="s">
        <v>75</v>
      </c>
      <c r="V285" s="16" t="s">
        <v>3496</v>
      </c>
      <c r="W285" s="16"/>
      <c r="X285" s="16" t="s">
        <v>3497</v>
      </c>
      <c r="Y285" s="16" t="s">
        <v>78</v>
      </c>
      <c r="Z285" s="16" t="s">
        <v>635</v>
      </c>
      <c r="AA285" s="16" t="s">
        <v>636</v>
      </c>
      <c r="AB285" s="17" t="s">
        <v>3498</v>
      </c>
      <c r="AC285" s="16" t="s">
        <v>71</v>
      </c>
      <c r="AD285" s="17" t="s">
        <v>3498</v>
      </c>
      <c r="AE285" s="17" t="s">
        <v>3499</v>
      </c>
      <c r="AF285" s="17" t="s">
        <v>3500</v>
      </c>
      <c r="AG285" s="16" t="s">
        <v>3136</v>
      </c>
      <c r="AH285" s="16" t="s">
        <v>1076</v>
      </c>
      <c r="AI285" s="16"/>
      <c r="AJ285" s="16"/>
      <c r="AK285" s="16"/>
      <c r="AL285" s="16" t="s">
        <v>3501</v>
      </c>
    </row>
    <row r="286" spans="1:38" x14ac:dyDescent="0.5">
      <c r="A286">
        <v>19327</v>
      </c>
      <c r="B286" s="16" t="s">
        <v>314</v>
      </c>
      <c r="C286" s="16" t="s">
        <v>314</v>
      </c>
      <c r="D286" s="16" t="s">
        <v>288</v>
      </c>
      <c r="E286" s="16" t="s">
        <v>3502</v>
      </c>
      <c r="F286" s="17" t="s">
        <v>3503</v>
      </c>
      <c r="G286" s="17" t="s">
        <v>3504</v>
      </c>
      <c r="H286" s="16" t="s">
        <v>3356</v>
      </c>
      <c r="I286" s="16" t="s">
        <v>3505</v>
      </c>
      <c r="J286" s="33">
        <v>41141</v>
      </c>
      <c r="K286" s="33">
        <v>43465</v>
      </c>
      <c r="L286" s="16" t="s">
        <v>66</v>
      </c>
      <c r="M286" s="16" t="s">
        <v>67</v>
      </c>
      <c r="N286" s="16" t="s">
        <v>68</v>
      </c>
      <c r="O286" s="16" t="s">
        <v>436</v>
      </c>
      <c r="P286" s="16" t="s">
        <v>572</v>
      </c>
      <c r="Q286" s="16" t="s">
        <v>71</v>
      </c>
      <c r="R286" s="17" t="s">
        <v>3506</v>
      </c>
      <c r="S286" s="16" t="s">
        <v>752</v>
      </c>
      <c r="T286" s="16" t="s">
        <v>74</v>
      </c>
      <c r="U286" s="16" t="s">
        <v>75</v>
      </c>
      <c r="V286" s="16" t="s">
        <v>3507</v>
      </c>
      <c r="W286" s="16"/>
      <c r="X286" s="16" t="s">
        <v>3508</v>
      </c>
      <c r="Y286" s="16" t="s">
        <v>78</v>
      </c>
      <c r="Z286" s="16" t="s">
        <v>132</v>
      </c>
      <c r="AA286" s="16" t="s">
        <v>133</v>
      </c>
      <c r="AB286" s="17" t="s">
        <v>3509</v>
      </c>
      <c r="AC286" s="16" t="s">
        <v>71</v>
      </c>
      <c r="AD286" s="17" t="s">
        <v>3509</v>
      </c>
      <c r="AE286" s="17" t="s">
        <v>3510</v>
      </c>
      <c r="AF286" s="17" t="s">
        <v>3510</v>
      </c>
      <c r="AG286" s="16" t="s">
        <v>1017</v>
      </c>
      <c r="AH286" s="16" t="s">
        <v>3136</v>
      </c>
      <c r="AI286" s="16" t="s">
        <v>1030</v>
      </c>
      <c r="AJ286" s="16"/>
      <c r="AK286" s="16"/>
      <c r="AL286" s="16" t="s">
        <v>3511</v>
      </c>
    </row>
    <row r="287" spans="1:38" x14ac:dyDescent="0.5">
      <c r="A287">
        <v>19345</v>
      </c>
      <c r="B287" s="16" t="s">
        <v>1219</v>
      </c>
      <c r="C287" s="16" t="s">
        <v>1219</v>
      </c>
      <c r="D287" s="16"/>
      <c r="E287" s="16" t="s">
        <v>3512</v>
      </c>
      <c r="F287" s="17" t="s">
        <v>3513</v>
      </c>
      <c r="H287" s="16" t="s">
        <v>1976</v>
      </c>
      <c r="I287" s="16" t="s">
        <v>3514</v>
      </c>
      <c r="J287" s="33">
        <v>41003</v>
      </c>
      <c r="K287" s="33">
        <v>43465</v>
      </c>
      <c r="L287" s="16" t="s">
        <v>66</v>
      </c>
      <c r="M287" s="16" t="s">
        <v>67</v>
      </c>
      <c r="N287" s="16" t="s">
        <v>68</v>
      </c>
      <c r="O287" s="16" t="s">
        <v>436</v>
      </c>
      <c r="P287" s="16" t="s">
        <v>572</v>
      </c>
      <c r="Q287" s="16" t="s">
        <v>71</v>
      </c>
      <c r="R287" s="17" t="s">
        <v>3515</v>
      </c>
      <c r="S287" s="16" t="s">
        <v>3516</v>
      </c>
      <c r="T287" s="16" t="s">
        <v>74</v>
      </c>
      <c r="U287" s="16" t="s">
        <v>75</v>
      </c>
      <c r="V287" s="16" t="s">
        <v>3517</v>
      </c>
      <c r="W287" s="16"/>
      <c r="X287" s="16" t="s">
        <v>3518</v>
      </c>
      <c r="Y287" s="16" t="s">
        <v>78</v>
      </c>
      <c r="Z287" s="16" t="s">
        <v>242</v>
      </c>
      <c r="AA287" s="16" t="s">
        <v>243</v>
      </c>
      <c r="AB287" s="17" t="s">
        <v>3519</v>
      </c>
      <c r="AC287" s="16" t="s">
        <v>71</v>
      </c>
      <c r="AD287" s="17" t="s">
        <v>3519</v>
      </c>
      <c r="AG287" s="16" t="s">
        <v>3520</v>
      </c>
      <c r="AH287" s="16" t="s">
        <v>1216</v>
      </c>
      <c r="AI287" s="16"/>
      <c r="AJ287" s="16"/>
      <c r="AK287" s="16"/>
      <c r="AL287" s="16" t="s">
        <v>3521</v>
      </c>
    </row>
    <row r="288" spans="1:38" x14ac:dyDescent="0.5">
      <c r="A288">
        <v>19351</v>
      </c>
      <c r="B288" s="16" t="s">
        <v>2311</v>
      </c>
      <c r="C288" s="16" t="s">
        <v>2311</v>
      </c>
      <c r="D288" s="16"/>
      <c r="E288" s="16" t="s">
        <v>3522</v>
      </c>
      <c r="F288" s="17" t="s">
        <v>3523</v>
      </c>
      <c r="H288" s="16" t="s">
        <v>3524</v>
      </c>
      <c r="I288" s="16" t="s">
        <v>3525</v>
      </c>
      <c r="J288" s="33">
        <v>42612</v>
      </c>
      <c r="K288" s="33">
        <v>43465</v>
      </c>
      <c r="L288" s="16" t="s">
        <v>66</v>
      </c>
      <c r="M288" s="16" t="s">
        <v>167</v>
      </c>
      <c r="N288" s="16" t="s">
        <v>110</v>
      </c>
      <c r="O288" s="16" t="s">
        <v>280</v>
      </c>
      <c r="P288" s="16" t="s">
        <v>572</v>
      </c>
      <c r="Q288" s="16" t="s">
        <v>71</v>
      </c>
      <c r="R288" s="17" t="s">
        <v>3526</v>
      </c>
      <c r="S288" s="16" t="s">
        <v>752</v>
      </c>
      <c r="T288" s="16" t="s">
        <v>74</v>
      </c>
      <c r="U288" s="16" t="s">
        <v>75</v>
      </c>
      <c r="V288" s="16" t="s">
        <v>3527</v>
      </c>
      <c r="W288" s="16"/>
      <c r="X288" s="16" t="s">
        <v>3528</v>
      </c>
      <c r="Y288" s="16" t="s">
        <v>78</v>
      </c>
      <c r="Z288" s="16" t="s">
        <v>132</v>
      </c>
      <c r="AA288" s="16" t="s">
        <v>133</v>
      </c>
      <c r="AB288" s="17" t="s">
        <v>3529</v>
      </c>
      <c r="AC288" s="16" t="s">
        <v>71</v>
      </c>
      <c r="AD288" s="17" t="s">
        <v>3529</v>
      </c>
      <c r="AG288" s="16" t="s">
        <v>3530</v>
      </c>
      <c r="AH288" s="16" t="s">
        <v>3531</v>
      </c>
      <c r="AI288" s="16"/>
      <c r="AJ288" s="16"/>
      <c r="AK288" s="16"/>
      <c r="AL288" s="16"/>
    </row>
    <row r="289" spans="1:38" x14ac:dyDescent="0.5">
      <c r="A289">
        <v>19375</v>
      </c>
      <c r="B289" s="16" t="s">
        <v>84</v>
      </c>
      <c r="C289" s="16" t="s">
        <v>84</v>
      </c>
      <c r="D289" s="16"/>
      <c r="E289" s="16" t="s">
        <v>3532</v>
      </c>
      <c r="F289" s="17" t="s">
        <v>3533</v>
      </c>
      <c r="G289" s="17" t="s">
        <v>3534</v>
      </c>
      <c r="H289" s="16" t="s">
        <v>456</v>
      </c>
      <c r="I289" s="16" t="s">
        <v>3535</v>
      </c>
      <c r="J289" s="33">
        <v>42857</v>
      </c>
      <c r="K289" s="33">
        <v>43465</v>
      </c>
      <c r="L289" s="16" t="s">
        <v>66</v>
      </c>
      <c r="M289" s="16" t="s">
        <v>67</v>
      </c>
      <c r="N289" s="16" t="s">
        <v>68</v>
      </c>
      <c r="O289" s="16" t="s">
        <v>436</v>
      </c>
      <c r="P289" s="16" t="s">
        <v>572</v>
      </c>
      <c r="Q289" s="16" t="s">
        <v>71</v>
      </c>
      <c r="R289" s="17" t="s">
        <v>3536</v>
      </c>
      <c r="S289" s="16" t="s">
        <v>3537</v>
      </c>
      <c r="T289" s="16" t="s">
        <v>74</v>
      </c>
      <c r="U289" s="16" t="s">
        <v>75</v>
      </c>
      <c r="V289" s="16" t="s">
        <v>3538</v>
      </c>
      <c r="W289" s="16"/>
      <c r="X289" s="16" t="s">
        <v>3539</v>
      </c>
      <c r="Y289" s="16" t="s">
        <v>78</v>
      </c>
      <c r="Z289" s="16" t="s">
        <v>242</v>
      </c>
      <c r="AA289" s="16" t="s">
        <v>243</v>
      </c>
      <c r="AB289" s="17" t="s">
        <v>8603</v>
      </c>
      <c r="AC289" s="16" t="s">
        <v>71</v>
      </c>
      <c r="AD289" s="17" t="s">
        <v>8603</v>
      </c>
      <c r="AG289" s="16" t="s">
        <v>3540</v>
      </c>
      <c r="AH289" s="16" t="s">
        <v>3541</v>
      </c>
      <c r="AI289" s="16" t="s">
        <v>3542</v>
      </c>
      <c r="AJ289" s="16"/>
      <c r="AK289" s="16"/>
      <c r="AL289" s="16"/>
    </row>
    <row r="290" spans="1:38" x14ac:dyDescent="0.5">
      <c r="A290">
        <v>19437</v>
      </c>
      <c r="B290" s="16" t="s">
        <v>3004</v>
      </c>
      <c r="C290" s="16" t="s">
        <v>3004</v>
      </c>
      <c r="D290" s="16"/>
      <c r="E290" s="16" t="s">
        <v>3543</v>
      </c>
      <c r="F290" s="17" t="s">
        <v>3544</v>
      </c>
      <c r="H290" s="16" t="s">
        <v>3545</v>
      </c>
      <c r="I290" s="16" t="s">
        <v>3546</v>
      </c>
      <c r="J290" s="33">
        <v>42969</v>
      </c>
      <c r="K290" s="33">
        <v>43333</v>
      </c>
      <c r="L290" s="16" t="s">
        <v>66</v>
      </c>
      <c r="M290" s="16" t="s">
        <v>90</v>
      </c>
      <c r="N290" s="16" t="s">
        <v>91</v>
      </c>
      <c r="O290" s="16" t="s">
        <v>91</v>
      </c>
      <c r="P290" s="16" t="s">
        <v>572</v>
      </c>
      <c r="Q290" s="16" t="s">
        <v>71</v>
      </c>
      <c r="R290" s="17" t="s">
        <v>3547</v>
      </c>
      <c r="S290" s="16" t="s">
        <v>3548</v>
      </c>
      <c r="T290" s="16" t="s">
        <v>74</v>
      </c>
      <c r="U290" s="16" t="s">
        <v>75</v>
      </c>
      <c r="V290" s="16" t="s">
        <v>3549</v>
      </c>
      <c r="W290" s="16"/>
      <c r="X290" s="16" t="s">
        <v>3550</v>
      </c>
      <c r="Y290" s="16" t="s">
        <v>78</v>
      </c>
      <c r="Z290" s="16" t="s">
        <v>963</v>
      </c>
      <c r="AA290" s="16" t="s">
        <v>964</v>
      </c>
      <c r="AB290" s="17" t="s">
        <v>3551</v>
      </c>
      <c r="AC290" s="16" t="s">
        <v>71</v>
      </c>
      <c r="AD290" s="17" t="s">
        <v>3551</v>
      </c>
      <c r="AG290" s="16" t="s">
        <v>1357</v>
      </c>
      <c r="AH290" s="16" t="s">
        <v>1637</v>
      </c>
      <c r="AI290" s="16"/>
      <c r="AJ290" s="16"/>
      <c r="AK290" s="16"/>
      <c r="AL290" s="16" t="s">
        <v>3552</v>
      </c>
    </row>
    <row r="291" spans="1:38" x14ac:dyDescent="0.5">
      <c r="A291">
        <v>19466</v>
      </c>
      <c r="B291" s="16" t="s">
        <v>747</v>
      </c>
      <c r="C291" s="16" t="s">
        <v>747</v>
      </c>
      <c r="D291" s="16" t="s">
        <v>288</v>
      </c>
      <c r="E291" s="16" t="s">
        <v>3553</v>
      </c>
      <c r="F291" s="17" t="s">
        <v>3554</v>
      </c>
      <c r="H291" s="16" t="s">
        <v>3555</v>
      </c>
      <c r="I291" s="16" t="s">
        <v>3556</v>
      </c>
      <c r="J291" s="33">
        <v>41036</v>
      </c>
      <c r="K291" s="33">
        <v>43465</v>
      </c>
      <c r="L291" s="16" t="s">
        <v>66</v>
      </c>
      <c r="M291" s="16" t="s">
        <v>67</v>
      </c>
      <c r="N291" s="16" t="s">
        <v>68</v>
      </c>
      <c r="O291" s="16" t="s">
        <v>436</v>
      </c>
      <c r="P291" s="16" t="s">
        <v>572</v>
      </c>
      <c r="Q291" s="16" t="s">
        <v>71</v>
      </c>
      <c r="R291" s="17" t="s">
        <v>3557</v>
      </c>
      <c r="S291" s="16" t="s">
        <v>2918</v>
      </c>
      <c r="T291" s="16" t="s">
        <v>74</v>
      </c>
      <c r="U291" s="16" t="s">
        <v>75</v>
      </c>
      <c r="V291" s="16" t="s">
        <v>3558</v>
      </c>
      <c r="W291" s="16"/>
      <c r="X291" s="16" t="s">
        <v>2920</v>
      </c>
      <c r="Y291" s="16" t="s">
        <v>78</v>
      </c>
      <c r="Z291" s="16" t="s">
        <v>242</v>
      </c>
      <c r="AA291" s="16" t="s">
        <v>243</v>
      </c>
      <c r="AB291" s="17" t="s">
        <v>3559</v>
      </c>
      <c r="AC291" s="16" t="s">
        <v>71</v>
      </c>
      <c r="AD291" s="17" t="s">
        <v>3559</v>
      </c>
      <c r="AE291" s="17" t="s">
        <v>3560</v>
      </c>
      <c r="AG291" s="16" t="s">
        <v>2290</v>
      </c>
      <c r="AH291" s="16" t="s">
        <v>579</v>
      </c>
      <c r="AI291" s="16"/>
      <c r="AJ291" s="16"/>
      <c r="AK291" s="16"/>
      <c r="AL291" s="16" t="s">
        <v>3561</v>
      </c>
    </row>
    <row r="292" spans="1:38" x14ac:dyDescent="0.5">
      <c r="A292">
        <v>19467</v>
      </c>
      <c r="B292" s="16" t="s">
        <v>2382</v>
      </c>
      <c r="C292" s="16" t="s">
        <v>2382</v>
      </c>
      <c r="D292" s="16"/>
      <c r="E292" s="16" t="s">
        <v>3562</v>
      </c>
      <c r="F292" s="17" t="s">
        <v>3563</v>
      </c>
      <c r="H292" s="16" t="s">
        <v>3564</v>
      </c>
      <c r="I292" s="16" t="s">
        <v>3565</v>
      </c>
      <c r="J292" s="33">
        <v>41040</v>
      </c>
      <c r="K292" s="33">
        <v>43465</v>
      </c>
      <c r="L292" s="16" t="s">
        <v>66</v>
      </c>
      <c r="M292" s="16" t="s">
        <v>67</v>
      </c>
      <c r="N292" s="16" t="s">
        <v>68</v>
      </c>
      <c r="O292" s="16" t="s">
        <v>436</v>
      </c>
      <c r="P292" s="16" t="s">
        <v>572</v>
      </c>
      <c r="Q292" s="16" t="s">
        <v>71</v>
      </c>
      <c r="R292" s="17" t="s">
        <v>3566</v>
      </c>
      <c r="S292" s="16" t="s">
        <v>113</v>
      </c>
      <c r="T292" s="16" t="s">
        <v>74</v>
      </c>
      <c r="U292" s="16" t="s">
        <v>75</v>
      </c>
      <c r="V292" s="16" t="s">
        <v>3567</v>
      </c>
      <c r="W292" s="16" t="s">
        <v>3568</v>
      </c>
      <c r="X292" s="16" t="s">
        <v>2286</v>
      </c>
      <c r="Y292" s="16" t="s">
        <v>78</v>
      </c>
      <c r="Z292" s="16" t="s">
        <v>117</v>
      </c>
      <c r="AA292" s="16" t="s">
        <v>113</v>
      </c>
      <c r="AB292" s="17" t="s">
        <v>3569</v>
      </c>
      <c r="AC292" s="16" t="s">
        <v>71</v>
      </c>
      <c r="AD292" s="17" t="s">
        <v>3569</v>
      </c>
      <c r="AG292" s="16" t="s">
        <v>2083</v>
      </c>
      <c r="AH292" s="16" t="s">
        <v>3570</v>
      </c>
      <c r="AI292" s="16"/>
      <c r="AJ292" s="16"/>
      <c r="AK292" s="16"/>
      <c r="AL292" s="16" t="s">
        <v>3571</v>
      </c>
    </row>
    <row r="293" spans="1:38" x14ac:dyDescent="0.5">
      <c r="A293">
        <v>19487</v>
      </c>
      <c r="B293" s="16" t="s">
        <v>1078</v>
      </c>
      <c r="C293" s="16" t="s">
        <v>276</v>
      </c>
      <c r="D293" s="16" t="s">
        <v>261</v>
      </c>
      <c r="E293" s="16" t="s">
        <v>3572</v>
      </c>
      <c r="F293" s="17" t="s">
        <v>3573</v>
      </c>
      <c r="H293" s="16" t="s">
        <v>2774</v>
      </c>
      <c r="I293" s="16" t="s">
        <v>3574</v>
      </c>
      <c r="J293" s="33">
        <v>41127</v>
      </c>
      <c r="K293" s="33">
        <v>43465</v>
      </c>
      <c r="L293" s="16" t="s">
        <v>66</v>
      </c>
      <c r="M293" s="16" t="s">
        <v>67</v>
      </c>
      <c r="N293" s="16" t="s">
        <v>68</v>
      </c>
      <c r="O293" s="16" t="s">
        <v>436</v>
      </c>
      <c r="P293" s="16" t="s">
        <v>572</v>
      </c>
      <c r="Q293" s="16" t="s">
        <v>71</v>
      </c>
      <c r="R293" s="17" t="s">
        <v>3575</v>
      </c>
      <c r="S293" s="16" t="s">
        <v>974</v>
      </c>
      <c r="T293" s="16" t="s">
        <v>74</v>
      </c>
      <c r="U293" s="16" t="s">
        <v>75</v>
      </c>
      <c r="V293" s="16" t="s">
        <v>3576</v>
      </c>
      <c r="W293" s="16"/>
      <c r="X293" s="16" t="s">
        <v>3577</v>
      </c>
      <c r="Y293" s="16" t="s">
        <v>78</v>
      </c>
      <c r="Z293" s="16" t="s">
        <v>79</v>
      </c>
      <c r="AA293" s="16" t="s">
        <v>80</v>
      </c>
      <c r="AB293" s="17" t="s">
        <v>3578</v>
      </c>
      <c r="AC293" s="16" t="s">
        <v>71</v>
      </c>
      <c r="AD293" s="17" t="s">
        <v>3578</v>
      </c>
      <c r="AG293" s="16" t="s">
        <v>1488</v>
      </c>
      <c r="AH293" s="16" t="s">
        <v>579</v>
      </c>
      <c r="AI293" s="16"/>
      <c r="AJ293" s="16"/>
      <c r="AK293" s="16"/>
      <c r="AL293" s="16" t="s">
        <v>3579</v>
      </c>
    </row>
    <row r="294" spans="1:38" x14ac:dyDescent="0.5">
      <c r="A294">
        <v>19509</v>
      </c>
      <c r="B294" s="16" t="s">
        <v>2646</v>
      </c>
      <c r="C294" s="16" t="s">
        <v>2646</v>
      </c>
      <c r="D294" s="16" t="s">
        <v>3580</v>
      </c>
      <c r="E294" s="16" t="s">
        <v>3581</v>
      </c>
      <c r="F294" s="17" t="s">
        <v>3582</v>
      </c>
      <c r="H294" s="16" t="s">
        <v>456</v>
      </c>
      <c r="I294" s="16" t="s">
        <v>3583</v>
      </c>
      <c r="J294" s="33">
        <v>41095</v>
      </c>
      <c r="K294" s="33">
        <v>43465</v>
      </c>
      <c r="L294" s="16" t="s">
        <v>66</v>
      </c>
      <c r="M294" s="16" t="s">
        <v>67</v>
      </c>
      <c r="N294" s="16" t="s">
        <v>68</v>
      </c>
      <c r="O294" s="16" t="s">
        <v>436</v>
      </c>
      <c r="P294" s="16" t="s">
        <v>572</v>
      </c>
      <c r="Q294" s="16" t="s">
        <v>71</v>
      </c>
      <c r="R294" s="17" t="s">
        <v>3584</v>
      </c>
      <c r="S294" s="16" t="s">
        <v>3585</v>
      </c>
      <c r="T294" s="16" t="s">
        <v>74</v>
      </c>
      <c r="U294" s="16" t="s">
        <v>75</v>
      </c>
      <c r="V294" s="16" t="s">
        <v>3586</v>
      </c>
      <c r="W294" s="16"/>
      <c r="X294" s="16" t="s">
        <v>3587</v>
      </c>
      <c r="Y294" s="16" t="s">
        <v>78</v>
      </c>
      <c r="Z294" s="16" t="s">
        <v>2165</v>
      </c>
      <c r="AA294" s="16" t="s">
        <v>2166</v>
      </c>
      <c r="AB294" s="17" t="s">
        <v>3588</v>
      </c>
      <c r="AC294" s="16" t="s">
        <v>71</v>
      </c>
      <c r="AD294" s="17" t="s">
        <v>3588</v>
      </c>
      <c r="AE294" s="17" t="s">
        <v>3589</v>
      </c>
      <c r="AF294" s="17" t="s">
        <v>3590</v>
      </c>
      <c r="AG294" s="16" t="s">
        <v>2552</v>
      </c>
      <c r="AH294" s="16" t="s">
        <v>579</v>
      </c>
      <c r="AI294" s="16"/>
      <c r="AJ294" s="16"/>
      <c r="AK294" s="16"/>
      <c r="AL294" s="16" t="s">
        <v>3591</v>
      </c>
    </row>
    <row r="295" spans="1:38" x14ac:dyDescent="0.5">
      <c r="A295">
        <v>19511</v>
      </c>
      <c r="B295" s="16" t="s">
        <v>3592</v>
      </c>
      <c r="C295" s="16" t="s">
        <v>3592</v>
      </c>
      <c r="D295" s="16"/>
      <c r="E295" s="16" t="s">
        <v>3593</v>
      </c>
      <c r="F295" s="17" t="s">
        <v>3594</v>
      </c>
      <c r="H295" s="16" t="s">
        <v>2622</v>
      </c>
      <c r="I295" s="16" t="s">
        <v>3595</v>
      </c>
      <c r="J295" s="33">
        <v>41114</v>
      </c>
      <c r="K295" s="33">
        <v>43465</v>
      </c>
      <c r="L295" s="16" t="s">
        <v>66</v>
      </c>
      <c r="M295" s="16" t="s">
        <v>67</v>
      </c>
      <c r="N295" s="16" t="s">
        <v>68</v>
      </c>
      <c r="O295" s="16" t="s">
        <v>436</v>
      </c>
      <c r="P295" s="16" t="s">
        <v>572</v>
      </c>
      <c r="Q295" s="16" t="s">
        <v>71</v>
      </c>
      <c r="R295" s="17" t="s">
        <v>3596</v>
      </c>
      <c r="S295" s="16" t="s">
        <v>3597</v>
      </c>
      <c r="T295" s="16" t="s">
        <v>1411</v>
      </c>
      <c r="U295" s="16" t="s">
        <v>1412</v>
      </c>
      <c r="V295" s="16" t="s">
        <v>3598</v>
      </c>
      <c r="W295" s="16"/>
      <c r="X295" s="16" t="s">
        <v>3599</v>
      </c>
      <c r="Y295" s="16" t="s">
        <v>744</v>
      </c>
      <c r="Z295" s="16"/>
      <c r="AA295" s="16"/>
      <c r="AB295" s="17" t="s">
        <v>3600</v>
      </c>
      <c r="AC295" s="16" t="s">
        <v>71</v>
      </c>
      <c r="AD295" s="17" t="s">
        <v>3600</v>
      </c>
      <c r="AG295" s="16" t="s">
        <v>2632</v>
      </c>
      <c r="AH295" s="16" t="s">
        <v>2457</v>
      </c>
      <c r="AI295" s="16"/>
      <c r="AJ295" s="16"/>
      <c r="AK295" s="16"/>
      <c r="AL295" s="16" t="s">
        <v>3601</v>
      </c>
    </row>
    <row r="296" spans="1:38" x14ac:dyDescent="0.5">
      <c r="A296">
        <v>19512</v>
      </c>
      <c r="B296" s="16" t="s">
        <v>3602</v>
      </c>
      <c r="C296" s="16" t="s">
        <v>3602</v>
      </c>
      <c r="D296" s="16"/>
      <c r="E296" s="16" t="s">
        <v>3603</v>
      </c>
      <c r="F296" s="17" t="s">
        <v>3604</v>
      </c>
      <c r="H296" s="16" t="s">
        <v>343</v>
      </c>
      <c r="I296" s="16" t="s">
        <v>3605</v>
      </c>
      <c r="J296" s="33">
        <v>41109</v>
      </c>
      <c r="K296" s="33">
        <v>43465</v>
      </c>
      <c r="L296" s="16" t="s">
        <v>66</v>
      </c>
      <c r="M296" s="16" t="s">
        <v>167</v>
      </c>
      <c r="N296" s="16" t="s">
        <v>110</v>
      </c>
      <c r="O296" s="16" t="s">
        <v>111</v>
      </c>
      <c r="P296" s="16" t="s">
        <v>1792</v>
      </c>
      <c r="Q296" s="16" t="s">
        <v>71</v>
      </c>
      <c r="R296" s="17" t="s">
        <v>3606</v>
      </c>
      <c r="S296" s="16" t="s">
        <v>3607</v>
      </c>
      <c r="T296" s="16" t="s">
        <v>1411</v>
      </c>
      <c r="U296" s="16" t="s">
        <v>1412</v>
      </c>
      <c r="V296" s="16" t="s">
        <v>3608</v>
      </c>
      <c r="W296" s="16" t="s">
        <v>3609</v>
      </c>
      <c r="X296" s="16" t="s">
        <v>3610</v>
      </c>
      <c r="Y296" s="16" t="s">
        <v>744</v>
      </c>
      <c r="Z296" s="16"/>
      <c r="AA296" s="16"/>
      <c r="AB296" s="17" t="s">
        <v>3611</v>
      </c>
      <c r="AC296" s="16" t="s">
        <v>71</v>
      </c>
      <c r="AD296" s="17" t="s">
        <v>3611</v>
      </c>
      <c r="AG296" s="16" t="s">
        <v>2632</v>
      </c>
      <c r="AH296" s="16" t="s">
        <v>3612</v>
      </c>
      <c r="AI296" s="16"/>
      <c r="AJ296" s="16"/>
      <c r="AK296" s="16"/>
      <c r="AL296" s="16" t="s">
        <v>3613</v>
      </c>
    </row>
    <row r="297" spans="1:38" x14ac:dyDescent="0.5">
      <c r="A297">
        <v>19514</v>
      </c>
      <c r="B297" s="16" t="s">
        <v>1150</v>
      </c>
      <c r="C297" s="16" t="s">
        <v>1150</v>
      </c>
      <c r="D297" s="16" t="s">
        <v>383</v>
      </c>
      <c r="E297" s="16" t="s">
        <v>3614</v>
      </c>
      <c r="F297" s="17" t="s">
        <v>3615</v>
      </c>
      <c r="G297" s="17" t="s">
        <v>3616</v>
      </c>
      <c r="H297" s="16"/>
      <c r="I297" s="16" t="s">
        <v>3617</v>
      </c>
      <c r="J297" s="33">
        <v>41101</v>
      </c>
      <c r="K297" s="33">
        <v>43465</v>
      </c>
      <c r="L297" s="16" t="s">
        <v>66</v>
      </c>
      <c r="M297" s="16" t="s">
        <v>67</v>
      </c>
      <c r="N297" s="16" t="s">
        <v>68</v>
      </c>
      <c r="O297" s="16" t="s">
        <v>253</v>
      </c>
      <c r="P297" s="16" t="s">
        <v>572</v>
      </c>
      <c r="Q297" s="16" t="s">
        <v>71</v>
      </c>
      <c r="R297" s="17" t="s">
        <v>3618</v>
      </c>
      <c r="S297" s="16" t="s">
        <v>3619</v>
      </c>
      <c r="T297" s="16" t="s">
        <v>74</v>
      </c>
      <c r="U297" s="16" t="s">
        <v>75</v>
      </c>
      <c r="V297" s="16" t="s">
        <v>3620</v>
      </c>
      <c r="W297" s="16"/>
      <c r="X297" s="16" t="s">
        <v>3621</v>
      </c>
      <c r="Y297" s="16" t="s">
        <v>78</v>
      </c>
      <c r="Z297" s="16" t="s">
        <v>270</v>
      </c>
      <c r="AA297" s="16" t="s">
        <v>271</v>
      </c>
      <c r="AB297" s="17" t="s">
        <v>3622</v>
      </c>
      <c r="AC297" s="16" t="s">
        <v>71</v>
      </c>
      <c r="AD297" s="17" t="s">
        <v>3622</v>
      </c>
      <c r="AF297" s="17" t="s">
        <v>3622</v>
      </c>
      <c r="AG297" s="16" t="s">
        <v>1285</v>
      </c>
      <c r="AH297" s="16" t="s">
        <v>2094</v>
      </c>
      <c r="AI297" s="16"/>
      <c r="AJ297" s="16"/>
      <c r="AK297" s="16"/>
      <c r="AL297" s="16" t="s">
        <v>3623</v>
      </c>
    </row>
    <row r="298" spans="1:38" x14ac:dyDescent="0.5">
      <c r="A298">
        <v>19515</v>
      </c>
      <c r="B298" s="16" t="s">
        <v>3624</v>
      </c>
      <c r="C298" s="16" t="s">
        <v>3624</v>
      </c>
      <c r="D298" s="16"/>
      <c r="E298" s="16" t="s">
        <v>3625</v>
      </c>
      <c r="F298" s="17" t="s">
        <v>3626</v>
      </c>
      <c r="H298" s="16" t="s">
        <v>3627</v>
      </c>
      <c r="I298" s="16" t="s">
        <v>3628</v>
      </c>
      <c r="J298" s="33">
        <v>41106</v>
      </c>
      <c r="K298" s="33">
        <v>43465</v>
      </c>
      <c r="L298" s="16" t="s">
        <v>66</v>
      </c>
      <c r="M298" s="16" t="s">
        <v>67</v>
      </c>
      <c r="N298" s="16" t="s">
        <v>68</v>
      </c>
      <c r="O298" s="16" t="s">
        <v>436</v>
      </c>
      <c r="P298" s="16" t="s">
        <v>572</v>
      </c>
      <c r="Q298" s="16" t="s">
        <v>71</v>
      </c>
      <c r="R298" s="17" t="s">
        <v>3629</v>
      </c>
      <c r="S298" s="16" t="s">
        <v>3073</v>
      </c>
      <c r="T298" s="16" t="s">
        <v>74</v>
      </c>
      <c r="U298" s="16" t="s">
        <v>75</v>
      </c>
      <c r="V298" s="16" t="s">
        <v>3630</v>
      </c>
      <c r="W298" s="16"/>
      <c r="X298" s="16" t="s">
        <v>3631</v>
      </c>
      <c r="Y298" s="16" t="s">
        <v>78</v>
      </c>
      <c r="Z298" s="16" t="s">
        <v>2165</v>
      </c>
      <c r="AA298" s="16" t="s">
        <v>2166</v>
      </c>
      <c r="AB298" s="17" t="s">
        <v>3632</v>
      </c>
      <c r="AC298" s="16" t="s">
        <v>71</v>
      </c>
      <c r="AD298" s="17" t="s">
        <v>3632</v>
      </c>
      <c r="AF298" s="17" t="s">
        <v>3633</v>
      </c>
      <c r="AG298" s="16" t="s">
        <v>1003</v>
      </c>
      <c r="AH298" s="16" t="s">
        <v>2747</v>
      </c>
      <c r="AI298" s="16"/>
      <c r="AJ298" s="16"/>
      <c r="AK298" s="16"/>
      <c r="AL298" s="16" t="s">
        <v>3634</v>
      </c>
    </row>
    <row r="299" spans="1:38" x14ac:dyDescent="0.5">
      <c r="A299">
        <v>19516</v>
      </c>
      <c r="B299" s="16" t="s">
        <v>567</v>
      </c>
      <c r="C299" s="16" t="s">
        <v>567</v>
      </c>
      <c r="D299" s="16"/>
      <c r="E299" s="16" t="s">
        <v>3635</v>
      </c>
      <c r="F299" s="17" t="s">
        <v>3636</v>
      </c>
      <c r="H299" s="16" t="s">
        <v>456</v>
      </c>
      <c r="I299" s="16" t="s">
        <v>3637</v>
      </c>
      <c r="J299" s="33">
        <v>41109</v>
      </c>
      <c r="K299" s="33">
        <v>43465</v>
      </c>
      <c r="L299" s="16" t="s">
        <v>66</v>
      </c>
      <c r="M299" s="16" t="s">
        <v>67</v>
      </c>
      <c r="N299" s="16" t="s">
        <v>68</v>
      </c>
      <c r="O299" s="16" t="s">
        <v>436</v>
      </c>
      <c r="P299" s="16" t="s">
        <v>572</v>
      </c>
      <c r="Q299" s="16" t="s">
        <v>71</v>
      </c>
      <c r="R299" s="17" t="s">
        <v>3638</v>
      </c>
      <c r="S299" s="16" t="s">
        <v>936</v>
      </c>
      <c r="T299" s="16" t="s">
        <v>74</v>
      </c>
      <c r="U299" s="16" t="s">
        <v>75</v>
      </c>
      <c r="V299" s="16" t="s">
        <v>3639</v>
      </c>
      <c r="W299" s="16"/>
      <c r="X299" s="16" t="s">
        <v>938</v>
      </c>
      <c r="Y299" s="16" t="s">
        <v>78</v>
      </c>
      <c r="Z299" s="16" t="s">
        <v>242</v>
      </c>
      <c r="AA299" s="16" t="s">
        <v>243</v>
      </c>
      <c r="AB299" s="17" t="s">
        <v>3640</v>
      </c>
      <c r="AC299" s="16" t="s">
        <v>71</v>
      </c>
      <c r="AD299" s="17" t="s">
        <v>3640</v>
      </c>
      <c r="AE299" s="17" t="s">
        <v>3641</v>
      </c>
      <c r="AG299" s="16" t="s">
        <v>3520</v>
      </c>
      <c r="AH299" s="16"/>
      <c r="AI299" s="16"/>
      <c r="AJ299" s="16"/>
      <c r="AK299" s="16"/>
      <c r="AL299" s="16" t="s">
        <v>3642</v>
      </c>
    </row>
    <row r="300" spans="1:38" x14ac:dyDescent="0.5">
      <c r="A300">
        <v>19517</v>
      </c>
      <c r="B300" s="16" t="s">
        <v>3643</v>
      </c>
      <c r="C300" s="16" t="s">
        <v>3643</v>
      </c>
      <c r="D300" s="16" t="s">
        <v>288</v>
      </c>
      <c r="E300" s="16" t="s">
        <v>3644</v>
      </c>
      <c r="F300" s="17" t="s">
        <v>3645</v>
      </c>
      <c r="H300" s="16" t="s">
        <v>8604</v>
      </c>
      <c r="I300" s="16" t="s">
        <v>8605</v>
      </c>
      <c r="J300" s="33">
        <v>41143</v>
      </c>
      <c r="K300" s="33">
        <v>43465</v>
      </c>
      <c r="L300" s="16" t="s">
        <v>66</v>
      </c>
      <c r="M300" s="16" t="s">
        <v>67</v>
      </c>
      <c r="N300" s="16" t="s">
        <v>68</v>
      </c>
      <c r="O300" s="16" t="s">
        <v>436</v>
      </c>
      <c r="P300" s="16" t="s">
        <v>572</v>
      </c>
      <c r="Q300" s="16" t="s">
        <v>71</v>
      </c>
      <c r="R300" s="17" t="s">
        <v>3646</v>
      </c>
      <c r="S300" s="16" t="s">
        <v>3647</v>
      </c>
      <c r="T300" s="16" t="s">
        <v>74</v>
      </c>
      <c r="U300" s="16" t="s">
        <v>75</v>
      </c>
      <c r="V300" s="16" t="s">
        <v>3648</v>
      </c>
      <c r="W300" s="16"/>
      <c r="X300" s="16" t="s">
        <v>3649</v>
      </c>
      <c r="Y300" s="16" t="s">
        <v>78</v>
      </c>
      <c r="Z300" s="16" t="s">
        <v>1025</v>
      </c>
      <c r="AA300" s="16" t="s">
        <v>1026</v>
      </c>
      <c r="AB300" s="17" t="s">
        <v>8606</v>
      </c>
      <c r="AC300" s="16" t="s">
        <v>71</v>
      </c>
      <c r="AD300" s="17" t="s">
        <v>8606</v>
      </c>
      <c r="AG300" s="16" t="s">
        <v>3650</v>
      </c>
      <c r="AH300" s="16"/>
      <c r="AI300" s="16" t="s">
        <v>3373</v>
      </c>
      <c r="AJ300" s="16"/>
      <c r="AK300" s="16"/>
      <c r="AL300" s="16" t="s">
        <v>3651</v>
      </c>
    </row>
    <row r="301" spans="1:38" x14ac:dyDescent="0.5">
      <c r="A301">
        <v>19521</v>
      </c>
      <c r="B301" s="16" t="s">
        <v>3652</v>
      </c>
      <c r="C301" s="16" t="s">
        <v>3652</v>
      </c>
      <c r="D301" s="16"/>
      <c r="E301" s="16" t="s">
        <v>3653</v>
      </c>
      <c r="F301" s="17" t="s">
        <v>3654</v>
      </c>
      <c r="H301" s="16" t="s">
        <v>1517</v>
      </c>
      <c r="I301" s="16" t="s">
        <v>3655</v>
      </c>
      <c r="J301" s="33">
        <v>41114</v>
      </c>
      <c r="K301" s="33">
        <v>43465</v>
      </c>
      <c r="L301" s="16" t="s">
        <v>66</v>
      </c>
      <c r="M301" s="16" t="s">
        <v>67</v>
      </c>
      <c r="N301" s="16" t="s">
        <v>68</v>
      </c>
      <c r="O301" s="16" t="s">
        <v>436</v>
      </c>
      <c r="P301" s="16" t="s">
        <v>572</v>
      </c>
      <c r="Q301" s="16" t="s">
        <v>71</v>
      </c>
      <c r="R301" s="17" t="s">
        <v>3656</v>
      </c>
      <c r="S301" s="16" t="s">
        <v>3657</v>
      </c>
      <c r="T301" s="16" t="s">
        <v>74</v>
      </c>
      <c r="U301" s="16" t="s">
        <v>75</v>
      </c>
      <c r="V301" s="16" t="s">
        <v>3658</v>
      </c>
      <c r="W301" s="16"/>
      <c r="X301" s="16" t="s">
        <v>938</v>
      </c>
      <c r="Y301" s="16" t="s">
        <v>78</v>
      </c>
      <c r="Z301" s="16" t="s">
        <v>242</v>
      </c>
      <c r="AA301" s="16" t="s">
        <v>243</v>
      </c>
      <c r="AB301" s="17" t="s">
        <v>3659</v>
      </c>
      <c r="AC301" s="16" t="s">
        <v>71</v>
      </c>
      <c r="AD301" s="17" t="s">
        <v>3659</v>
      </c>
      <c r="AF301" s="17" t="s">
        <v>3660</v>
      </c>
      <c r="AG301" s="16" t="s">
        <v>3661</v>
      </c>
      <c r="AH301" s="16" t="s">
        <v>3662</v>
      </c>
      <c r="AI301" s="16"/>
      <c r="AJ301" s="16"/>
      <c r="AK301" s="16"/>
      <c r="AL301" s="16" t="s">
        <v>3663</v>
      </c>
    </row>
    <row r="302" spans="1:38" x14ac:dyDescent="0.5">
      <c r="A302">
        <v>19523</v>
      </c>
      <c r="B302" s="16" t="s">
        <v>3664</v>
      </c>
      <c r="C302" s="16" t="s">
        <v>3664</v>
      </c>
      <c r="D302" s="16"/>
      <c r="E302" s="16" t="s">
        <v>3665</v>
      </c>
      <c r="F302" s="17" t="s">
        <v>3666</v>
      </c>
      <c r="G302" s="17" t="s">
        <v>3667</v>
      </c>
      <c r="H302" s="16" t="s">
        <v>3356</v>
      </c>
      <c r="I302" s="16" t="s">
        <v>3668</v>
      </c>
      <c r="J302" s="33">
        <v>41106</v>
      </c>
      <c r="K302" s="33">
        <v>43465</v>
      </c>
      <c r="L302" s="16" t="s">
        <v>66</v>
      </c>
      <c r="M302" s="16" t="s">
        <v>67</v>
      </c>
      <c r="N302" s="16" t="s">
        <v>68</v>
      </c>
      <c r="O302" s="16" t="s">
        <v>436</v>
      </c>
      <c r="P302" s="16"/>
      <c r="Q302" s="16" t="s">
        <v>71</v>
      </c>
      <c r="R302" s="17" t="s">
        <v>3669</v>
      </c>
      <c r="S302" s="16" t="s">
        <v>3670</v>
      </c>
      <c r="T302" s="16" t="s">
        <v>74</v>
      </c>
      <c r="U302" s="16" t="s">
        <v>75</v>
      </c>
      <c r="V302" s="16" t="s">
        <v>3671</v>
      </c>
      <c r="W302" s="16"/>
      <c r="X302" s="16" t="s">
        <v>3672</v>
      </c>
      <c r="Y302" s="16" t="s">
        <v>78</v>
      </c>
      <c r="Z302" s="16" t="s">
        <v>242</v>
      </c>
      <c r="AA302" s="16" t="s">
        <v>243</v>
      </c>
      <c r="AB302" s="17" t="s">
        <v>3673</v>
      </c>
      <c r="AC302" s="16" t="s">
        <v>71</v>
      </c>
      <c r="AD302" s="17" t="s">
        <v>3673</v>
      </c>
      <c r="AE302" s="17" t="s">
        <v>3674</v>
      </c>
      <c r="AG302" s="16" t="s">
        <v>1884</v>
      </c>
      <c r="AH302" s="16" t="s">
        <v>2094</v>
      </c>
      <c r="AI302" s="16"/>
      <c r="AJ302" s="16"/>
      <c r="AK302" s="16"/>
      <c r="AL302" s="16" t="s">
        <v>3675</v>
      </c>
    </row>
    <row r="303" spans="1:38" x14ac:dyDescent="0.5">
      <c r="A303">
        <v>19524</v>
      </c>
      <c r="B303" s="16" t="s">
        <v>3676</v>
      </c>
      <c r="C303" s="16" t="s">
        <v>3676</v>
      </c>
      <c r="D303" s="16" t="s">
        <v>3677</v>
      </c>
      <c r="E303" s="16" t="s">
        <v>3678</v>
      </c>
      <c r="F303" s="17" t="s">
        <v>3679</v>
      </c>
      <c r="G303" s="17" t="s">
        <v>3680</v>
      </c>
      <c r="H303" s="16" t="s">
        <v>3681</v>
      </c>
      <c r="I303" s="16" t="s">
        <v>8607</v>
      </c>
      <c r="J303" s="33">
        <v>41151</v>
      </c>
      <c r="K303" s="33">
        <v>43465</v>
      </c>
      <c r="L303" s="16" t="s">
        <v>66</v>
      </c>
      <c r="M303" s="16" t="s">
        <v>67</v>
      </c>
      <c r="N303" s="16" t="s">
        <v>68</v>
      </c>
      <c r="O303" s="16" t="s">
        <v>436</v>
      </c>
      <c r="P303" s="16" t="s">
        <v>572</v>
      </c>
      <c r="Q303" s="16" t="s">
        <v>71</v>
      </c>
      <c r="R303" s="17" t="s">
        <v>3682</v>
      </c>
      <c r="S303" s="16" t="s">
        <v>3683</v>
      </c>
      <c r="T303" s="16" t="s">
        <v>74</v>
      </c>
      <c r="U303" s="16" t="s">
        <v>75</v>
      </c>
      <c r="V303" s="16" t="s">
        <v>3684</v>
      </c>
      <c r="W303" s="16"/>
      <c r="X303" s="16" t="s">
        <v>3685</v>
      </c>
      <c r="Y303" s="16" t="s">
        <v>78</v>
      </c>
      <c r="Z303" s="16" t="s">
        <v>172</v>
      </c>
      <c r="AA303" s="16" t="s">
        <v>173</v>
      </c>
      <c r="AB303" s="17" t="s">
        <v>3686</v>
      </c>
      <c r="AC303" s="16" t="s">
        <v>71</v>
      </c>
      <c r="AD303" s="17" t="s">
        <v>3686</v>
      </c>
      <c r="AE303" s="17" t="s">
        <v>3687</v>
      </c>
      <c r="AF303" s="17" t="s">
        <v>3687</v>
      </c>
      <c r="AG303" s="16" t="s">
        <v>1884</v>
      </c>
      <c r="AH303" s="16" t="s">
        <v>1524</v>
      </c>
      <c r="AI303" s="16"/>
      <c r="AJ303" s="16"/>
      <c r="AK303" s="16"/>
      <c r="AL303" s="16" t="s">
        <v>3688</v>
      </c>
    </row>
    <row r="304" spans="1:38" x14ac:dyDescent="0.5">
      <c r="A304">
        <v>19525</v>
      </c>
      <c r="B304" s="16" t="s">
        <v>2934</v>
      </c>
      <c r="C304" s="16" t="s">
        <v>1323</v>
      </c>
      <c r="D304" s="16" t="s">
        <v>85</v>
      </c>
      <c r="E304" s="16" t="s">
        <v>3689</v>
      </c>
      <c r="F304" s="17" t="s">
        <v>3690</v>
      </c>
      <c r="H304" s="16" t="s">
        <v>3691</v>
      </c>
      <c r="I304" s="16" t="s">
        <v>3692</v>
      </c>
      <c r="J304" s="33">
        <v>41099</v>
      </c>
      <c r="K304" s="33">
        <v>43465</v>
      </c>
      <c r="L304" s="16" t="s">
        <v>66</v>
      </c>
      <c r="M304" s="16" t="s">
        <v>67</v>
      </c>
      <c r="N304" s="16" t="s">
        <v>68</v>
      </c>
      <c r="O304" s="16" t="s">
        <v>436</v>
      </c>
      <c r="P304" s="16" t="s">
        <v>572</v>
      </c>
      <c r="Q304" s="16" t="s">
        <v>71</v>
      </c>
      <c r="R304" s="17" t="s">
        <v>3693</v>
      </c>
      <c r="S304" s="16" t="s">
        <v>1127</v>
      </c>
      <c r="T304" s="16" t="s">
        <v>74</v>
      </c>
      <c r="U304" s="16" t="s">
        <v>75</v>
      </c>
      <c r="V304" s="16" t="s">
        <v>3694</v>
      </c>
      <c r="W304" s="16"/>
      <c r="X304" s="16" t="s">
        <v>1129</v>
      </c>
      <c r="Y304" s="16" t="s">
        <v>78</v>
      </c>
      <c r="Z304" s="16" t="s">
        <v>189</v>
      </c>
      <c r="AA304" s="16" t="s">
        <v>190</v>
      </c>
      <c r="AB304" s="17" t="s">
        <v>3695</v>
      </c>
      <c r="AC304" s="16" t="s">
        <v>71</v>
      </c>
      <c r="AD304" s="17" t="s">
        <v>3695</v>
      </c>
      <c r="AF304" s="17" t="s">
        <v>3696</v>
      </c>
      <c r="AG304" s="16" t="s">
        <v>3697</v>
      </c>
      <c r="AH304" s="16" t="s">
        <v>1693</v>
      </c>
      <c r="AI304" s="16"/>
      <c r="AJ304" s="16"/>
      <c r="AK304" s="16"/>
      <c r="AL304" s="16" t="s">
        <v>3698</v>
      </c>
    </row>
    <row r="305" spans="1:38" x14ac:dyDescent="0.5">
      <c r="A305">
        <v>19526</v>
      </c>
      <c r="B305" s="16" t="s">
        <v>3304</v>
      </c>
      <c r="C305" s="16" t="s">
        <v>3304</v>
      </c>
      <c r="D305" s="16" t="s">
        <v>85</v>
      </c>
      <c r="E305" s="16" t="s">
        <v>3699</v>
      </c>
      <c r="F305" s="17" t="s">
        <v>3700</v>
      </c>
      <c r="G305" s="17" t="s">
        <v>3701</v>
      </c>
      <c r="H305" s="16" t="s">
        <v>3702</v>
      </c>
      <c r="I305" s="16" t="s">
        <v>3703</v>
      </c>
      <c r="J305" s="33">
        <v>41102</v>
      </c>
      <c r="K305" s="33">
        <v>43465</v>
      </c>
      <c r="L305" s="16" t="s">
        <v>66</v>
      </c>
      <c r="M305" s="16" t="s">
        <v>90</v>
      </c>
      <c r="N305" s="16" t="s">
        <v>91</v>
      </c>
      <c r="O305" s="16" t="s">
        <v>91</v>
      </c>
      <c r="P305" s="16" t="s">
        <v>572</v>
      </c>
      <c r="Q305" s="16" t="s">
        <v>71</v>
      </c>
      <c r="R305" s="17" t="s">
        <v>3704</v>
      </c>
      <c r="S305" s="16" t="s">
        <v>3705</v>
      </c>
      <c r="T305" s="16" t="s">
        <v>74</v>
      </c>
      <c r="U305" s="16" t="s">
        <v>75</v>
      </c>
      <c r="V305" s="16" t="s">
        <v>3706</v>
      </c>
      <c r="W305" s="16"/>
      <c r="X305" s="16" t="s">
        <v>3707</v>
      </c>
      <c r="Y305" s="16" t="s">
        <v>78</v>
      </c>
      <c r="Z305" s="16" t="s">
        <v>508</v>
      </c>
      <c r="AA305" s="16" t="s">
        <v>509</v>
      </c>
      <c r="AB305" s="17" t="s">
        <v>3708</v>
      </c>
      <c r="AC305" s="16" t="s">
        <v>71</v>
      </c>
      <c r="AD305" s="17" t="s">
        <v>3708</v>
      </c>
      <c r="AE305" s="17" t="s">
        <v>3709</v>
      </c>
      <c r="AG305" s="16" t="s">
        <v>899</v>
      </c>
      <c r="AH305" s="16" t="s">
        <v>1938</v>
      </c>
      <c r="AI305" s="16" t="s">
        <v>1850</v>
      </c>
      <c r="AJ305" s="16"/>
      <c r="AK305" s="16" t="s">
        <v>3710</v>
      </c>
      <c r="AL305" s="16" t="s">
        <v>3711</v>
      </c>
    </row>
    <row r="306" spans="1:38" x14ac:dyDescent="0.5">
      <c r="A306">
        <v>19527</v>
      </c>
      <c r="B306" s="16" t="s">
        <v>3712</v>
      </c>
      <c r="C306" s="16" t="s">
        <v>3712</v>
      </c>
      <c r="D306" s="16" t="s">
        <v>85</v>
      </c>
      <c r="E306" s="16" t="s">
        <v>3713</v>
      </c>
      <c r="F306" s="17" t="s">
        <v>3714</v>
      </c>
      <c r="H306" s="16" t="s">
        <v>3715</v>
      </c>
      <c r="I306" s="16" t="s">
        <v>3716</v>
      </c>
      <c r="J306" s="33">
        <v>41117</v>
      </c>
      <c r="K306" s="33">
        <v>43465</v>
      </c>
      <c r="L306" s="16" t="s">
        <v>66</v>
      </c>
      <c r="M306" s="16" t="s">
        <v>167</v>
      </c>
      <c r="N306" s="16" t="s">
        <v>110</v>
      </c>
      <c r="O306" s="16" t="s">
        <v>280</v>
      </c>
      <c r="P306" s="16" t="s">
        <v>572</v>
      </c>
      <c r="Q306" s="16" t="s">
        <v>71</v>
      </c>
      <c r="R306" s="17" t="s">
        <v>3717</v>
      </c>
      <c r="S306" s="16" t="s">
        <v>3718</v>
      </c>
      <c r="T306" s="16" t="s">
        <v>3719</v>
      </c>
      <c r="U306" s="16" t="s">
        <v>3720</v>
      </c>
      <c r="V306" s="16" t="s">
        <v>3721</v>
      </c>
      <c r="W306" s="16" t="s">
        <v>3722</v>
      </c>
      <c r="X306" s="16" t="s">
        <v>3723</v>
      </c>
      <c r="Y306" s="16" t="s">
        <v>2630</v>
      </c>
      <c r="Z306" s="16"/>
      <c r="AA306" s="16"/>
      <c r="AB306" s="17" t="s">
        <v>3724</v>
      </c>
      <c r="AC306" s="16" t="s">
        <v>71</v>
      </c>
      <c r="AD306" s="17" t="s">
        <v>3724</v>
      </c>
      <c r="AG306" s="16" t="s">
        <v>3725</v>
      </c>
      <c r="AH306" s="16"/>
      <c r="AI306" s="16"/>
      <c r="AJ306" s="16"/>
      <c r="AK306" s="16"/>
      <c r="AL306" s="16" t="s">
        <v>3726</v>
      </c>
    </row>
    <row r="307" spans="1:38" x14ac:dyDescent="0.5">
      <c r="A307">
        <v>19528</v>
      </c>
      <c r="B307" s="16" t="s">
        <v>397</v>
      </c>
      <c r="C307" s="16" t="s">
        <v>397</v>
      </c>
      <c r="D307" s="16"/>
      <c r="E307" s="16" t="s">
        <v>3727</v>
      </c>
      <c r="F307" s="17" t="s">
        <v>3728</v>
      </c>
      <c r="G307" s="17" t="s">
        <v>3729</v>
      </c>
      <c r="H307" s="16" t="s">
        <v>3730</v>
      </c>
      <c r="I307" s="16" t="s">
        <v>3731</v>
      </c>
      <c r="J307" s="33">
        <v>41114</v>
      </c>
      <c r="K307" s="33">
        <v>43465</v>
      </c>
      <c r="L307" s="16" t="s">
        <v>66</v>
      </c>
      <c r="M307" s="16" t="s">
        <v>67</v>
      </c>
      <c r="N307" s="16" t="s">
        <v>110</v>
      </c>
      <c r="O307" s="16" t="s">
        <v>280</v>
      </c>
      <c r="P307" s="16" t="s">
        <v>1792</v>
      </c>
      <c r="Q307" s="16" t="s">
        <v>71</v>
      </c>
      <c r="R307" s="17" t="s">
        <v>3732</v>
      </c>
      <c r="S307" s="16" t="s">
        <v>996</v>
      </c>
      <c r="T307" s="16" t="s">
        <v>74</v>
      </c>
      <c r="U307" s="16" t="s">
        <v>75</v>
      </c>
      <c r="V307" s="16" t="s">
        <v>3733</v>
      </c>
      <c r="W307" s="16"/>
      <c r="X307" s="16" t="s">
        <v>3734</v>
      </c>
      <c r="Y307" s="16" t="s">
        <v>78</v>
      </c>
      <c r="Z307" s="16" t="s">
        <v>172</v>
      </c>
      <c r="AA307" s="16" t="s">
        <v>173</v>
      </c>
      <c r="AB307" s="17" t="s">
        <v>3735</v>
      </c>
      <c r="AC307" s="16" t="s">
        <v>71</v>
      </c>
      <c r="AD307" s="17" t="s">
        <v>3735</v>
      </c>
      <c r="AG307" s="16" t="s">
        <v>3032</v>
      </c>
      <c r="AH307" s="16" t="s">
        <v>3736</v>
      </c>
      <c r="AI307" s="16" t="s">
        <v>2083</v>
      </c>
      <c r="AJ307" s="16"/>
      <c r="AK307" s="16"/>
      <c r="AL307" s="16" t="s">
        <v>3737</v>
      </c>
    </row>
    <row r="308" spans="1:38" x14ac:dyDescent="0.5">
      <c r="A308">
        <v>19529</v>
      </c>
      <c r="B308" s="16" t="s">
        <v>3738</v>
      </c>
      <c r="C308" s="16" t="s">
        <v>3738</v>
      </c>
      <c r="D308" s="16"/>
      <c r="E308" s="16" t="s">
        <v>3739</v>
      </c>
      <c r="F308" s="17" t="s">
        <v>3740</v>
      </c>
      <c r="H308" s="16" t="s">
        <v>3741</v>
      </c>
      <c r="I308" s="16" t="s">
        <v>3742</v>
      </c>
      <c r="J308" s="33">
        <v>41101</v>
      </c>
      <c r="K308" s="33">
        <v>43465</v>
      </c>
      <c r="L308" s="16" t="s">
        <v>66</v>
      </c>
      <c r="M308" s="16" t="s">
        <v>167</v>
      </c>
      <c r="N308" s="16" t="s">
        <v>110</v>
      </c>
      <c r="O308" s="16" t="s">
        <v>280</v>
      </c>
      <c r="P308" s="16" t="s">
        <v>572</v>
      </c>
      <c r="Q308" s="16" t="s">
        <v>71</v>
      </c>
      <c r="R308" s="17" t="s">
        <v>3743</v>
      </c>
      <c r="S308" s="16" t="s">
        <v>113</v>
      </c>
      <c r="T308" s="16" t="s">
        <v>74</v>
      </c>
      <c r="U308" s="16" t="s">
        <v>75</v>
      </c>
      <c r="V308" s="16" t="s">
        <v>3744</v>
      </c>
      <c r="W308" s="16" t="s">
        <v>3745</v>
      </c>
      <c r="X308" s="16" t="s">
        <v>3746</v>
      </c>
      <c r="Y308" s="16" t="s">
        <v>78</v>
      </c>
      <c r="Z308" s="16" t="s">
        <v>117</v>
      </c>
      <c r="AA308" s="16" t="s">
        <v>113</v>
      </c>
      <c r="AB308" s="17" t="s">
        <v>3747</v>
      </c>
      <c r="AC308" s="16" t="s">
        <v>71</v>
      </c>
      <c r="AD308" s="17" t="s">
        <v>3747</v>
      </c>
      <c r="AG308" s="16" t="s">
        <v>2180</v>
      </c>
      <c r="AH308" s="16"/>
      <c r="AI308" s="16"/>
      <c r="AJ308" s="16"/>
      <c r="AK308" s="16"/>
      <c r="AL308" s="16" t="s">
        <v>3748</v>
      </c>
    </row>
    <row r="309" spans="1:38" x14ac:dyDescent="0.5">
      <c r="A309">
        <v>19530</v>
      </c>
      <c r="B309" s="16" t="s">
        <v>567</v>
      </c>
      <c r="C309" s="16" t="s">
        <v>567</v>
      </c>
      <c r="D309" s="16" t="s">
        <v>196</v>
      </c>
      <c r="E309" s="16" t="s">
        <v>3749</v>
      </c>
      <c r="F309" s="17" t="s">
        <v>3750</v>
      </c>
      <c r="G309" s="17" t="s">
        <v>3751</v>
      </c>
      <c r="H309" s="16" t="s">
        <v>699</v>
      </c>
      <c r="I309" s="16" t="s">
        <v>3752</v>
      </c>
      <c r="J309" s="33">
        <v>41114</v>
      </c>
      <c r="K309" s="33">
        <v>43465</v>
      </c>
      <c r="L309" s="16" t="s">
        <v>66</v>
      </c>
      <c r="M309" s="16" t="s">
        <v>67</v>
      </c>
      <c r="N309" s="16" t="s">
        <v>68</v>
      </c>
      <c r="O309" s="16" t="s">
        <v>280</v>
      </c>
      <c r="P309" s="16" t="s">
        <v>572</v>
      </c>
      <c r="Q309" s="16" t="s">
        <v>71</v>
      </c>
      <c r="R309" s="17" t="s">
        <v>3753</v>
      </c>
      <c r="S309" s="16" t="s">
        <v>113</v>
      </c>
      <c r="T309" s="16" t="s">
        <v>74</v>
      </c>
      <c r="U309" s="16" t="s">
        <v>75</v>
      </c>
      <c r="V309" s="16" t="s">
        <v>3754</v>
      </c>
      <c r="W309" s="16"/>
      <c r="X309" s="16" t="s">
        <v>3755</v>
      </c>
      <c r="Y309" s="16" t="s">
        <v>78</v>
      </c>
      <c r="Z309" s="16" t="s">
        <v>117</v>
      </c>
      <c r="AA309" s="16" t="s">
        <v>113</v>
      </c>
      <c r="AB309" s="17" t="s">
        <v>3756</v>
      </c>
      <c r="AC309" s="16" t="s">
        <v>71</v>
      </c>
      <c r="AD309" s="17" t="s">
        <v>3756</v>
      </c>
      <c r="AG309" s="16" t="s">
        <v>1076</v>
      </c>
      <c r="AH309" s="16" t="s">
        <v>2840</v>
      </c>
      <c r="AI309" s="16"/>
      <c r="AJ309" s="16"/>
      <c r="AK309" s="16"/>
      <c r="AL309" s="16" t="s">
        <v>3757</v>
      </c>
    </row>
    <row r="310" spans="1:38" x14ac:dyDescent="0.5">
      <c r="A310">
        <v>19560</v>
      </c>
      <c r="B310" s="16" t="s">
        <v>3758</v>
      </c>
      <c r="C310" s="16" t="s">
        <v>3758</v>
      </c>
      <c r="D310" s="16"/>
      <c r="E310" s="16" t="s">
        <v>382</v>
      </c>
      <c r="F310" s="17" t="s">
        <v>3759</v>
      </c>
      <c r="H310" s="16" t="s">
        <v>3760</v>
      </c>
      <c r="I310" s="16" t="s">
        <v>3761</v>
      </c>
      <c r="J310" s="33">
        <v>41193</v>
      </c>
      <c r="K310" s="33">
        <v>43465</v>
      </c>
      <c r="L310" s="16" t="s">
        <v>66</v>
      </c>
      <c r="M310" s="16" t="s">
        <v>67</v>
      </c>
      <c r="N310" s="16" t="s">
        <v>68</v>
      </c>
      <c r="O310" s="16" t="s">
        <v>436</v>
      </c>
      <c r="P310" s="16" t="s">
        <v>572</v>
      </c>
      <c r="Q310" s="16" t="s">
        <v>71</v>
      </c>
      <c r="R310" s="17" t="s">
        <v>3762</v>
      </c>
      <c r="S310" s="16" t="s">
        <v>113</v>
      </c>
      <c r="T310" s="16" t="s">
        <v>74</v>
      </c>
      <c r="U310" s="16" t="s">
        <v>75</v>
      </c>
      <c r="V310" s="16" t="s">
        <v>3763</v>
      </c>
      <c r="W310" s="16"/>
      <c r="X310" s="16" t="s">
        <v>283</v>
      </c>
      <c r="Y310" s="16" t="s">
        <v>78</v>
      </c>
      <c r="Z310" s="16" t="s">
        <v>117</v>
      </c>
      <c r="AA310" s="16" t="s">
        <v>113</v>
      </c>
      <c r="AB310" s="17" t="s">
        <v>3764</v>
      </c>
      <c r="AC310" s="16" t="s">
        <v>71</v>
      </c>
      <c r="AD310" s="17" t="s">
        <v>3764</v>
      </c>
      <c r="AG310" s="16" t="s">
        <v>3225</v>
      </c>
      <c r="AH310" s="16" t="s">
        <v>1693</v>
      </c>
      <c r="AI310" s="16"/>
      <c r="AJ310" s="16"/>
      <c r="AK310" s="16"/>
      <c r="AL310" s="16" t="s">
        <v>3765</v>
      </c>
    </row>
    <row r="311" spans="1:38" x14ac:dyDescent="0.5">
      <c r="A311">
        <v>19562</v>
      </c>
      <c r="B311" s="16" t="s">
        <v>3766</v>
      </c>
      <c r="C311" s="16" t="s">
        <v>3766</v>
      </c>
      <c r="D311" s="16"/>
      <c r="E311" s="16" t="s">
        <v>3767</v>
      </c>
      <c r="F311" s="17" t="s">
        <v>3768</v>
      </c>
      <c r="H311" s="16"/>
      <c r="I311" s="16" t="s">
        <v>2007</v>
      </c>
      <c r="J311" s="33">
        <v>41143</v>
      </c>
      <c r="K311" s="33">
        <v>43465</v>
      </c>
      <c r="L311" s="16" t="s">
        <v>66</v>
      </c>
      <c r="M311" s="16" t="s">
        <v>67</v>
      </c>
      <c r="N311" s="16" t="s">
        <v>68</v>
      </c>
      <c r="O311" s="16" t="s">
        <v>1082</v>
      </c>
      <c r="P311" s="16" t="s">
        <v>572</v>
      </c>
      <c r="Q311" s="16" t="s">
        <v>71</v>
      </c>
      <c r="R311" s="17" t="s">
        <v>3769</v>
      </c>
      <c r="S311" s="16" t="s">
        <v>1737</v>
      </c>
      <c r="T311" s="16" t="s">
        <v>74</v>
      </c>
      <c r="U311" s="16" t="s">
        <v>75</v>
      </c>
      <c r="V311" s="16" t="s">
        <v>3770</v>
      </c>
      <c r="W311" s="16"/>
      <c r="X311" s="16" t="s">
        <v>3771</v>
      </c>
      <c r="Y311" s="16" t="s">
        <v>78</v>
      </c>
      <c r="Z311" s="16" t="s">
        <v>1025</v>
      </c>
      <c r="AA311" s="16" t="s">
        <v>1026</v>
      </c>
      <c r="AB311" s="17" t="s">
        <v>3772</v>
      </c>
      <c r="AC311" s="16" t="s">
        <v>71</v>
      </c>
      <c r="AD311" s="17" t="s">
        <v>3772</v>
      </c>
      <c r="AF311" s="17" t="s">
        <v>3773</v>
      </c>
      <c r="AG311" s="16" t="s">
        <v>1693</v>
      </c>
      <c r="AH311" s="16" t="s">
        <v>1285</v>
      </c>
      <c r="AI311" s="16"/>
      <c r="AJ311" s="16"/>
      <c r="AK311" s="16"/>
      <c r="AL311" s="16" t="s">
        <v>3774</v>
      </c>
    </row>
    <row r="312" spans="1:38" x14ac:dyDescent="0.5">
      <c r="A312">
        <v>19567</v>
      </c>
      <c r="B312" s="16" t="s">
        <v>1359</v>
      </c>
      <c r="C312" s="16" t="s">
        <v>1359</v>
      </c>
      <c r="D312" s="16"/>
      <c r="E312" s="16" t="s">
        <v>3775</v>
      </c>
      <c r="F312" s="17" t="s">
        <v>3776</v>
      </c>
      <c r="H312" s="16" t="s">
        <v>3777</v>
      </c>
      <c r="I312" s="16" t="s">
        <v>3778</v>
      </c>
      <c r="J312" s="33">
        <v>41159</v>
      </c>
      <c r="K312" s="33">
        <v>43465</v>
      </c>
      <c r="L312" s="16" t="s">
        <v>66</v>
      </c>
      <c r="M312" s="16" t="s">
        <v>67</v>
      </c>
      <c r="N312" s="16" t="s">
        <v>68</v>
      </c>
      <c r="O312" s="16" t="s">
        <v>436</v>
      </c>
      <c r="P312" s="16" t="s">
        <v>572</v>
      </c>
      <c r="Q312" s="16" t="s">
        <v>71</v>
      </c>
      <c r="R312" s="17" t="s">
        <v>3779</v>
      </c>
      <c r="S312" s="16" t="s">
        <v>974</v>
      </c>
      <c r="T312" s="16" t="s">
        <v>74</v>
      </c>
      <c r="U312" s="16" t="s">
        <v>75</v>
      </c>
      <c r="V312" s="16" t="s">
        <v>3780</v>
      </c>
      <c r="W312" s="16"/>
      <c r="X312" s="16" t="s">
        <v>3781</v>
      </c>
      <c r="Y312" s="16" t="s">
        <v>78</v>
      </c>
      <c r="Z312" s="16" t="s">
        <v>2165</v>
      </c>
      <c r="AA312" s="16" t="s">
        <v>2166</v>
      </c>
      <c r="AB312" s="17" t="s">
        <v>3782</v>
      </c>
      <c r="AC312" s="16" t="s">
        <v>71</v>
      </c>
      <c r="AD312" s="17" t="s">
        <v>3782</v>
      </c>
      <c r="AE312" s="17" t="s">
        <v>3783</v>
      </c>
      <c r="AF312" s="17" t="s">
        <v>3784</v>
      </c>
      <c r="AG312" s="16" t="s">
        <v>1884</v>
      </c>
      <c r="AH312" s="16" t="s">
        <v>3785</v>
      </c>
      <c r="AI312" s="16"/>
      <c r="AJ312" s="16"/>
      <c r="AK312" s="16"/>
      <c r="AL312" s="16" t="s">
        <v>3786</v>
      </c>
    </row>
    <row r="313" spans="1:38" x14ac:dyDescent="0.5">
      <c r="A313">
        <v>19570</v>
      </c>
      <c r="B313" s="16" t="s">
        <v>2382</v>
      </c>
      <c r="C313" s="16" t="s">
        <v>2382</v>
      </c>
      <c r="D313" s="16"/>
      <c r="E313" s="16" t="s">
        <v>3787</v>
      </c>
      <c r="F313" s="17" t="s">
        <v>3788</v>
      </c>
      <c r="H313" s="16" t="s">
        <v>3789</v>
      </c>
      <c r="I313" s="16" t="s">
        <v>3790</v>
      </c>
      <c r="J313" s="33">
        <v>42184</v>
      </c>
      <c r="K313" s="33">
        <v>43465</v>
      </c>
      <c r="L313" s="16" t="s">
        <v>66</v>
      </c>
      <c r="M313" s="16" t="s">
        <v>67</v>
      </c>
      <c r="N313" s="16" t="s">
        <v>68</v>
      </c>
      <c r="O313" s="16" t="s">
        <v>436</v>
      </c>
      <c r="P313" s="16" t="s">
        <v>572</v>
      </c>
      <c r="Q313" s="16" t="s">
        <v>71</v>
      </c>
      <c r="R313" s="17" t="s">
        <v>3791</v>
      </c>
      <c r="S313" s="16" t="s">
        <v>3792</v>
      </c>
      <c r="T313" s="16" t="s">
        <v>74</v>
      </c>
      <c r="U313" s="16" t="s">
        <v>75</v>
      </c>
      <c r="V313" s="16" t="s">
        <v>3793</v>
      </c>
      <c r="W313" s="16"/>
      <c r="X313" s="16" t="s">
        <v>3794</v>
      </c>
      <c r="Y313" s="16" t="s">
        <v>78</v>
      </c>
      <c r="Z313" s="16" t="s">
        <v>207</v>
      </c>
      <c r="AA313" s="16" t="s">
        <v>208</v>
      </c>
      <c r="AB313" s="17" t="s">
        <v>3795</v>
      </c>
      <c r="AC313" s="16" t="s">
        <v>71</v>
      </c>
      <c r="AD313" s="17" t="s">
        <v>3795</v>
      </c>
      <c r="AF313" s="17" t="s">
        <v>3796</v>
      </c>
      <c r="AG313" s="16" t="s">
        <v>3797</v>
      </c>
      <c r="AH313" s="16" t="s">
        <v>1076</v>
      </c>
      <c r="AI313" s="16"/>
      <c r="AJ313" s="16"/>
      <c r="AK313" s="16"/>
      <c r="AL313" s="16" t="s">
        <v>3798</v>
      </c>
    </row>
    <row r="314" spans="1:38" x14ac:dyDescent="0.5">
      <c r="A314">
        <v>19574</v>
      </c>
      <c r="B314" s="16" t="s">
        <v>567</v>
      </c>
      <c r="C314" s="16" t="s">
        <v>567</v>
      </c>
      <c r="D314" s="16"/>
      <c r="E314" s="16" t="s">
        <v>3799</v>
      </c>
      <c r="F314" s="17" t="s">
        <v>3800</v>
      </c>
      <c r="H314" s="16"/>
      <c r="I314" s="16"/>
      <c r="J314" s="33">
        <v>41173</v>
      </c>
      <c r="K314" s="33">
        <v>43465</v>
      </c>
      <c r="L314" s="16" t="s">
        <v>66</v>
      </c>
      <c r="M314" s="16" t="s">
        <v>67</v>
      </c>
      <c r="N314" s="16" t="s">
        <v>68</v>
      </c>
      <c r="O314" s="16" t="s">
        <v>1082</v>
      </c>
      <c r="P314" s="16" t="s">
        <v>4047</v>
      </c>
      <c r="Q314" s="16" t="s">
        <v>71</v>
      </c>
      <c r="R314" s="17" t="s">
        <v>3801</v>
      </c>
      <c r="S314" s="16" t="s">
        <v>3802</v>
      </c>
      <c r="T314" s="16" t="s">
        <v>74</v>
      </c>
      <c r="U314" s="16" t="s">
        <v>75</v>
      </c>
      <c r="V314" s="16" t="s">
        <v>3803</v>
      </c>
      <c r="W314" s="16"/>
      <c r="X314" s="16" t="s">
        <v>3804</v>
      </c>
      <c r="Y314" s="16" t="s">
        <v>78</v>
      </c>
      <c r="Z314" s="16" t="s">
        <v>1158</v>
      </c>
      <c r="AA314" s="16" t="s">
        <v>1159</v>
      </c>
      <c r="AB314" s="17" t="s">
        <v>3805</v>
      </c>
      <c r="AC314" s="16" t="s">
        <v>71</v>
      </c>
      <c r="AD314" s="17" t="s">
        <v>3805</v>
      </c>
      <c r="AE314" s="17" t="s">
        <v>3806</v>
      </c>
      <c r="AF314" s="17" t="s">
        <v>3807</v>
      </c>
      <c r="AG314" s="16" t="s">
        <v>3808</v>
      </c>
      <c r="AH314" s="16" t="s">
        <v>579</v>
      </c>
      <c r="AI314" s="16"/>
      <c r="AJ314" s="16"/>
      <c r="AK314" s="16"/>
      <c r="AL314" s="16" t="s">
        <v>3809</v>
      </c>
    </row>
    <row r="315" spans="1:38" x14ac:dyDescent="0.5">
      <c r="A315">
        <v>19576</v>
      </c>
      <c r="B315" s="16" t="s">
        <v>3810</v>
      </c>
      <c r="C315" s="16" t="s">
        <v>3810</v>
      </c>
      <c r="D315" s="16"/>
      <c r="E315" s="16" t="s">
        <v>3811</v>
      </c>
      <c r="F315" s="17" t="s">
        <v>3812</v>
      </c>
      <c r="H315" s="16" t="s">
        <v>3777</v>
      </c>
      <c r="I315" s="16" t="s">
        <v>3813</v>
      </c>
      <c r="J315" s="33">
        <v>41960</v>
      </c>
      <c r="K315" s="33">
        <v>43465</v>
      </c>
      <c r="L315" s="16" t="s">
        <v>66</v>
      </c>
      <c r="M315" s="16" t="s">
        <v>67</v>
      </c>
      <c r="N315" s="16" t="s">
        <v>68</v>
      </c>
      <c r="O315" s="16" t="s">
        <v>436</v>
      </c>
      <c r="P315" s="16" t="s">
        <v>572</v>
      </c>
      <c r="Q315" s="16" t="s">
        <v>71</v>
      </c>
      <c r="R315" s="17" t="s">
        <v>3814</v>
      </c>
      <c r="S315" s="16" t="s">
        <v>662</v>
      </c>
      <c r="T315" s="16" t="s">
        <v>74</v>
      </c>
      <c r="U315" s="16" t="s">
        <v>75</v>
      </c>
      <c r="V315" s="16" t="s">
        <v>3815</v>
      </c>
      <c r="W315" s="16"/>
      <c r="X315" s="16" t="s">
        <v>3816</v>
      </c>
      <c r="Y315" s="16" t="s">
        <v>78</v>
      </c>
      <c r="Z315" s="16" t="s">
        <v>666</v>
      </c>
      <c r="AA315" s="16" t="s">
        <v>667</v>
      </c>
      <c r="AB315" s="17" t="s">
        <v>3817</v>
      </c>
      <c r="AC315" s="16" t="s">
        <v>71</v>
      </c>
      <c r="AD315" s="17" t="s">
        <v>3817</v>
      </c>
      <c r="AF315" s="17" t="s">
        <v>3818</v>
      </c>
      <c r="AG315" s="16" t="s">
        <v>2817</v>
      </c>
      <c r="AH315" s="16" t="s">
        <v>1003</v>
      </c>
      <c r="AI315" s="16" t="s">
        <v>1076</v>
      </c>
      <c r="AJ315" s="16"/>
      <c r="AK315" s="16"/>
      <c r="AL315" s="16" t="s">
        <v>3819</v>
      </c>
    </row>
    <row r="316" spans="1:38" x14ac:dyDescent="0.5">
      <c r="A316">
        <v>19588</v>
      </c>
      <c r="B316" s="16" t="s">
        <v>3820</v>
      </c>
      <c r="C316" s="16" t="s">
        <v>3820</v>
      </c>
      <c r="D316" s="16" t="s">
        <v>3821</v>
      </c>
      <c r="E316" s="16" t="s">
        <v>3822</v>
      </c>
      <c r="F316" s="17" t="s">
        <v>3823</v>
      </c>
      <c r="H316" s="16" t="s">
        <v>699</v>
      </c>
      <c r="I316" s="16" t="s">
        <v>3824</v>
      </c>
      <c r="J316" s="33">
        <v>42479</v>
      </c>
      <c r="K316" s="33">
        <v>43465</v>
      </c>
      <c r="L316" s="16" t="s">
        <v>66</v>
      </c>
      <c r="M316" s="16" t="s">
        <v>235</v>
      </c>
      <c r="N316" s="16" t="s">
        <v>236</v>
      </c>
      <c r="O316" s="16" t="s">
        <v>1482</v>
      </c>
      <c r="P316" s="16" t="s">
        <v>572</v>
      </c>
      <c r="Q316" s="16" t="s">
        <v>71</v>
      </c>
      <c r="R316" s="17" t="s">
        <v>3825</v>
      </c>
      <c r="S316" s="16" t="s">
        <v>3826</v>
      </c>
      <c r="T316" s="16" t="s">
        <v>3827</v>
      </c>
      <c r="U316" s="16" t="s">
        <v>3828</v>
      </c>
      <c r="V316" s="16" t="s">
        <v>3829</v>
      </c>
      <c r="W316" s="16"/>
      <c r="X316" s="16" t="s">
        <v>3830</v>
      </c>
      <c r="Y316" s="16" t="s">
        <v>744</v>
      </c>
      <c r="Z316" s="16"/>
      <c r="AA316" s="16"/>
      <c r="AB316" s="17" t="s">
        <v>3831</v>
      </c>
      <c r="AC316" s="16" t="s">
        <v>71</v>
      </c>
      <c r="AD316" s="17" t="s">
        <v>3831</v>
      </c>
      <c r="AE316" s="17" t="s">
        <v>3832</v>
      </c>
      <c r="AG316" s="16" t="s">
        <v>579</v>
      </c>
      <c r="AH316" s="16" t="s">
        <v>2632</v>
      </c>
      <c r="AI316" s="16"/>
      <c r="AJ316" s="16"/>
      <c r="AK316" s="16"/>
      <c r="AL316" s="16" t="s">
        <v>699</v>
      </c>
    </row>
    <row r="317" spans="1:38" x14ac:dyDescent="0.5">
      <c r="A317">
        <v>19592</v>
      </c>
      <c r="B317" s="16" t="s">
        <v>3833</v>
      </c>
      <c r="C317" s="16" t="s">
        <v>3833</v>
      </c>
      <c r="D317" s="16"/>
      <c r="E317" s="16" t="s">
        <v>3834</v>
      </c>
      <c r="F317" s="17" t="s">
        <v>3835</v>
      </c>
      <c r="H317" s="16" t="s">
        <v>456</v>
      </c>
      <c r="I317" s="16" t="s">
        <v>3836</v>
      </c>
      <c r="J317" s="33">
        <v>42192</v>
      </c>
      <c r="K317" s="33">
        <v>43465</v>
      </c>
      <c r="L317" s="16" t="s">
        <v>66</v>
      </c>
      <c r="M317" s="16" t="s">
        <v>67</v>
      </c>
      <c r="N317" s="16" t="s">
        <v>68</v>
      </c>
      <c r="O317" s="16" t="s">
        <v>436</v>
      </c>
      <c r="P317" s="16"/>
      <c r="Q317" s="16" t="s">
        <v>71</v>
      </c>
      <c r="R317" s="17" t="s">
        <v>3837</v>
      </c>
      <c r="S317" s="16" t="s">
        <v>404</v>
      </c>
      <c r="T317" s="16" t="s">
        <v>74</v>
      </c>
      <c r="U317" s="16" t="s">
        <v>75</v>
      </c>
      <c r="V317" s="16" t="s">
        <v>3838</v>
      </c>
      <c r="W317" s="16"/>
      <c r="X317" s="16" t="s">
        <v>3839</v>
      </c>
      <c r="Y317" s="16" t="s">
        <v>78</v>
      </c>
      <c r="Z317" s="16" t="s">
        <v>172</v>
      </c>
      <c r="AA317" s="16" t="s">
        <v>173</v>
      </c>
      <c r="AB317" s="17" t="s">
        <v>3840</v>
      </c>
      <c r="AC317" s="16" t="s">
        <v>71</v>
      </c>
      <c r="AD317" s="17" t="s">
        <v>3840</v>
      </c>
      <c r="AG317" s="16" t="s">
        <v>2420</v>
      </c>
      <c r="AH317" s="16" t="s">
        <v>3841</v>
      </c>
      <c r="AI317" s="16"/>
      <c r="AJ317" s="16"/>
      <c r="AK317" s="16"/>
      <c r="AL317" s="16" t="s">
        <v>3842</v>
      </c>
    </row>
    <row r="318" spans="1:38" x14ac:dyDescent="0.5">
      <c r="A318">
        <v>19620</v>
      </c>
      <c r="B318" s="16" t="s">
        <v>229</v>
      </c>
      <c r="C318" s="16" t="s">
        <v>229</v>
      </c>
      <c r="D318" s="16"/>
      <c r="E318" s="16" t="s">
        <v>3843</v>
      </c>
      <c r="F318" s="17" t="s">
        <v>3844</v>
      </c>
      <c r="G318" s="17" t="s">
        <v>3845</v>
      </c>
      <c r="H318" s="16" t="s">
        <v>445</v>
      </c>
      <c r="I318" s="16" t="s">
        <v>2401</v>
      </c>
      <c r="J318" s="33">
        <v>41274</v>
      </c>
      <c r="K318" s="33">
        <v>43465</v>
      </c>
      <c r="L318" s="16" t="s">
        <v>66</v>
      </c>
      <c r="M318" s="16" t="s">
        <v>67</v>
      </c>
      <c r="N318" s="16" t="s">
        <v>68</v>
      </c>
      <c r="O318" s="16" t="s">
        <v>202</v>
      </c>
      <c r="P318" s="16" t="s">
        <v>1792</v>
      </c>
      <c r="Q318" s="16" t="s">
        <v>71</v>
      </c>
      <c r="R318" s="17" t="s">
        <v>3846</v>
      </c>
      <c r="S318" s="16" t="s">
        <v>2403</v>
      </c>
      <c r="T318" s="16" t="s">
        <v>74</v>
      </c>
      <c r="U318" s="16" t="s">
        <v>75</v>
      </c>
      <c r="V318" s="16" t="s">
        <v>3847</v>
      </c>
      <c r="W318" s="16" t="s">
        <v>3848</v>
      </c>
      <c r="X318" s="16" t="s">
        <v>3849</v>
      </c>
      <c r="Y318" s="16" t="s">
        <v>78</v>
      </c>
      <c r="Z318" s="16" t="s">
        <v>1158</v>
      </c>
      <c r="AA318" s="16" t="s">
        <v>1159</v>
      </c>
      <c r="AB318" s="17" t="s">
        <v>3850</v>
      </c>
      <c r="AC318" s="16" t="s">
        <v>71</v>
      </c>
      <c r="AD318" s="17" t="s">
        <v>3850</v>
      </c>
      <c r="AF318" s="17" t="s">
        <v>3851</v>
      </c>
      <c r="AG318" s="16" t="s">
        <v>1693</v>
      </c>
      <c r="AH318" s="16" t="s">
        <v>2346</v>
      </c>
      <c r="AI318" s="16"/>
      <c r="AJ318" s="16"/>
      <c r="AK318" s="16"/>
      <c r="AL318" s="16" t="s">
        <v>3852</v>
      </c>
    </row>
    <row r="319" spans="1:38" x14ac:dyDescent="0.5">
      <c r="A319">
        <v>19624</v>
      </c>
      <c r="B319" s="16" t="s">
        <v>3853</v>
      </c>
      <c r="C319" s="16" t="s">
        <v>3853</v>
      </c>
      <c r="D319" s="16"/>
      <c r="E319" s="16" t="s">
        <v>3854</v>
      </c>
      <c r="F319" s="17" t="s">
        <v>3855</v>
      </c>
      <c r="G319" s="17" t="s">
        <v>3856</v>
      </c>
      <c r="H319" s="16" t="s">
        <v>8608</v>
      </c>
      <c r="I319" s="16" t="s">
        <v>8609</v>
      </c>
      <c r="J319" s="33">
        <v>41242</v>
      </c>
      <c r="K319" s="33">
        <v>43465</v>
      </c>
      <c r="L319" s="16" t="s">
        <v>66</v>
      </c>
      <c r="M319" s="16" t="s">
        <v>67</v>
      </c>
      <c r="N319" s="16" t="s">
        <v>68</v>
      </c>
      <c r="O319" s="16" t="s">
        <v>1082</v>
      </c>
      <c r="P319" s="16" t="s">
        <v>4047</v>
      </c>
      <c r="Q319" s="16" t="s">
        <v>71</v>
      </c>
      <c r="R319" s="17" t="s">
        <v>3857</v>
      </c>
      <c r="S319" s="16" t="s">
        <v>3858</v>
      </c>
      <c r="T319" s="16" t="s">
        <v>74</v>
      </c>
      <c r="U319" s="16" t="s">
        <v>75</v>
      </c>
      <c r="V319" s="16" t="s">
        <v>3859</v>
      </c>
      <c r="W319" s="16"/>
      <c r="X319" s="16" t="s">
        <v>3860</v>
      </c>
      <c r="Y319" s="16" t="s">
        <v>78</v>
      </c>
      <c r="Z319" s="16" t="s">
        <v>296</v>
      </c>
      <c r="AA319" s="16" t="s">
        <v>297</v>
      </c>
      <c r="AB319" s="17" t="s">
        <v>3861</v>
      </c>
      <c r="AC319" s="16" t="s">
        <v>71</v>
      </c>
      <c r="AD319" s="17" t="s">
        <v>3861</v>
      </c>
      <c r="AF319" s="17" t="s">
        <v>3861</v>
      </c>
      <c r="AG319" s="16" t="s">
        <v>1884</v>
      </c>
      <c r="AH319" s="16" t="s">
        <v>781</v>
      </c>
      <c r="AI319" s="16" t="s">
        <v>2359</v>
      </c>
      <c r="AJ319" s="16"/>
      <c r="AK319" s="16"/>
      <c r="AL319" s="16" t="s">
        <v>3862</v>
      </c>
    </row>
    <row r="320" spans="1:38" x14ac:dyDescent="0.5">
      <c r="A320">
        <v>19626</v>
      </c>
      <c r="B320" s="16" t="s">
        <v>3863</v>
      </c>
      <c r="C320" s="16" t="s">
        <v>3863</v>
      </c>
      <c r="D320" s="16"/>
      <c r="E320" s="16" t="s">
        <v>3864</v>
      </c>
      <c r="F320" s="17" t="s">
        <v>3865</v>
      </c>
      <c r="H320" s="16" t="s">
        <v>456</v>
      </c>
      <c r="I320" s="16" t="s">
        <v>3866</v>
      </c>
      <c r="J320" s="33">
        <v>41240</v>
      </c>
      <c r="K320" s="33">
        <v>43465</v>
      </c>
      <c r="L320" s="16" t="s">
        <v>66</v>
      </c>
      <c r="M320" s="16" t="s">
        <v>67</v>
      </c>
      <c r="N320" s="16" t="s">
        <v>68</v>
      </c>
      <c r="O320" s="16" t="s">
        <v>436</v>
      </c>
      <c r="P320" s="16"/>
      <c r="Q320" s="16" t="s">
        <v>71</v>
      </c>
      <c r="R320" s="17" t="s">
        <v>3867</v>
      </c>
      <c r="S320" s="16" t="s">
        <v>3868</v>
      </c>
      <c r="T320" s="16" t="s">
        <v>74</v>
      </c>
      <c r="U320" s="16" t="s">
        <v>75</v>
      </c>
      <c r="V320" s="16" t="s">
        <v>3869</v>
      </c>
      <c r="W320" s="16"/>
      <c r="X320" s="16" t="s">
        <v>3870</v>
      </c>
      <c r="Y320" s="16" t="s">
        <v>78</v>
      </c>
      <c r="Z320" s="16" t="s">
        <v>1211</v>
      </c>
      <c r="AA320" s="16" t="s">
        <v>1212</v>
      </c>
      <c r="AB320" s="17" t="s">
        <v>3871</v>
      </c>
      <c r="AC320" s="16" t="s">
        <v>71</v>
      </c>
      <c r="AD320" s="17" t="s">
        <v>3871</v>
      </c>
      <c r="AE320" s="17" t="s">
        <v>3872</v>
      </c>
      <c r="AG320" s="16" t="s">
        <v>1884</v>
      </c>
      <c r="AH320" s="16" t="s">
        <v>579</v>
      </c>
      <c r="AI320" s="16"/>
      <c r="AJ320" s="16"/>
      <c r="AK320" s="16"/>
      <c r="AL320" s="16" t="s">
        <v>3873</v>
      </c>
    </row>
    <row r="321" spans="1:38" x14ac:dyDescent="0.5">
      <c r="A321">
        <v>19631</v>
      </c>
      <c r="B321" s="16" t="s">
        <v>1941</v>
      </c>
      <c r="C321" s="16" t="s">
        <v>3874</v>
      </c>
      <c r="D321" s="16"/>
      <c r="E321" s="16" t="s">
        <v>3875</v>
      </c>
      <c r="F321" s="17" t="s">
        <v>3876</v>
      </c>
      <c r="H321" s="16" t="s">
        <v>3877</v>
      </c>
      <c r="I321" s="16" t="s">
        <v>3878</v>
      </c>
      <c r="J321" s="33">
        <v>42978</v>
      </c>
      <c r="K321" s="33">
        <v>43342</v>
      </c>
      <c r="L321" s="16" t="s">
        <v>66</v>
      </c>
      <c r="M321" s="16" t="s">
        <v>235</v>
      </c>
      <c r="N321" s="16" t="s">
        <v>236</v>
      </c>
      <c r="O321" s="16" t="s">
        <v>237</v>
      </c>
      <c r="P321" s="16" t="s">
        <v>572</v>
      </c>
      <c r="Q321" s="16" t="s">
        <v>71</v>
      </c>
      <c r="R321" s="17" t="s">
        <v>3879</v>
      </c>
      <c r="S321" s="16" t="s">
        <v>1497</v>
      </c>
      <c r="T321" s="16" t="s">
        <v>74</v>
      </c>
      <c r="U321" s="16" t="s">
        <v>75</v>
      </c>
      <c r="V321" s="16" t="s">
        <v>3880</v>
      </c>
      <c r="W321" s="16"/>
      <c r="X321" s="16" t="s">
        <v>3881</v>
      </c>
      <c r="Y321" s="16" t="s">
        <v>78</v>
      </c>
      <c r="Z321" s="16" t="s">
        <v>1025</v>
      </c>
      <c r="AA321" s="16" t="s">
        <v>1026</v>
      </c>
      <c r="AB321" s="17" t="s">
        <v>3882</v>
      </c>
      <c r="AC321" s="16" t="s">
        <v>71</v>
      </c>
      <c r="AD321" s="17" t="s">
        <v>3882</v>
      </c>
      <c r="AG321" s="16" t="s">
        <v>579</v>
      </c>
      <c r="AH321" s="16" t="s">
        <v>2552</v>
      </c>
      <c r="AI321" s="16"/>
      <c r="AJ321" s="16"/>
      <c r="AK321" s="16"/>
      <c r="AL321" s="16" t="s">
        <v>3883</v>
      </c>
    </row>
    <row r="322" spans="1:38" x14ac:dyDescent="0.5">
      <c r="A322">
        <v>19632</v>
      </c>
      <c r="B322" s="16" t="s">
        <v>793</v>
      </c>
      <c r="C322" s="16" t="s">
        <v>3884</v>
      </c>
      <c r="D322" s="16"/>
      <c r="E322" s="16" t="s">
        <v>3885</v>
      </c>
      <c r="F322" s="17" t="s">
        <v>3886</v>
      </c>
      <c r="H322" s="16" t="s">
        <v>3887</v>
      </c>
      <c r="I322" s="16" t="s">
        <v>155</v>
      </c>
      <c r="J322" s="33">
        <v>41246</v>
      </c>
      <c r="K322" s="33">
        <v>43465</v>
      </c>
      <c r="L322" s="16" t="s">
        <v>66</v>
      </c>
      <c r="M322" s="16" t="s">
        <v>167</v>
      </c>
      <c r="N322" s="16" t="s">
        <v>110</v>
      </c>
      <c r="O322" s="16" t="s">
        <v>111</v>
      </c>
      <c r="P322" s="16" t="s">
        <v>572</v>
      </c>
      <c r="Q322" s="16" t="s">
        <v>71</v>
      </c>
      <c r="R322" s="17" t="s">
        <v>3888</v>
      </c>
      <c r="S322" s="16" t="s">
        <v>662</v>
      </c>
      <c r="T322" s="16" t="s">
        <v>74</v>
      </c>
      <c r="U322" s="16" t="s">
        <v>75</v>
      </c>
      <c r="V322" s="16" t="s">
        <v>3889</v>
      </c>
      <c r="W322" s="16" t="s">
        <v>3890</v>
      </c>
      <c r="X322" s="16" t="s">
        <v>3891</v>
      </c>
      <c r="Y322" s="16" t="s">
        <v>78</v>
      </c>
      <c r="Z322" s="16" t="s">
        <v>666</v>
      </c>
      <c r="AA322" s="16" t="s">
        <v>667</v>
      </c>
      <c r="AB322" s="17" t="s">
        <v>3892</v>
      </c>
      <c r="AC322" s="16" t="s">
        <v>71</v>
      </c>
      <c r="AD322" s="17" t="s">
        <v>3892</v>
      </c>
      <c r="AF322" s="17" t="s">
        <v>3893</v>
      </c>
      <c r="AG322" s="16" t="s">
        <v>1524</v>
      </c>
      <c r="AH322" s="16" t="s">
        <v>3662</v>
      </c>
      <c r="AI322" s="16"/>
      <c r="AJ322" s="16"/>
      <c r="AK322" s="16"/>
      <c r="AL322" s="16" t="s">
        <v>3894</v>
      </c>
    </row>
    <row r="323" spans="1:38" x14ac:dyDescent="0.5">
      <c r="A323">
        <v>19655</v>
      </c>
      <c r="B323" s="16" t="s">
        <v>246</v>
      </c>
      <c r="C323" s="16" t="s">
        <v>247</v>
      </c>
      <c r="D323" s="16" t="s">
        <v>302</v>
      </c>
      <c r="E323" s="16" t="s">
        <v>3895</v>
      </c>
      <c r="F323" s="17" t="s">
        <v>3896</v>
      </c>
      <c r="G323" s="17" t="s">
        <v>3897</v>
      </c>
      <c r="H323" s="16" t="s">
        <v>3898</v>
      </c>
      <c r="I323" s="16" t="s">
        <v>3899</v>
      </c>
      <c r="J323" s="33">
        <v>41262</v>
      </c>
      <c r="K323" s="33">
        <v>43465</v>
      </c>
      <c r="L323" s="16" t="s">
        <v>66</v>
      </c>
      <c r="M323" s="16" t="s">
        <v>67</v>
      </c>
      <c r="N323" s="16" t="s">
        <v>68</v>
      </c>
      <c r="O323" s="16" t="s">
        <v>1082</v>
      </c>
      <c r="P323" s="16" t="s">
        <v>1792</v>
      </c>
      <c r="Q323" s="16" t="s">
        <v>71</v>
      </c>
      <c r="R323" s="17" t="s">
        <v>3900</v>
      </c>
      <c r="S323" s="16" t="s">
        <v>1460</v>
      </c>
      <c r="T323" s="16" t="s">
        <v>74</v>
      </c>
      <c r="U323" s="16" t="s">
        <v>75</v>
      </c>
      <c r="V323" s="16" t="s">
        <v>3901</v>
      </c>
      <c r="W323" s="16"/>
      <c r="X323" s="16" t="s">
        <v>3902</v>
      </c>
      <c r="Y323" s="16" t="s">
        <v>78</v>
      </c>
      <c r="Z323" s="16" t="s">
        <v>242</v>
      </c>
      <c r="AA323" s="16" t="s">
        <v>243</v>
      </c>
      <c r="AB323" s="17" t="s">
        <v>3903</v>
      </c>
      <c r="AC323" s="16" t="s">
        <v>966</v>
      </c>
      <c r="AD323" s="17" t="s">
        <v>3903</v>
      </c>
      <c r="AF323" s="17" t="s">
        <v>3903</v>
      </c>
      <c r="AG323" s="16" t="s">
        <v>2021</v>
      </c>
      <c r="AH323" s="16" t="s">
        <v>871</v>
      </c>
      <c r="AI323" s="16"/>
      <c r="AJ323" s="16"/>
      <c r="AK323" s="16"/>
      <c r="AL323" s="16" t="s">
        <v>3904</v>
      </c>
    </row>
    <row r="324" spans="1:38" x14ac:dyDescent="0.5">
      <c r="A324">
        <v>19657</v>
      </c>
      <c r="B324" s="16" t="s">
        <v>3905</v>
      </c>
      <c r="C324" s="16" t="s">
        <v>3905</v>
      </c>
      <c r="D324" s="16"/>
      <c r="E324" s="16" t="s">
        <v>3906</v>
      </c>
      <c r="F324" s="17" t="s">
        <v>3907</v>
      </c>
      <c r="H324" s="16" t="s">
        <v>3908</v>
      </c>
      <c r="I324" s="16" t="s">
        <v>3909</v>
      </c>
      <c r="J324" s="33">
        <v>42787</v>
      </c>
      <c r="K324" s="33">
        <v>43465</v>
      </c>
      <c r="L324" s="16" t="s">
        <v>66</v>
      </c>
      <c r="M324" s="16" t="s">
        <v>67</v>
      </c>
      <c r="N324" s="16" t="s">
        <v>68</v>
      </c>
      <c r="O324" s="16" t="s">
        <v>436</v>
      </c>
      <c r="P324" s="16" t="s">
        <v>572</v>
      </c>
      <c r="Q324" s="16" t="s">
        <v>71</v>
      </c>
      <c r="R324" s="17" t="s">
        <v>3910</v>
      </c>
      <c r="S324" s="16" t="s">
        <v>3911</v>
      </c>
      <c r="T324" s="16" t="s">
        <v>74</v>
      </c>
      <c r="U324" s="16" t="s">
        <v>75</v>
      </c>
      <c r="V324" s="16" t="s">
        <v>3912</v>
      </c>
      <c r="W324" s="16" t="s">
        <v>3913</v>
      </c>
      <c r="X324" s="16" t="s">
        <v>3914</v>
      </c>
      <c r="Y324" s="16" t="s">
        <v>78</v>
      </c>
      <c r="Z324" s="16" t="s">
        <v>132</v>
      </c>
      <c r="AA324" s="16" t="s">
        <v>133</v>
      </c>
      <c r="AB324" s="17" t="s">
        <v>3915</v>
      </c>
      <c r="AC324" s="16" t="s">
        <v>71</v>
      </c>
      <c r="AD324" s="17" t="s">
        <v>3915</v>
      </c>
      <c r="AF324" s="17" t="s">
        <v>3916</v>
      </c>
      <c r="AG324" s="16" t="s">
        <v>3373</v>
      </c>
      <c r="AH324" s="16" t="s">
        <v>1216</v>
      </c>
      <c r="AI324" s="16" t="s">
        <v>579</v>
      </c>
      <c r="AJ324" s="16"/>
      <c r="AK324" s="16"/>
      <c r="AL324" s="16" t="s">
        <v>3908</v>
      </c>
    </row>
    <row r="325" spans="1:38" x14ac:dyDescent="0.5">
      <c r="A325">
        <v>19661</v>
      </c>
      <c r="B325" s="16" t="s">
        <v>3917</v>
      </c>
      <c r="C325" s="16" t="s">
        <v>3917</v>
      </c>
      <c r="D325" s="16"/>
      <c r="E325" s="16" t="s">
        <v>3918</v>
      </c>
      <c r="F325" s="17" t="s">
        <v>3919</v>
      </c>
      <c r="H325" s="16" t="s">
        <v>3920</v>
      </c>
      <c r="I325" s="16" t="s">
        <v>3921</v>
      </c>
      <c r="J325" s="33">
        <v>42038</v>
      </c>
      <c r="K325" s="33">
        <v>43465</v>
      </c>
      <c r="L325" s="16" t="s">
        <v>66</v>
      </c>
      <c r="M325" s="16" t="s">
        <v>67</v>
      </c>
      <c r="N325" s="16" t="s">
        <v>68</v>
      </c>
      <c r="O325" s="16" t="s">
        <v>436</v>
      </c>
      <c r="P325" s="16" t="s">
        <v>572</v>
      </c>
      <c r="Q325" s="16" t="s">
        <v>71</v>
      </c>
      <c r="R325" s="17" t="s">
        <v>3922</v>
      </c>
      <c r="S325" s="16" t="s">
        <v>1771</v>
      </c>
      <c r="T325" s="16" t="s">
        <v>74</v>
      </c>
      <c r="U325" s="16" t="s">
        <v>75</v>
      </c>
      <c r="V325" s="16" t="s">
        <v>3923</v>
      </c>
      <c r="W325" s="16" t="s">
        <v>3924</v>
      </c>
      <c r="X325" s="16" t="s">
        <v>3925</v>
      </c>
      <c r="Y325" s="16" t="s">
        <v>78</v>
      </c>
      <c r="Z325" s="16" t="s">
        <v>1025</v>
      </c>
      <c r="AA325" s="16" t="s">
        <v>1026</v>
      </c>
      <c r="AB325" s="17" t="s">
        <v>3926</v>
      </c>
      <c r="AC325" s="16" t="s">
        <v>71</v>
      </c>
      <c r="AD325" s="17" t="s">
        <v>3926</v>
      </c>
      <c r="AF325" s="17" t="s">
        <v>3927</v>
      </c>
      <c r="AG325" s="16" t="s">
        <v>1003</v>
      </c>
      <c r="AH325" s="16" t="s">
        <v>1285</v>
      </c>
      <c r="AI325" s="16"/>
      <c r="AJ325" s="16"/>
      <c r="AK325" s="16"/>
      <c r="AL325" s="16" t="s">
        <v>3928</v>
      </c>
    </row>
    <row r="326" spans="1:38" x14ac:dyDescent="0.5">
      <c r="A326">
        <v>19741</v>
      </c>
      <c r="B326" s="16" t="s">
        <v>2254</v>
      </c>
      <c r="C326" s="16" t="s">
        <v>2254</v>
      </c>
      <c r="D326" s="16"/>
      <c r="E326" s="16" t="s">
        <v>3929</v>
      </c>
      <c r="F326" s="17" t="s">
        <v>3930</v>
      </c>
      <c r="G326" s="17" t="s">
        <v>3931</v>
      </c>
      <c r="H326" s="16" t="s">
        <v>3932</v>
      </c>
      <c r="I326" s="16" t="s">
        <v>3933</v>
      </c>
      <c r="J326" s="33">
        <v>42117</v>
      </c>
      <c r="K326" s="33">
        <v>43465</v>
      </c>
      <c r="L326" s="16" t="s">
        <v>66</v>
      </c>
      <c r="M326" s="16" t="s">
        <v>67</v>
      </c>
      <c r="N326" s="16" t="s">
        <v>68</v>
      </c>
      <c r="O326" s="16" t="s">
        <v>202</v>
      </c>
      <c r="P326" s="16" t="s">
        <v>572</v>
      </c>
      <c r="Q326" s="16" t="s">
        <v>71</v>
      </c>
      <c r="R326" s="17" t="s">
        <v>3934</v>
      </c>
      <c r="S326" s="16" t="s">
        <v>3073</v>
      </c>
      <c r="T326" s="16" t="s">
        <v>74</v>
      </c>
      <c r="U326" s="16" t="s">
        <v>75</v>
      </c>
      <c r="V326" s="16" t="s">
        <v>3935</v>
      </c>
      <c r="W326" s="16"/>
      <c r="X326" s="16" t="s">
        <v>3936</v>
      </c>
      <c r="Y326" s="16" t="s">
        <v>78</v>
      </c>
      <c r="Z326" s="16" t="s">
        <v>2165</v>
      </c>
      <c r="AA326" s="16" t="s">
        <v>2166</v>
      </c>
      <c r="AB326" s="17" t="s">
        <v>3937</v>
      </c>
      <c r="AC326" s="16" t="s">
        <v>71</v>
      </c>
      <c r="AD326" s="17" t="s">
        <v>3937</v>
      </c>
      <c r="AF326" s="17" t="s">
        <v>3938</v>
      </c>
      <c r="AG326" s="16" t="s">
        <v>3939</v>
      </c>
      <c r="AH326" s="16" t="s">
        <v>3940</v>
      </c>
      <c r="AI326" s="16" t="s">
        <v>3941</v>
      </c>
      <c r="AJ326" s="16"/>
      <c r="AK326" s="16"/>
      <c r="AL326" s="16" t="s">
        <v>3942</v>
      </c>
    </row>
    <row r="327" spans="1:38" x14ac:dyDescent="0.5">
      <c r="A327">
        <v>19747</v>
      </c>
      <c r="B327" s="16" t="s">
        <v>326</v>
      </c>
      <c r="C327" s="16" t="s">
        <v>326</v>
      </c>
      <c r="D327" s="16"/>
      <c r="E327" s="16" t="s">
        <v>3943</v>
      </c>
      <c r="F327" s="17" t="s">
        <v>3944</v>
      </c>
      <c r="H327" s="16" t="s">
        <v>3945</v>
      </c>
      <c r="I327" s="16" t="s">
        <v>3946</v>
      </c>
      <c r="J327" s="33">
        <v>42921</v>
      </c>
      <c r="K327" s="33">
        <v>43465</v>
      </c>
      <c r="L327" s="16" t="s">
        <v>66</v>
      </c>
      <c r="M327" s="16" t="s">
        <v>235</v>
      </c>
      <c r="N327" s="16" t="s">
        <v>236</v>
      </c>
      <c r="O327" s="16" t="s">
        <v>237</v>
      </c>
      <c r="P327" s="16" t="s">
        <v>572</v>
      </c>
      <c r="Q327" s="16" t="s">
        <v>71</v>
      </c>
      <c r="R327" s="17" t="s">
        <v>3947</v>
      </c>
      <c r="S327" s="16" t="s">
        <v>255</v>
      </c>
      <c r="T327" s="16" t="s">
        <v>74</v>
      </c>
      <c r="U327" s="16" t="s">
        <v>75</v>
      </c>
      <c r="V327" s="16" t="s">
        <v>3948</v>
      </c>
      <c r="W327" s="16"/>
      <c r="X327" s="16" t="s">
        <v>3949</v>
      </c>
      <c r="Y327" s="16" t="s">
        <v>78</v>
      </c>
      <c r="Z327" s="16" t="s">
        <v>117</v>
      </c>
      <c r="AA327" s="16" t="s">
        <v>113</v>
      </c>
      <c r="AB327" s="17" t="s">
        <v>3950</v>
      </c>
      <c r="AC327" s="16" t="s">
        <v>71</v>
      </c>
      <c r="AD327" s="17" t="s">
        <v>3950</v>
      </c>
      <c r="AF327" s="17" t="s">
        <v>3951</v>
      </c>
      <c r="AG327" s="16" t="s">
        <v>578</v>
      </c>
      <c r="AH327" s="16" t="s">
        <v>2552</v>
      </c>
      <c r="AI327" s="16"/>
      <c r="AJ327" s="16"/>
      <c r="AK327" s="16"/>
      <c r="AL327" s="16" t="s">
        <v>3952</v>
      </c>
    </row>
    <row r="328" spans="1:38" x14ac:dyDescent="0.5">
      <c r="A328">
        <v>19754</v>
      </c>
      <c r="B328" s="16" t="s">
        <v>3953</v>
      </c>
      <c r="C328" s="16" t="s">
        <v>3953</v>
      </c>
      <c r="D328" s="16"/>
      <c r="E328" s="16" t="s">
        <v>61</v>
      </c>
      <c r="F328" s="17" t="s">
        <v>3954</v>
      </c>
      <c r="H328" s="16" t="s">
        <v>819</v>
      </c>
      <c r="I328" s="16" t="s">
        <v>3955</v>
      </c>
      <c r="J328" s="33">
        <v>41331</v>
      </c>
      <c r="K328" s="33">
        <v>43465</v>
      </c>
      <c r="L328" s="16" t="s">
        <v>66</v>
      </c>
      <c r="M328" s="16" t="s">
        <v>1036</v>
      </c>
      <c r="N328" s="16" t="s">
        <v>1252</v>
      </c>
      <c r="O328" s="16" t="s">
        <v>1037</v>
      </c>
      <c r="P328" s="16" t="s">
        <v>572</v>
      </c>
      <c r="Q328" s="16" t="s">
        <v>71</v>
      </c>
      <c r="R328" s="17" t="s">
        <v>3956</v>
      </c>
      <c r="S328" s="16" t="s">
        <v>113</v>
      </c>
      <c r="T328" s="16" t="s">
        <v>74</v>
      </c>
      <c r="U328" s="16" t="s">
        <v>75</v>
      </c>
      <c r="V328" s="16" t="s">
        <v>3957</v>
      </c>
      <c r="W328" s="16"/>
      <c r="X328" s="16" t="s">
        <v>3340</v>
      </c>
      <c r="Y328" s="16" t="s">
        <v>78</v>
      </c>
      <c r="Z328" s="16" t="s">
        <v>117</v>
      </c>
      <c r="AA328" s="16" t="s">
        <v>113</v>
      </c>
      <c r="AB328" s="17" t="s">
        <v>3958</v>
      </c>
      <c r="AC328" s="16" t="s">
        <v>71</v>
      </c>
      <c r="AD328" s="17" t="s">
        <v>3958</v>
      </c>
      <c r="AG328" s="16" t="s">
        <v>579</v>
      </c>
      <c r="AH328" s="16" t="s">
        <v>3136</v>
      </c>
      <c r="AI328" s="16"/>
      <c r="AJ328" s="16"/>
      <c r="AK328" s="16"/>
      <c r="AL328" s="16" t="s">
        <v>3959</v>
      </c>
    </row>
    <row r="329" spans="1:38" x14ac:dyDescent="0.5">
      <c r="A329">
        <v>19756</v>
      </c>
      <c r="B329" s="16" t="s">
        <v>2146</v>
      </c>
      <c r="C329" s="16" t="s">
        <v>2146</v>
      </c>
      <c r="D329" s="16"/>
      <c r="E329" s="16" t="s">
        <v>3960</v>
      </c>
      <c r="F329" s="17" t="s">
        <v>3961</v>
      </c>
      <c r="G329" s="17" t="s">
        <v>3962</v>
      </c>
      <c r="H329" s="16" t="s">
        <v>3963</v>
      </c>
      <c r="I329" s="16" t="s">
        <v>3964</v>
      </c>
      <c r="J329" s="33">
        <v>41331</v>
      </c>
      <c r="K329" s="33">
        <v>43465</v>
      </c>
      <c r="L329" s="16" t="s">
        <v>66</v>
      </c>
      <c r="M329" s="16" t="s">
        <v>67</v>
      </c>
      <c r="N329" s="16" t="s">
        <v>68</v>
      </c>
      <c r="O329" s="16" t="s">
        <v>436</v>
      </c>
      <c r="P329" s="16" t="s">
        <v>572</v>
      </c>
      <c r="Q329" s="16" t="s">
        <v>71</v>
      </c>
      <c r="R329" s="17" t="s">
        <v>3965</v>
      </c>
      <c r="S329" s="16" t="s">
        <v>1111</v>
      </c>
      <c r="T329" s="16" t="s">
        <v>74</v>
      </c>
      <c r="U329" s="16" t="s">
        <v>75</v>
      </c>
      <c r="V329" s="16" t="s">
        <v>3966</v>
      </c>
      <c r="W329" s="16"/>
      <c r="X329" s="16" t="s">
        <v>3967</v>
      </c>
      <c r="Y329" s="16" t="s">
        <v>78</v>
      </c>
      <c r="Z329" s="16" t="s">
        <v>207</v>
      </c>
      <c r="AA329" s="16" t="s">
        <v>208</v>
      </c>
      <c r="AB329" s="17" t="s">
        <v>3968</v>
      </c>
      <c r="AC329" s="16" t="s">
        <v>71</v>
      </c>
      <c r="AD329" s="17" t="s">
        <v>3968</v>
      </c>
      <c r="AG329" s="16" t="s">
        <v>579</v>
      </c>
      <c r="AH329" s="16" t="s">
        <v>2289</v>
      </c>
      <c r="AI329" s="16"/>
      <c r="AJ329" s="16"/>
      <c r="AK329" s="16"/>
      <c r="AL329" s="16" t="s">
        <v>3969</v>
      </c>
    </row>
    <row r="330" spans="1:38" x14ac:dyDescent="0.5">
      <c r="A330">
        <v>19757</v>
      </c>
      <c r="B330" s="16" t="s">
        <v>1941</v>
      </c>
      <c r="C330" s="16" t="s">
        <v>1941</v>
      </c>
      <c r="D330" s="16"/>
      <c r="E330" s="16" t="s">
        <v>3970</v>
      </c>
      <c r="F330" s="17" t="s">
        <v>3971</v>
      </c>
      <c r="H330" s="16" t="s">
        <v>3972</v>
      </c>
      <c r="I330" s="16" t="s">
        <v>3731</v>
      </c>
      <c r="J330" s="33">
        <v>41353</v>
      </c>
      <c r="K330" s="33">
        <v>43465</v>
      </c>
      <c r="L330" s="16" t="s">
        <v>66</v>
      </c>
      <c r="M330" s="16" t="s">
        <v>235</v>
      </c>
      <c r="N330" s="16" t="s">
        <v>236</v>
      </c>
      <c r="O330" s="16" t="s">
        <v>111</v>
      </c>
      <c r="P330" s="16" t="s">
        <v>1792</v>
      </c>
      <c r="Q330" s="16" t="s">
        <v>71</v>
      </c>
      <c r="R330" s="17" t="s">
        <v>3973</v>
      </c>
      <c r="S330" s="16" t="s">
        <v>662</v>
      </c>
      <c r="T330" s="16" t="s">
        <v>74</v>
      </c>
      <c r="U330" s="16" t="s">
        <v>75</v>
      </c>
      <c r="V330" s="16" t="s">
        <v>3974</v>
      </c>
      <c r="W330" s="16"/>
      <c r="X330" s="16" t="s">
        <v>3975</v>
      </c>
      <c r="Y330" s="16" t="s">
        <v>78</v>
      </c>
      <c r="Z330" s="16" t="s">
        <v>666</v>
      </c>
      <c r="AA330" s="16" t="s">
        <v>667</v>
      </c>
      <c r="AB330" s="17" t="s">
        <v>3976</v>
      </c>
      <c r="AC330" s="16" t="s">
        <v>71</v>
      </c>
      <c r="AD330" s="17" t="s">
        <v>3976</v>
      </c>
      <c r="AG330" s="16" t="s">
        <v>579</v>
      </c>
      <c r="AH330" s="16" t="s">
        <v>1403</v>
      </c>
      <c r="AI330" s="16"/>
      <c r="AJ330" s="16"/>
      <c r="AK330" s="16"/>
      <c r="AL330" s="16" t="s">
        <v>3977</v>
      </c>
    </row>
    <row r="331" spans="1:38" x14ac:dyDescent="0.5">
      <c r="A331">
        <v>19758</v>
      </c>
      <c r="B331" s="16" t="s">
        <v>3978</v>
      </c>
      <c r="C331" s="16" t="s">
        <v>3978</v>
      </c>
      <c r="D331" s="16"/>
      <c r="E331" s="16" t="s">
        <v>3979</v>
      </c>
      <c r="F331" s="17" t="s">
        <v>3980</v>
      </c>
      <c r="H331" s="16" t="s">
        <v>2257</v>
      </c>
      <c r="I331" s="16" t="s">
        <v>3981</v>
      </c>
      <c r="J331" s="33">
        <v>41337</v>
      </c>
      <c r="K331" s="33">
        <v>43465</v>
      </c>
      <c r="L331" s="16" t="s">
        <v>66</v>
      </c>
      <c r="M331" s="16" t="s">
        <v>67</v>
      </c>
      <c r="N331" s="16" t="s">
        <v>68</v>
      </c>
      <c r="O331" s="16" t="s">
        <v>436</v>
      </c>
      <c r="P331" s="16" t="s">
        <v>572</v>
      </c>
      <c r="Q331" s="16" t="s">
        <v>71</v>
      </c>
      <c r="R331" s="17" t="s">
        <v>3982</v>
      </c>
      <c r="S331" s="16" t="s">
        <v>3983</v>
      </c>
      <c r="T331" s="16" t="s">
        <v>74</v>
      </c>
      <c r="U331" s="16" t="s">
        <v>75</v>
      </c>
      <c r="V331" s="16" t="s">
        <v>3984</v>
      </c>
      <c r="W331" s="16"/>
      <c r="X331" s="16" t="s">
        <v>3985</v>
      </c>
      <c r="Y331" s="16" t="s">
        <v>78</v>
      </c>
      <c r="Z331" s="16" t="s">
        <v>132</v>
      </c>
      <c r="AA331" s="16" t="s">
        <v>133</v>
      </c>
      <c r="AB331" s="17" t="s">
        <v>3986</v>
      </c>
      <c r="AC331" s="16" t="s">
        <v>71</v>
      </c>
      <c r="AD331" s="17" t="s">
        <v>3986</v>
      </c>
      <c r="AE331" s="17" t="s">
        <v>3987</v>
      </c>
      <c r="AG331" s="16" t="s">
        <v>1017</v>
      </c>
      <c r="AH331" s="16" t="s">
        <v>3988</v>
      </c>
      <c r="AI331" s="16"/>
      <c r="AJ331" s="16"/>
      <c r="AK331" s="16"/>
      <c r="AL331" s="16" t="s">
        <v>3989</v>
      </c>
    </row>
    <row r="332" spans="1:38" x14ac:dyDescent="0.5">
      <c r="A332">
        <v>19759</v>
      </c>
      <c r="B332" s="16" t="s">
        <v>3990</v>
      </c>
      <c r="C332" s="16" t="s">
        <v>3990</v>
      </c>
      <c r="D332" s="16"/>
      <c r="E332" s="16" t="s">
        <v>1393</v>
      </c>
      <c r="F332" s="17" t="s">
        <v>3991</v>
      </c>
      <c r="G332" s="17" t="s">
        <v>3992</v>
      </c>
      <c r="H332" s="16" t="s">
        <v>3993</v>
      </c>
      <c r="I332" s="16" t="s">
        <v>3994</v>
      </c>
      <c r="J332" s="33">
        <v>41344</v>
      </c>
      <c r="K332" s="33">
        <v>43465</v>
      </c>
      <c r="L332" s="16" t="s">
        <v>66</v>
      </c>
      <c r="M332" s="16" t="s">
        <v>67</v>
      </c>
      <c r="N332" s="16" t="s">
        <v>68</v>
      </c>
      <c r="O332" s="16" t="s">
        <v>69</v>
      </c>
      <c r="P332" s="16"/>
      <c r="Q332" s="16" t="s">
        <v>71</v>
      </c>
      <c r="R332" s="17" t="s">
        <v>3995</v>
      </c>
      <c r="S332" s="16" t="s">
        <v>3996</v>
      </c>
      <c r="T332" s="16" t="s">
        <v>74</v>
      </c>
      <c r="U332" s="16" t="s">
        <v>75</v>
      </c>
      <c r="V332" s="16" t="s">
        <v>3997</v>
      </c>
      <c r="W332" s="16"/>
      <c r="X332" s="16" t="s">
        <v>3998</v>
      </c>
      <c r="Y332" s="16" t="s">
        <v>78</v>
      </c>
      <c r="Z332" s="16" t="s">
        <v>3999</v>
      </c>
      <c r="AA332" s="16" t="s">
        <v>4000</v>
      </c>
      <c r="AB332" s="17" t="s">
        <v>4001</v>
      </c>
      <c r="AC332" s="16" t="s">
        <v>71</v>
      </c>
      <c r="AD332" s="17" t="s">
        <v>4001</v>
      </c>
      <c r="AF332" s="17" t="s">
        <v>4002</v>
      </c>
      <c r="AG332" s="16" t="s">
        <v>4003</v>
      </c>
      <c r="AH332" s="16" t="s">
        <v>1784</v>
      </c>
      <c r="AI332" s="16"/>
      <c r="AJ332" s="16"/>
      <c r="AK332" s="16"/>
      <c r="AL332" s="16" t="s">
        <v>4004</v>
      </c>
    </row>
    <row r="333" spans="1:38" x14ac:dyDescent="0.5">
      <c r="A333">
        <v>19761</v>
      </c>
      <c r="B333" s="16" t="s">
        <v>532</v>
      </c>
      <c r="C333" s="16" t="s">
        <v>276</v>
      </c>
      <c r="D333" s="16"/>
      <c r="E333" s="16" t="s">
        <v>4005</v>
      </c>
      <c r="F333" s="17" t="s">
        <v>4006</v>
      </c>
      <c r="H333" s="16" t="s">
        <v>4007</v>
      </c>
      <c r="I333" s="16" t="s">
        <v>4008</v>
      </c>
      <c r="J333" s="33">
        <v>41365</v>
      </c>
      <c r="K333" s="33">
        <v>43465</v>
      </c>
      <c r="L333" s="16" t="s">
        <v>66</v>
      </c>
      <c r="M333" s="16" t="s">
        <v>67</v>
      </c>
      <c r="N333" s="16" t="s">
        <v>68</v>
      </c>
      <c r="O333" s="16" t="s">
        <v>436</v>
      </c>
      <c r="P333" s="16" t="s">
        <v>572</v>
      </c>
      <c r="Q333" s="16" t="s">
        <v>71</v>
      </c>
      <c r="R333" s="17" t="s">
        <v>4009</v>
      </c>
      <c r="S333" s="16" t="s">
        <v>4010</v>
      </c>
      <c r="T333" s="16" t="s">
        <v>74</v>
      </c>
      <c r="U333" s="16" t="s">
        <v>75</v>
      </c>
      <c r="V333" s="16" t="s">
        <v>4011</v>
      </c>
      <c r="W333" s="16"/>
      <c r="X333" s="16" t="s">
        <v>4012</v>
      </c>
      <c r="Y333" s="16" t="s">
        <v>78</v>
      </c>
      <c r="Z333" s="16" t="s">
        <v>883</v>
      </c>
      <c r="AA333" s="16" t="s">
        <v>884</v>
      </c>
      <c r="AB333" s="17" t="s">
        <v>4013</v>
      </c>
      <c r="AC333" s="16" t="s">
        <v>71</v>
      </c>
      <c r="AD333" s="17" t="s">
        <v>4013</v>
      </c>
      <c r="AG333" s="16" t="s">
        <v>1133</v>
      </c>
      <c r="AH333" s="16" t="s">
        <v>3736</v>
      </c>
      <c r="AI333" s="16"/>
      <c r="AJ333" s="16"/>
      <c r="AK333" s="16"/>
      <c r="AL333" s="16" t="s">
        <v>4014</v>
      </c>
    </row>
    <row r="334" spans="1:38" x14ac:dyDescent="0.5">
      <c r="A334">
        <v>19762</v>
      </c>
      <c r="B334" s="16" t="s">
        <v>1777</v>
      </c>
      <c r="C334" s="16" t="s">
        <v>1777</v>
      </c>
      <c r="D334" s="16"/>
      <c r="E334" s="16" t="s">
        <v>4015</v>
      </c>
      <c r="F334" s="17" t="s">
        <v>4016</v>
      </c>
      <c r="H334" s="16" t="s">
        <v>1976</v>
      </c>
      <c r="I334" s="16" t="s">
        <v>4017</v>
      </c>
      <c r="J334" s="33">
        <v>41397</v>
      </c>
      <c r="K334" s="33">
        <v>43465</v>
      </c>
      <c r="L334" s="16" t="s">
        <v>66</v>
      </c>
      <c r="M334" s="16" t="s">
        <v>67</v>
      </c>
      <c r="N334" s="16" t="s">
        <v>68</v>
      </c>
      <c r="O334" s="16" t="s">
        <v>436</v>
      </c>
      <c r="P334" s="16" t="s">
        <v>572</v>
      </c>
      <c r="Q334" s="16" t="s">
        <v>71</v>
      </c>
      <c r="R334" s="17" t="s">
        <v>4018</v>
      </c>
      <c r="S334" s="16" t="s">
        <v>2547</v>
      </c>
      <c r="T334" s="16" t="s">
        <v>74</v>
      </c>
      <c r="U334" s="16" t="s">
        <v>75</v>
      </c>
      <c r="V334" s="16" t="s">
        <v>4019</v>
      </c>
      <c r="W334" s="16"/>
      <c r="X334" s="16" t="s">
        <v>4020</v>
      </c>
      <c r="Y334" s="16" t="s">
        <v>78</v>
      </c>
      <c r="Z334" s="16" t="s">
        <v>242</v>
      </c>
      <c r="AA334" s="16" t="s">
        <v>243</v>
      </c>
      <c r="AB334" s="17" t="s">
        <v>4021</v>
      </c>
      <c r="AC334" s="16" t="s">
        <v>71</v>
      </c>
      <c r="AD334" s="17" t="s">
        <v>4021</v>
      </c>
      <c r="AG334" s="16" t="s">
        <v>1784</v>
      </c>
      <c r="AH334" s="16" t="s">
        <v>4022</v>
      </c>
      <c r="AI334" s="16"/>
      <c r="AJ334" s="16"/>
      <c r="AK334" s="16"/>
      <c r="AL334" s="16" t="s">
        <v>4023</v>
      </c>
    </row>
    <row r="335" spans="1:38" x14ac:dyDescent="0.5">
      <c r="A335">
        <v>19764</v>
      </c>
      <c r="B335" s="16" t="s">
        <v>4024</v>
      </c>
      <c r="C335" s="16" t="s">
        <v>4024</v>
      </c>
      <c r="D335" s="16"/>
      <c r="E335" s="16" t="s">
        <v>4025</v>
      </c>
      <c r="F335" s="17" t="s">
        <v>4026</v>
      </c>
      <c r="H335" s="16" t="s">
        <v>1429</v>
      </c>
      <c r="I335" s="16" t="s">
        <v>4027</v>
      </c>
      <c r="J335" s="33">
        <v>41345</v>
      </c>
      <c r="K335" s="33">
        <v>43465</v>
      </c>
      <c r="L335" s="16" t="s">
        <v>66</v>
      </c>
      <c r="M335" s="16" t="s">
        <v>67</v>
      </c>
      <c r="N335" s="16" t="s">
        <v>68</v>
      </c>
      <c r="O335" s="16" t="s">
        <v>436</v>
      </c>
      <c r="P335" s="16" t="s">
        <v>572</v>
      </c>
      <c r="Q335" s="16" t="s">
        <v>71</v>
      </c>
      <c r="R335" s="17" t="s">
        <v>4028</v>
      </c>
      <c r="S335" s="16" t="s">
        <v>752</v>
      </c>
      <c r="T335" s="16" t="s">
        <v>74</v>
      </c>
      <c r="U335" s="16" t="s">
        <v>75</v>
      </c>
      <c r="V335" s="16" t="s">
        <v>4029</v>
      </c>
      <c r="W335" s="16" t="s">
        <v>1600</v>
      </c>
      <c r="X335" s="16" t="s">
        <v>3508</v>
      </c>
      <c r="Y335" s="16" t="s">
        <v>78</v>
      </c>
      <c r="Z335" s="16" t="s">
        <v>132</v>
      </c>
      <c r="AA335" s="16" t="s">
        <v>133</v>
      </c>
      <c r="AB335" s="17" t="s">
        <v>4030</v>
      </c>
      <c r="AC335" s="16" t="s">
        <v>71</v>
      </c>
      <c r="AD335" s="17" t="s">
        <v>4030</v>
      </c>
      <c r="AE335" s="17" t="s">
        <v>4031</v>
      </c>
      <c r="AG335" s="16" t="s">
        <v>3988</v>
      </c>
      <c r="AH335" s="16" t="s">
        <v>1017</v>
      </c>
      <c r="AI335" s="16"/>
      <c r="AJ335" s="16"/>
      <c r="AK335" s="16"/>
      <c r="AL335" s="16" t="s">
        <v>4032</v>
      </c>
    </row>
    <row r="336" spans="1:38" x14ac:dyDescent="0.5">
      <c r="A336">
        <v>19766</v>
      </c>
      <c r="B336" s="16" t="s">
        <v>4033</v>
      </c>
      <c r="C336" s="16" t="s">
        <v>4033</v>
      </c>
      <c r="D336" s="16"/>
      <c r="E336" s="16" t="s">
        <v>641</v>
      </c>
      <c r="F336" s="17" t="s">
        <v>4034</v>
      </c>
      <c r="G336" s="17" t="s">
        <v>4034</v>
      </c>
      <c r="H336" s="16"/>
      <c r="I336" s="16"/>
      <c r="J336" s="33">
        <v>43077</v>
      </c>
      <c r="K336" s="33">
        <v>43442</v>
      </c>
      <c r="L336" s="16" t="s">
        <v>66</v>
      </c>
      <c r="M336" s="16" t="s">
        <v>67</v>
      </c>
      <c r="N336" s="16" t="s">
        <v>68</v>
      </c>
      <c r="O336" s="16" t="s">
        <v>1082</v>
      </c>
      <c r="P336" s="16"/>
      <c r="Q336" s="16" t="s">
        <v>71</v>
      </c>
      <c r="R336" s="17" t="s">
        <v>4035</v>
      </c>
      <c r="S336" s="16" t="s">
        <v>4036</v>
      </c>
      <c r="T336" s="16" t="s">
        <v>74</v>
      </c>
      <c r="U336" s="16" t="s">
        <v>75</v>
      </c>
      <c r="V336" s="16" t="s">
        <v>4037</v>
      </c>
      <c r="W336" s="16"/>
      <c r="X336" s="16" t="s">
        <v>4038</v>
      </c>
      <c r="Y336" s="16" t="s">
        <v>78</v>
      </c>
      <c r="Z336" s="16" t="s">
        <v>1622</v>
      </c>
      <c r="AA336" s="16" t="s">
        <v>662</v>
      </c>
      <c r="AB336" s="17" t="s">
        <v>4039</v>
      </c>
      <c r="AC336" s="16" t="s">
        <v>71</v>
      </c>
      <c r="AD336" s="17" t="s">
        <v>4039</v>
      </c>
      <c r="AF336" s="17" t="s">
        <v>4040</v>
      </c>
      <c r="AG336" s="16" t="s">
        <v>1884</v>
      </c>
      <c r="AH336" s="16" t="s">
        <v>4041</v>
      </c>
      <c r="AI336" s="16" t="s">
        <v>1754</v>
      </c>
      <c r="AJ336" s="16"/>
      <c r="AK336" s="16"/>
      <c r="AL336" s="16" t="s">
        <v>4042</v>
      </c>
    </row>
    <row r="337" spans="1:38" x14ac:dyDescent="0.5">
      <c r="A337">
        <v>19801</v>
      </c>
      <c r="B337" s="16" t="s">
        <v>229</v>
      </c>
      <c r="C337" s="16" t="s">
        <v>229</v>
      </c>
      <c r="D337" s="16"/>
      <c r="E337" s="16" t="s">
        <v>4043</v>
      </c>
      <c r="F337" s="17" t="s">
        <v>4044</v>
      </c>
      <c r="H337" s="16" t="s">
        <v>4045</v>
      </c>
      <c r="I337" s="16" t="s">
        <v>4046</v>
      </c>
      <c r="J337" s="33">
        <v>42487</v>
      </c>
      <c r="K337" s="33">
        <v>43465</v>
      </c>
      <c r="L337" s="16" t="s">
        <v>66</v>
      </c>
      <c r="M337" s="16" t="s">
        <v>67</v>
      </c>
      <c r="N337" s="16" t="s">
        <v>68</v>
      </c>
      <c r="O337" s="16" t="s">
        <v>4047</v>
      </c>
      <c r="P337" s="16" t="s">
        <v>4047</v>
      </c>
      <c r="Q337" s="16" t="s">
        <v>71</v>
      </c>
      <c r="R337" s="17" t="s">
        <v>4048</v>
      </c>
      <c r="S337" s="16"/>
      <c r="T337" s="16" t="s">
        <v>74</v>
      </c>
      <c r="U337" s="16" t="s">
        <v>75</v>
      </c>
      <c r="V337" s="16"/>
      <c r="W337" s="16"/>
      <c r="X337" s="16"/>
      <c r="Y337" s="16" t="s">
        <v>78</v>
      </c>
      <c r="Z337" s="16" t="s">
        <v>1497</v>
      </c>
      <c r="AA337" s="16"/>
      <c r="AB337" s="17" t="s">
        <v>4049</v>
      </c>
      <c r="AC337" s="16" t="s">
        <v>71</v>
      </c>
      <c r="AD337" s="17" t="s">
        <v>4049</v>
      </c>
      <c r="AG337" s="16" t="s">
        <v>3238</v>
      </c>
      <c r="AH337" s="16" t="s">
        <v>3190</v>
      </c>
      <c r="AI337" s="16"/>
      <c r="AJ337" s="16"/>
      <c r="AK337" s="16"/>
      <c r="AL337" s="16" t="s">
        <v>4050</v>
      </c>
    </row>
    <row r="338" spans="1:38" x14ac:dyDescent="0.5">
      <c r="A338">
        <v>19821</v>
      </c>
      <c r="B338" s="16" t="s">
        <v>4051</v>
      </c>
      <c r="C338" s="16" t="s">
        <v>4051</v>
      </c>
      <c r="D338" s="16"/>
      <c r="E338" s="16" t="s">
        <v>4052</v>
      </c>
      <c r="F338" s="17" t="s">
        <v>4053</v>
      </c>
      <c r="G338" s="17" t="s">
        <v>4054</v>
      </c>
      <c r="H338" s="16" t="s">
        <v>2328</v>
      </c>
      <c r="I338" s="16" t="s">
        <v>4055</v>
      </c>
      <c r="J338" s="33">
        <v>43147</v>
      </c>
      <c r="K338" s="33">
        <v>43512</v>
      </c>
      <c r="L338" s="16" t="s">
        <v>66</v>
      </c>
      <c r="M338" s="16" t="s">
        <v>67</v>
      </c>
      <c r="N338" s="16" t="s">
        <v>68</v>
      </c>
      <c r="O338" s="16" t="s">
        <v>436</v>
      </c>
      <c r="P338" s="16"/>
      <c r="Q338" s="16" t="s">
        <v>71</v>
      </c>
      <c r="R338" s="17" t="s">
        <v>4056</v>
      </c>
      <c r="S338" s="16" t="s">
        <v>359</v>
      </c>
      <c r="T338" s="16" t="s">
        <v>74</v>
      </c>
      <c r="U338" s="16" t="s">
        <v>75</v>
      </c>
      <c r="V338" s="16" t="s">
        <v>4057</v>
      </c>
      <c r="W338" s="16" t="s">
        <v>4058</v>
      </c>
      <c r="X338" s="16" t="s">
        <v>4059</v>
      </c>
      <c r="Y338" s="16" t="s">
        <v>78</v>
      </c>
      <c r="Z338" s="16" t="s">
        <v>242</v>
      </c>
      <c r="AA338" s="16" t="s">
        <v>243</v>
      </c>
      <c r="AB338" s="17" t="s">
        <v>4060</v>
      </c>
      <c r="AC338" s="16" t="s">
        <v>71</v>
      </c>
      <c r="AD338" s="17" t="s">
        <v>4060</v>
      </c>
      <c r="AF338" s="17" t="s">
        <v>4061</v>
      </c>
      <c r="AG338" s="16" t="s">
        <v>4062</v>
      </c>
      <c r="AH338" s="16" t="s">
        <v>4063</v>
      </c>
      <c r="AI338" s="16"/>
      <c r="AJ338" s="16"/>
      <c r="AK338" s="16"/>
      <c r="AL338" s="16" t="s">
        <v>4064</v>
      </c>
    </row>
    <row r="339" spans="1:38" x14ac:dyDescent="0.5">
      <c r="A339">
        <v>19824</v>
      </c>
      <c r="B339" s="16" t="s">
        <v>3215</v>
      </c>
      <c r="C339" s="16" t="s">
        <v>3215</v>
      </c>
      <c r="D339" s="16"/>
      <c r="E339" s="16" t="s">
        <v>4065</v>
      </c>
      <c r="F339" s="17" t="s">
        <v>4066</v>
      </c>
      <c r="G339" s="17" t="s">
        <v>4067</v>
      </c>
      <c r="H339" s="16" t="s">
        <v>1429</v>
      </c>
      <c r="I339" s="16" t="s">
        <v>4068</v>
      </c>
      <c r="J339" s="33">
        <v>42185</v>
      </c>
      <c r="K339" s="33">
        <v>43465</v>
      </c>
      <c r="L339" s="16" t="s">
        <v>66</v>
      </c>
      <c r="M339" s="16" t="s">
        <v>67</v>
      </c>
      <c r="N339" s="16" t="s">
        <v>68</v>
      </c>
      <c r="O339" s="16" t="s">
        <v>436</v>
      </c>
      <c r="P339" s="16" t="s">
        <v>572</v>
      </c>
      <c r="Q339" s="16" t="s">
        <v>71</v>
      </c>
      <c r="R339" s="17" t="s">
        <v>4069</v>
      </c>
      <c r="S339" s="16" t="s">
        <v>4070</v>
      </c>
      <c r="T339" s="16" t="s">
        <v>74</v>
      </c>
      <c r="U339" s="16" t="s">
        <v>75</v>
      </c>
      <c r="V339" s="16" t="s">
        <v>4071</v>
      </c>
      <c r="W339" s="16"/>
      <c r="X339" s="16" t="s">
        <v>4072</v>
      </c>
      <c r="Y339" s="16" t="s">
        <v>78</v>
      </c>
      <c r="Z339" s="16" t="s">
        <v>296</v>
      </c>
      <c r="AA339" s="16" t="s">
        <v>297</v>
      </c>
      <c r="AB339" s="17" t="s">
        <v>4073</v>
      </c>
      <c r="AC339" s="16" t="s">
        <v>71</v>
      </c>
      <c r="AD339" s="17" t="s">
        <v>4073</v>
      </c>
      <c r="AF339" s="17" t="s">
        <v>4074</v>
      </c>
      <c r="AG339" s="16" t="s">
        <v>4075</v>
      </c>
      <c r="AH339" s="16" t="s">
        <v>1285</v>
      </c>
      <c r="AI339" s="16"/>
      <c r="AJ339" s="16"/>
      <c r="AK339" s="16"/>
      <c r="AL339" s="16" t="s">
        <v>4076</v>
      </c>
    </row>
    <row r="340" spans="1:38" x14ac:dyDescent="0.5">
      <c r="A340">
        <v>19826</v>
      </c>
      <c r="B340" s="16" t="s">
        <v>4077</v>
      </c>
      <c r="C340" s="16" t="s">
        <v>4077</v>
      </c>
      <c r="D340" s="16" t="s">
        <v>288</v>
      </c>
      <c r="E340" s="16" t="s">
        <v>4078</v>
      </c>
      <c r="F340" s="17" t="s">
        <v>4079</v>
      </c>
      <c r="H340" s="16" t="s">
        <v>4080</v>
      </c>
      <c r="I340" s="16" t="s">
        <v>4081</v>
      </c>
      <c r="J340" s="33">
        <v>41473</v>
      </c>
      <c r="K340" s="33">
        <v>43465</v>
      </c>
      <c r="L340" s="16" t="s">
        <v>66</v>
      </c>
      <c r="M340" s="16" t="s">
        <v>67</v>
      </c>
      <c r="N340" s="16" t="s">
        <v>68</v>
      </c>
      <c r="O340" s="16" t="s">
        <v>436</v>
      </c>
      <c r="P340" s="16" t="s">
        <v>572</v>
      </c>
      <c r="Q340" s="16" t="s">
        <v>71</v>
      </c>
      <c r="R340" s="17" t="s">
        <v>4082</v>
      </c>
      <c r="S340" s="16" t="s">
        <v>3073</v>
      </c>
      <c r="T340" s="16" t="s">
        <v>74</v>
      </c>
      <c r="U340" s="16" t="s">
        <v>75</v>
      </c>
      <c r="V340" s="16" t="s">
        <v>4083</v>
      </c>
      <c r="W340" s="16"/>
      <c r="X340" s="16" t="s">
        <v>4084</v>
      </c>
      <c r="Y340" s="16" t="s">
        <v>78</v>
      </c>
      <c r="Z340" s="16" t="s">
        <v>2165</v>
      </c>
      <c r="AA340" s="16" t="s">
        <v>2166</v>
      </c>
      <c r="AB340" s="17" t="s">
        <v>4085</v>
      </c>
      <c r="AC340" s="16" t="s">
        <v>71</v>
      </c>
      <c r="AD340" s="17" t="s">
        <v>4085</v>
      </c>
      <c r="AG340" s="16" t="s">
        <v>4086</v>
      </c>
      <c r="AH340" s="16" t="s">
        <v>2094</v>
      </c>
      <c r="AI340" s="16"/>
      <c r="AJ340" s="16"/>
      <c r="AK340" s="16"/>
      <c r="AL340" s="16" t="s">
        <v>4087</v>
      </c>
    </row>
    <row r="341" spans="1:38" x14ac:dyDescent="0.5">
      <c r="A341">
        <v>19832</v>
      </c>
      <c r="B341" s="16" t="s">
        <v>4088</v>
      </c>
      <c r="C341" s="16" t="s">
        <v>4089</v>
      </c>
      <c r="D341" s="16"/>
      <c r="E341" s="16" t="s">
        <v>4090</v>
      </c>
      <c r="F341" s="17" t="s">
        <v>4091</v>
      </c>
      <c r="H341" s="16" t="s">
        <v>4092</v>
      </c>
      <c r="I341" s="16" t="s">
        <v>4093</v>
      </c>
      <c r="J341" s="33">
        <v>42557</v>
      </c>
      <c r="K341" s="33">
        <v>43465</v>
      </c>
      <c r="L341" s="16" t="s">
        <v>66</v>
      </c>
      <c r="M341" s="16" t="s">
        <v>67</v>
      </c>
      <c r="N341" s="16" t="s">
        <v>68</v>
      </c>
      <c r="O341" s="16" t="s">
        <v>436</v>
      </c>
      <c r="P341" s="16" t="s">
        <v>572</v>
      </c>
      <c r="Q341" s="16" t="s">
        <v>71</v>
      </c>
      <c r="R341" s="17" t="s">
        <v>4094</v>
      </c>
      <c r="S341" s="16" t="s">
        <v>113</v>
      </c>
      <c r="T341" s="16" t="s">
        <v>74</v>
      </c>
      <c r="U341" s="16" t="s">
        <v>75</v>
      </c>
      <c r="V341" s="16" t="s">
        <v>4095</v>
      </c>
      <c r="W341" s="16"/>
      <c r="X341" s="16" t="s">
        <v>4096</v>
      </c>
      <c r="Y341" s="16" t="s">
        <v>78</v>
      </c>
      <c r="Z341" s="16" t="s">
        <v>117</v>
      </c>
      <c r="AA341" s="16" t="s">
        <v>113</v>
      </c>
      <c r="AB341" s="17" t="s">
        <v>4097</v>
      </c>
      <c r="AC341" s="16" t="s">
        <v>71</v>
      </c>
      <c r="AD341" s="17" t="s">
        <v>4097</v>
      </c>
      <c r="AG341" s="16" t="s">
        <v>3249</v>
      </c>
      <c r="AH341" s="16" t="s">
        <v>780</v>
      </c>
      <c r="AI341" s="16"/>
      <c r="AJ341" s="16"/>
      <c r="AK341" s="16"/>
      <c r="AL341" s="16"/>
    </row>
    <row r="342" spans="1:38" x14ac:dyDescent="0.5">
      <c r="A342">
        <v>19837</v>
      </c>
      <c r="B342" s="16" t="s">
        <v>4098</v>
      </c>
      <c r="C342" s="16" t="s">
        <v>4098</v>
      </c>
      <c r="D342" s="16"/>
      <c r="E342" s="16" t="s">
        <v>3834</v>
      </c>
      <c r="F342" s="17" t="s">
        <v>4099</v>
      </c>
      <c r="H342" s="16" t="s">
        <v>2257</v>
      </c>
      <c r="I342" s="16" t="s">
        <v>4100</v>
      </c>
      <c r="J342" s="33">
        <v>42984</v>
      </c>
      <c r="K342" s="33">
        <v>43348</v>
      </c>
      <c r="L342" s="16" t="s">
        <v>66</v>
      </c>
      <c r="M342" s="16" t="s">
        <v>235</v>
      </c>
      <c r="N342" s="16" t="s">
        <v>236</v>
      </c>
      <c r="O342" s="16" t="s">
        <v>237</v>
      </c>
      <c r="P342" s="16" t="s">
        <v>572</v>
      </c>
      <c r="Q342" s="16" t="s">
        <v>71</v>
      </c>
      <c r="R342" s="17" t="s">
        <v>4101</v>
      </c>
      <c r="S342" s="16" t="s">
        <v>113</v>
      </c>
      <c r="T342" s="16" t="s">
        <v>74</v>
      </c>
      <c r="U342" s="16" t="s">
        <v>75</v>
      </c>
      <c r="V342" s="16" t="s">
        <v>4102</v>
      </c>
      <c r="W342" s="16" t="s">
        <v>115</v>
      </c>
      <c r="X342" s="16" t="s">
        <v>4103</v>
      </c>
      <c r="Y342" s="16" t="s">
        <v>78</v>
      </c>
      <c r="Z342" s="16" t="s">
        <v>117</v>
      </c>
      <c r="AA342" s="16" t="s">
        <v>113</v>
      </c>
      <c r="AB342" s="17" t="s">
        <v>4104</v>
      </c>
      <c r="AC342" s="16" t="s">
        <v>71</v>
      </c>
      <c r="AD342" s="17" t="s">
        <v>4104</v>
      </c>
      <c r="AE342" s="17" t="s">
        <v>4105</v>
      </c>
      <c r="AG342" s="16" t="s">
        <v>3540</v>
      </c>
      <c r="AH342" s="16" t="s">
        <v>4106</v>
      </c>
      <c r="AI342" s="16"/>
      <c r="AJ342" s="16"/>
      <c r="AK342" s="16"/>
      <c r="AL342" s="16" t="s">
        <v>4107</v>
      </c>
    </row>
    <row r="343" spans="1:38" x14ac:dyDescent="0.5">
      <c r="A343">
        <v>19843</v>
      </c>
      <c r="B343" s="16" t="s">
        <v>4108</v>
      </c>
      <c r="C343" s="16" t="s">
        <v>4108</v>
      </c>
      <c r="D343" s="16"/>
      <c r="E343" s="16" t="s">
        <v>4109</v>
      </c>
      <c r="F343" s="17" t="s">
        <v>4110</v>
      </c>
      <c r="G343" s="17" t="s">
        <v>4111</v>
      </c>
      <c r="H343" s="16" t="s">
        <v>4112</v>
      </c>
      <c r="I343" s="16" t="s">
        <v>4113</v>
      </c>
      <c r="J343" s="33">
        <v>41388</v>
      </c>
      <c r="K343" s="33">
        <v>43465</v>
      </c>
      <c r="L343" s="16" t="s">
        <v>66</v>
      </c>
      <c r="M343" s="16" t="s">
        <v>67</v>
      </c>
      <c r="N343" s="16" t="s">
        <v>68</v>
      </c>
      <c r="O343" s="16" t="s">
        <v>436</v>
      </c>
      <c r="P343" s="16" t="s">
        <v>572</v>
      </c>
      <c r="Q343" s="16" t="s">
        <v>71</v>
      </c>
      <c r="R343" s="17" t="s">
        <v>4114</v>
      </c>
      <c r="S343" s="16" t="s">
        <v>113</v>
      </c>
      <c r="T343" s="16" t="s">
        <v>74</v>
      </c>
      <c r="U343" s="16" t="s">
        <v>75</v>
      </c>
      <c r="V343" s="16" t="s">
        <v>4115</v>
      </c>
      <c r="W343" s="16"/>
      <c r="X343" s="16" t="s">
        <v>4116</v>
      </c>
      <c r="Y343" s="16" t="s">
        <v>78</v>
      </c>
      <c r="Z343" s="16" t="s">
        <v>117</v>
      </c>
      <c r="AA343" s="16" t="s">
        <v>113</v>
      </c>
      <c r="AB343" s="17" t="s">
        <v>4117</v>
      </c>
      <c r="AC343" s="16" t="s">
        <v>71</v>
      </c>
      <c r="AD343" s="17" t="s">
        <v>4117</v>
      </c>
      <c r="AG343" s="16" t="s">
        <v>2840</v>
      </c>
      <c r="AH343" s="16" t="s">
        <v>1076</v>
      </c>
      <c r="AI343" s="16"/>
      <c r="AJ343" s="16"/>
      <c r="AK343" s="16"/>
      <c r="AL343" s="16" t="s">
        <v>4118</v>
      </c>
    </row>
    <row r="344" spans="1:38" x14ac:dyDescent="0.5">
      <c r="A344">
        <v>19844</v>
      </c>
      <c r="B344" s="16" t="s">
        <v>1787</v>
      </c>
      <c r="C344" s="16" t="s">
        <v>1787</v>
      </c>
      <c r="D344" s="16"/>
      <c r="E344" s="16" t="s">
        <v>4119</v>
      </c>
      <c r="F344" s="17" t="s">
        <v>4120</v>
      </c>
      <c r="G344" s="17" t="s">
        <v>4121</v>
      </c>
      <c r="H344" s="16" t="s">
        <v>4122</v>
      </c>
      <c r="I344" s="16" t="s">
        <v>4123</v>
      </c>
      <c r="J344" s="33">
        <v>42635</v>
      </c>
      <c r="K344" s="33">
        <v>43465</v>
      </c>
      <c r="L344" s="16" t="s">
        <v>66</v>
      </c>
      <c r="M344" s="16" t="s">
        <v>67</v>
      </c>
      <c r="N344" s="16" t="s">
        <v>68</v>
      </c>
      <c r="O344" s="16" t="s">
        <v>436</v>
      </c>
      <c r="P344" s="16" t="s">
        <v>572</v>
      </c>
      <c r="Q344" s="16" t="s">
        <v>71</v>
      </c>
      <c r="R344" s="17" t="s">
        <v>4124</v>
      </c>
      <c r="S344" s="16" t="s">
        <v>4125</v>
      </c>
      <c r="T344" s="16" t="s">
        <v>2596</v>
      </c>
      <c r="U344" s="16" t="s">
        <v>2597</v>
      </c>
      <c r="V344" s="16" t="s">
        <v>4126</v>
      </c>
      <c r="W344" s="16" t="s">
        <v>4127</v>
      </c>
      <c r="X344" s="16" t="s">
        <v>4128</v>
      </c>
      <c r="Y344" s="16" t="s">
        <v>744</v>
      </c>
      <c r="Z344" s="16" t="s">
        <v>96</v>
      </c>
      <c r="AA344" s="16" t="s">
        <v>97</v>
      </c>
      <c r="AB344" s="17" t="s">
        <v>4129</v>
      </c>
      <c r="AC344" s="16" t="s">
        <v>71</v>
      </c>
      <c r="AD344" s="17" t="s">
        <v>4129</v>
      </c>
      <c r="AF344" s="17" t="s">
        <v>4130</v>
      </c>
      <c r="AG344" s="16" t="s">
        <v>4022</v>
      </c>
      <c r="AH344" s="16" t="s">
        <v>653</v>
      </c>
      <c r="AI344" s="16"/>
      <c r="AJ344" s="16"/>
      <c r="AK344" s="16"/>
      <c r="AL344" s="16" t="s">
        <v>4131</v>
      </c>
    </row>
    <row r="345" spans="1:38" x14ac:dyDescent="0.5">
      <c r="A345">
        <v>19846</v>
      </c>
      <c r="B345" s="16" t="s">
        <v>2954</v>
      </c>
      <c r="C345" s="16" t="s">
        <v>2954</v>
      </c>
      <c r="D345" s="16"/>
      <c r="E345" s="16" t="s">
        <v>4132</v>
      </c>
      <c r="F345" s="17" t="s">
        <v>4133</v>
      </c>
      <c r="H345" s="16" t="s">
        <v>4134</v>
      </c>
      <c r="I345" s="16" t="s">
        <v>4135</v>
      </c>
      <c r="J345" s="33">
        <v>41400</v>
      </c>
      <c r="K345" s="33">
        <v>43465</v>
      </c>
      <c r="L345" s="16" t="s">
        <v>66</v>
      </c>
      <c r="M345" s="16" t="s">
        <v>235</v>
      </c>
      <c r="N345" s="16" t="s">
        <v>236</v>
      </c>
      <c r="O345" s="16" t="s">
        <v>202</v>
      </c>
      <c r="P345" s="16" t="s">
        <v>4047</v>
      </c>
      <c r="Q345" s="16" t="s">
        <v>71</v>
      </c>
      <c r="R345" s="17" t="s">
        <v>4136</v>
      </c>
      <c r="S345" s="16" t="s">
        <v>4137</v>
      </c>
      <c r="T345" s="16" t="s">
        <v>4138</v>
      </c>
      <c r="U345" s="16" t="s">
        <v>4139</v>
      </c>
      <c r="V345" s="16"/>
      <c r="W345" s="16"/>
      <c r="X345" s="16"/>
      <c r="Y345" s="16" t="s">
        <v>744</v>
      </c>
      <c r="Z345" s="16"/>
      <c r="AA345" s="16"/>
      <c r="AB345" s="17" t="s">
        <v>4140</v>
      </c>
      <c r="AC345" s="16" t="s">
        <v>71</v>
      </c>
      <c r="AD345" s="17" t="s">
        <v>4140</v>
      </c>
      <c r="AG345" s="16" t="s">
        <v>1884</v>
      </c>
      <c r="AH345" s="16" t="s">
        <v>3785</v>
      </c>
      <c r="AI345" s="16"/>
      <c r="AJ345" s="16"/>
      <c r="AK345" s="16"/>
      <c r="AL345" s="16" t="s">
        <v>4141</v>
      </c>
    </row>
    <row r="346" spans="1:38" x14ac:dyDescent="0.5">
      <c r="A346">
        <v>19862</v>
      </c>
      <c r="B346" s="16" t="s">
        <v>84</v>
      </c>
      <c r="C346" s="16" t="s">
        <v>84</v>
      </c>
      <c r="D346" s="16"/>
      <c r="E346" s="16" t="s">
        <v>3480</v>
      </c>
      <c r="F346" s="17" t="s">
        <v>4142</v>
      </c>
      <c r="H346" s="16" t="s">
        <v>332</v>
      </c>
      <c r="I346" s="16" t="s">
        <v>4143</v>
      </c>
      <c r="J346" s="33">
        <v>41445</v>
      </c>
      <c r="K346" s="33">
        <v>43465</v>
      </c>
      <c r="L346" s="16" t="s">
        <v>66</v>
      </c>
      <c r="M346" s="16" t="s">
        <v>67</v>
      </c>
      <c r="N346" s="16" t="s">
        <v>68</v>
      </c>
      <c r="O346" s="16" t="s">
        <v>1082</v>
      </c>
      <c r="P346" s="16"/>
      <c r="Q346" s="16" t="s">
        <v>71</v>
      </c>
      <c r="R346" s="17" t="s">
        <v>4144</v>
      </c>
      <c r="S346" s="16" t="s">
        <v>4145</v>
      </c>
      <c r="T346" s="16" t="s">
        <v>4146</v>
      </c>
      <c r="U346" s="16" t="s">
        <v>4147</v>
      </c>
      <c r="V346" s="16" t="s">
        <v>4148</v>
      </c>
      <c r="W346" s="16" t="s">
        <v>4149</v>
      </c>
      <c r="X346" s="16" t="s">
        <v>4150</v>
      </c>
      <c r="Y346" s="16" t="s">
        <v>4151</v>
      </c>
      <c r="Z346" s="16"/>
      <c r="AA346" s="16"/>
      <c r="AB346" s="17" t="s">
        <v>4152</v>
      </c>
      <c r="AC346" s="16" t="s">
        <v>71</v>
      </c>
      <c r="AD346" s="17" t="s">
        <v>4152</v>
      </c>
      <c r="AF346" s="17" t="s">
        <v>4153</v>
      </c>
      <c r="AG346" s="16" t="s">
        <v>2289</v>
      </c>
      <c r="AH346" s="16" t="s">
        <v>578</v>
      </c>
      <c r="AI346" s="16"/>
      <c r="AJ346" s="16"/>
      <c r="AK346" s="16"/>
      <c r="AL346" s="16" t="s">
        <v>4154</v>
      </c>
    </row>
    <row r="347" spans="1:38" x14ac:dyDescent="0.5">
      <c r="A347">
        <v>19865</v>
      </c>
      <c r="B347" s="16" t="s">
        <v>229</v>
      </c>
      <c r="C347" s="16" t="s">
        <v>229</v>
      </c>
      <c r="D347" s="16"/>
      <c r="E347" s="16" t="s">
        <v>4155</v>
      </c>
      <c r="F347" s="17" t="s">
        <v>4156</v>
      </c>
      <c r="G347" s="17" t="s">
        <v>4157</v>
      </c>
      <c r="H347" s="16" t="s">
        <v>4158</v>
      </c>
      <c r="I347" s="16" t="s">
        <v>1892</v>
      </c>
      <c r="J347" s="33">
        <v>41396</v>
      </c>
      <c r="K347" s="33">
        <v>43465</v>
      </c>
      <c r="L347" s="16" t="s">
        <v>66</v>
      </c>
      <c r="M347" s="16" t="s">
        <v>67</v>
      </c>
      <c r="N347" s="16" t="s">
        <v>68</v>
      </c>
      <c r="O347" s="16" t="s">
        <v>436</v>
      </c>
      <c r="P347" s="16" t="s">
        <v>572</v>
      </c>
      <c r="Q347" s="16" t="s">
        <v>71</v>
      </c>
      <c r="R347" s="17" t="s">
        <v>4159</v>
      </c>
      <c r="S347" s="16" t="s">
        <v>1894</v>
      </c>
      <c r="T347" s="16" t="s">
        <v>74</v>
      </c>
      <c r="U347" s="16" t="s">
        <v>75</v>
      </c>
      <c r="V347" s="16" t="s">
        <v>4160</v>
      </c>
      <c r="W347" s="16"/>
      <c r="X347" s="16" t="s">
        <v>4161</v>
      </c>
      <c r="Y347" s="16" t="s">
        <v>78</v>
      </c>
      <c r="Z347" s="16" t="s">
        <v>1897</v>
      </c>
      <c r="AA347" s="16" t="s">
        <v>1898</v>
      </c>
      <c r="AB347" s="17" t="s">
        <v>4162</v>
      </c>
      <c r="AC347" s="16" t="s">
        <v>71</v>
      </c>
      <c r="AD347" s="17" t="s">
        <v>4162</v>
      </c>
      <c r="AF347" s="17" t="s">
        <v>4163</v>
      </c>
      <c r="AG347" s="16" t="s">
        <v>4164</v>
      </c>
      <c r="AH347" s="16" t="s">
        <v>3373</v>
      </c>
      <c r="AI347" s="16"/>
      <c r="AJ347" s="16"/>
      <c r="AK347" s="16"/>
      <c r="AL347" s="16" t="s">
        <v>4165</v>
      </c>
    </row>
    <row r="348" spans="1:38" x14ac:dyDescent="0.5">
      <c r="A348">
        <v>19868</v>
      </c>
      <c r="B348" s="16" t="s">
        <v>367</v>
      </c>
      <c r="C348" s="16" t="s">
        <v>367</v>
      </c>
      <c r="D348" s="16"/>
      <c r="E348" s="16" t="s">
        <v>499</v>
      </c>
      <c r="F348" s="17" t="s">
        <v>4166</v>
      </c>
      <c r="H348" s="16" t="s">
        <v>4167</v>
      </c>
      <c r="I348" s="16" t="s">
        <v>4168</v>
      </c>
      <c r="J348" s="33">
        <v>41416</v>
      </c>
      <c r="K348" s="33">
        <v>43465</v>
      </c>
      <c r="L348" s="16" t="s">
        <v>66</v>
      </c>
      <c r="M348" s="16" t="s">
        <v>67</v>
      </c>
      <c r="N348" s="16" t="s">
        <v>68</v>
      </c>
      <c r="O348" s="16" t="s">
        <v>436</v>
      </c>
      <c r="P348" s="16" t="s">
        <v>572</v>
      </c>
      <c r="Q348" s="16" t="s">
        <v>71</v>
      </c>
      <c r="R348" s="17" t="s">
        <v>4169</v>
      </c>
      <c r="S348" s="16" t="s">
        <v>4170</v>
      </c>
      <c r="T348" s="16" t="s">
        <v>4171</v>
      </c>
      <c r="U348" s="16" t="s">
        <v>4172</v>
      </c>
      <c r="V348" s="16" t="s">
        <v>4173</v>
      </c>
      <c r="W348" s="16"/>
      <c r="X348" s="16"/>
      <c r="Y348" s="16"/>
      <c r="Z348" s="16"/>
      <c r="AA348" s="16"/>
      <c r="AB348" s="17" t="s">
        <v>4174</v>
      </c>
      <c r="AC348" s="16" t="s">
        <v>71</v>
      </c>
      <c r="AD348" s="17" t="s">
        <v>4174</v>
      </c>
      <c r="AF348" s="17" t="s">
        <v>4175</v>
      </c>
      <c r="AG348" s="16" t="s">
        <v>1524</v>
      </c>
      <c r="AH348" s="16" t="s">
        <v>579</v>
      </c>
      <c r="AI348" s="16"/>
      <c r="AJ348" s="16"/>
      <c r="AK348" s="16"/>
      <c r="AL348" s="16" t="s">
        <v>4176</v>
      </c>
    </row>
    <row r="349" spans="1:38" x14ac:dyDescent="0.5">
      <c r="A349">
        <v>19879</v>
      </c>
      <c r="B349" s="16" t="s">
        <v>381</v>
      </c>
      <c r="C349" s="16" t="s">
        <v>382</v>
      </c>
      <c r="D349" s="16"/>
      <c r="E349" s="16" t="s">
        <v>4177</v>
      </c>
      <c r="F349" s="17" t="s">
        <v>4178</v>
      </c>
      <c r="G349" s="17" t="s">
        <v>4179</v>
      </c>
      <c r="H349" s="16" t="s">
        <v>4180</v>
      </c>
      <c r="I349" s="16" t="s">
        <v>4181</v>
      </c>
      <c r="J349" s="33">
        <v>41445</v>
      </c>
      <c r="K349" s="33">
        <v>43465</v>
      </c>
      <c r="L349" s="16" t="s">
        <v>66</v>
      </c>
      <c r="M349" s="16" t="s">
        <v>167</v>
      </c>
      <c r="N349" s="16" t="s">
        <v>110</v>
      </c>
      <c r="O349" s="16" t="s">
        <v>280</v>
      </c>
      <c r="P349" s="16" t="s">
        <v>572</v>
      </c>
      <c r="Q349" s="16" t="s">
        <v>71</v>
      </c>
      <c r="R349" s="17" t="s">
        <v>4182</v>
      </c>
      <c r="S349" s="16" t="s">
        <v>4183</v>
      </c>
      <c r="T349" s="16" t="s">
        <v>74</v>
      </c>
      <c r="U349" s="16" t="s">
        <v>75</v>
      </c>
      <c r="V349" s="16" t="s">
        <v>4184</v>
      </c>
      <c r="W349" s="16"/>
      <c r="X349" s="16" t="s">
        <v>4185</v>
      </c>
      <c r="Y349" s="16" t="s">
        <v>78</v>
      </c>
      <c r="Z349" s="16" t="s">
        <v>242</v>
      </c>
      <c r="AA349" s="16" t="s">
        <v>243</v>
      </c>
      <c r="AB349" s="17" t="s">
        <v>4186</v>
      </c>
      <c r="AC349" s="16" t="s">
        <v>71</v>
      </c>
      <c r="AD349" s="17" t="s">
        <v>4186</v>
      </c>
      <c r="AF349" s="17" t="s">
        <v>4186</v>
      </c>
      <c r="AG349" s="16" t="s">
        <v>2108</v>
      </c>
      <c r="AH349" s="16" t="s">
        <v>579</v>
      </c>
      <c r="AI349" s="16"/>
      <c r="AJ349" s="16"/>
      <c r="AK349" s="16"/>
      <c r="AL349" s="16" t="s">
        <v>4187</v>
      </c>
    </row>
    <row r="350" spans="1:38" x14ac:dyDescent="0.5">
      <c r="A350">
        <v>19914</v>
      </c>
      <c r="B350" s="16" t="s">
        <v>3810</v>
      </c>
      <c r="C350" s="16" t="s">
        <v>3810</v>
      </c>
      <c r="D350" s="16"/>
      <c r="E350" s="16" t="s">
        <v>4188</v>
      </c>
      <c r="F350" s="17" t="s">
        <v>4189</v>
      </c>
      <c r="H350" s="16" t="s">
        <v>699</v>
      </c>
      <c r="I350" s="16" t="s">
        <v>4190</v>
      </c>
      <c r="J350" s="33">
        <v>41445</v>
      </c>
      <c r="K350" s="33">
        <v>43465</v>
      </c>
      <c r="L350" s="16" t="s">
        <v>66</v>
      </c>
      <c r="M350" s="16" t="s">
        <v>167</v>
      </c>
      <c r="N350" s="16" t="s">
        <v>110</v>
      </c>
      <c r="O350" s="16" t="s">
        <v>280</v>
      </c>
      <c r="P350" s="16" t="s">
        <v>572</v>
      </c>
      <c r="Q350" s="16" t="s">
        <v>71</v>
      </c>
      <c r="R350" s="17" t="s">
        <v>4191</v>
      </c>
      <c r="S350" s="16" t="s">
        <v>113</v>
      </c>
      <c r="T350" s="16" t="s">
        <v>74</v>
      </c>
      <c r="U350" s="16" t="s">
        <v>75</v>
      </c>
      <c r="V350" s="16" t="s">
        <v>4192</v>
      </c>
      <c r="W350" s="16"/>
      <c r="X350" s="16" t="s">
        <v>858</v>
      </c>
      <c r="Y350" s="16" t="s">
        <v>78</v>
      </c>
      <c r="Z350" s="16" t="s">
        <v>117</v>
      </c>
      <c r="AA350" s="16" t="s">
        <v>113</v>
      </c>
      <c r="AB350" s="17" t="s">
        <v>4193</v>
      </c>
      <c r="AC350" s="16" t="s">
        <v>71</v>
      </c>
      <c r="AD350" s="17" t="s">
        <v>4193</v>
      </c>
      <c r="AG350" s="16" t="s">
        <v>3249</v>
      </c>
      <c r="AH350" s="16" t="s">
        <v>4194</v>
      </c>
      <c r="AI350" s="16"/>
      <c r="AJ350" s="16"/>
      <c r="AK350" s="16"/>
      <c r="AL350" s="16" t="s">
        <v>4195</v>
      </c>
    </row>
    <row r="351" spans="1:38" x14ac:dyDescent="0.5">
      <c r="A351">
        <v>19915</v>
      </c>
      <c r="B351" s="16" t="s">
        <v>4196</v>
      </c>
      <c r="C351" s="16" t="s">
        <v>4196</v>
      </c>
      <c r="D351" s="16"/>
      <c r="E351" s="16" t="s">
        <v>4197</v>
      </c>
      <c r="F351" s="17" t="s">
        <v>4198</v>
      </c>
      <c r="H351" s="16" t="s">
        <v>4199</v>
      </c>
      <c r="I351" s="16" t="s">
        <v>4200</v>
      </c>
      <c r="J351" s="33">
        <v>41465</v>
      </c>
      <c r="K351" s="33">
        <v>43465</v>
      </c>
      <c r="L351" s="16" t="s">
        <v>66</v>
      </c>
      <c r="M351" s="16" t="s">
        <v>167</v>
      </c>
      <c r="N351" s="16" t="s">
        <v>110</v>
      </c>
      <c r="O351" s="16" t="s">
        <v>111</v>
      </c>
      <c r="P351" s="16" t="s">
        <v>3116</v>
      </c>
      <c r="Q351" s="16" t="s">
        <v>71</v>
      </c>
      <c r="R351" s="17" t="s">
        <v>4201</v>
      </c>
      <c r="S351" s="16" t="s">
        <v>936</v>
      </c>
      <c r="T351" s="16" t="s">
        <v>74</v>
      </c>
      <c r="U351" s="16" t="s">
        <v>75</v>
      </c>
      <c r="V351" s="16" t="s">
        <v>4202</v>
      </c>
      <c r="W351" s="16"/>
      <c r="X351" s="16" t="s">
        <v>4203</v>
      </c>
      <c r="Y351" s="16" t="s">
        <v>78</v>
      </c>
      <c r="Z351" s="16" t="s">
        <v>242</v>
      </c>
      <c r="AA351" s="16" t="s">
        <v>243</v>
      </c>
      <c r="AB351" s="17" t="s">
        <v>4204</v>
      </c>
      <c r="AC351" s="16" t="s">
        <v>71</v>
      </c>
      <c r="AD351" s="17" t="s">
        <v>4204</v>
      </c>
      <c r="AF351" s="17" t="s">
        <v>4205</v>
      </c>
      <c r="AG351" s="16" t="s">
        <v>4206</v>
      </c>
      <c r="AH351" s="16" t="s">
        <v>4207</v>
      </c>
      <c r="AI351" s="16"/>
      <c r="AJ351" s="16"/>
      <c r="AK351" s="16"/>
      <c r="AL351" s="16" t="s">
        <v>4208</v>
      </c>
    </row>
    <row r="352" spans="1:38" x14ac:dyDescent="0.5">
      <c r="A352">
        <v>19916</v>
      </c>
      <c r="B352" s="16" t="s">
        <v>1766</v>
      </c>
      <c r="C352" s="16" t="s">
        <v>1766</v>
      </c>
      <c r="D352" s="16"/>
      <c r="E352" s="16" t="s">
        <v>4209</v>
      </c>
      <c r="F352" s="17" t="s">
        <v>4210</v>
      </c>
      <c r="H352" s="16" t="s">
        <v>4211</v>
      </c>
      <c r="I352" s="16" t="s">
        <v>8610</v>
      </c>
      <c r="J352" s="33">
        <v>41449</v>
      </c>
      <c r="K352" s="33">
        <v>43465</v>
      </c>
      <c r="L352" s="16" t="s">
        <v>66</v>
      </c>
      <c r="M352" s="16" t="s">
        <v>167</v>
      </c>
      <c r="N352" s="16" t="s">
        <v>110</v>
      </c>
      <c r="O352" s="16" t="s">
        <v>111</v>
      </c>
      <c r="P352" s="16" t="s">
        <v>1792</v>
      </c>
      <c r="Q352" s="16" t="s">
        <v>71</v>
      </c>
      <c r="R352" s="17" t="s">
        <v>4212</v>
      </c>
      <c r="S352" s="16" t="s">
        <v>4213</v>
      </c>
      <c r="T352" s="16" t="s">
        <v>74</v>
      </c>
      <c r="U352" s="16" t="s">
        <v>75</v>
      </c>
      <c r="V352" s="16" t="s">
        <v>4214</v>
      </c>
      <c r="W352" s="16"/>
      <c r="X352" s="16" t="s">
        <v>4215</v>
      </c>
      <c r="Y352" s="16" t="s">
        <v>78</v>
      </c>
      <c r="Z352" s="16" t="s">
        <v>3999</v>
      </c>
      <c r="AA352" s="16" t="s">
        <v>4000</v>
      </c>
      <c r="AB352" s="17" t="s">
        <v>4216</v>
      </c>
      <c r="AC352" s="16" t="s">
        <v>71</v>
      </c>
      <c r="AD352" s="17" t="s">
        <v>4216</v>
      </c>
      <c r="AG352" s="16" t="s">
        <v>2094</v>
      </c>
      <c r="AH352" s="16" t="s">
        <v>1784</v>
      </c>
      <c r="AI352" s="16"/>
      <c r="AJ352" s="16"/>
      <c r="AK352" s="16"/>
      <c r="AL352" s="16" t="s">
        <v>4217</v>
      </c>
    </row>
    <row r="353" spans="1:38" x14ac:dyDescent="0.5">
      <c r="A353">
        <v>19917</v>
      </c>
      <c r="B353" s="16" t="s">
        <v>1504</v>
      </c>
      <c r="C353" s="16" t="s">
        <v>1504</v>
      </c>
      <c r="D353" s="16"/>
      <c r="E353" s="16" t="s">
        <v>4218</v>
      </c>
      <c r="F353" s="17" t="s">
        <v>4219</v>
      </c>
      <c r="H353" s="16" t="s">
        <v>4220</v>
      </c>
      <c r="I353" s="16" t="s">
        <v>4221</v>
      </c>
      <c r="J353" s="33">
        <v>41450</v>
      </c>
      <c r="K353" s="33">
        <v>43465</v>
      </c>
      <c r="L353" s="16" t="s">
        <v>66</v>
      </c>
      <c r="M353" s="16" t="s">
        <v>67</v>
      </c>
      <c r="N353" s="16" t="s">
        <v>68</v>
      </c>
      <c r="O353" s="16" t="s">
        <v>280</v>
      </c>
      <c r="P353" s="16" t="s">
        <v>572</v>
      </c>
      <c r="Q353" s="16" t="s">
        <v>71</v>
      </c>
      <c r="R353" s="17" t="s">
        <v>4222</v>
      </c>
      <c r="S353" s="16" t="s">
        <v>113</v>
      </c>
      <c r="T353" s="16" t="s">
        <v>74</v>
      </c>
      <c r="U353" s="16" t="s">
        <v>75</v>
      </c>
      <c r="V353" s="16" t="s">
        <v>4223</v>
      </c>
      <c r="W353" s="16"/>
      <c r="X353" s="16" t="s">
        <v>321</v>
      </c>
      <c r="Y353" s="16" t="s">
        <v>78</v>
      </c>
      <c r="Z353" s="16" t="s">
        <v>117</v>
      </c>
      <c r="AA353" s="16" t="s">
        <v>113</v>
      </c>
      <c r="AB353" s="17" t="s">
        <v>4224</v>
      </c>
      <c r="AC353" s="16" t="s">
        <v>71</v>
      </c>
      <c r="AD353" s="17" t="s">
        <v>4224</v>
      </c>
      <c r="AF353" s="17" t="s">
        <v>4225</v>
      </c>
      <c r="AG353" s="16" t="s">
        <v>1784</v>
      </c>
      <c r="AH353" s="16" t="s">
        <v>4022</v>
      </c>
      <c r="AI353" s="16"/>
      <c r="AJ353" s="16"/>
      <c r="AK353" s="16"/>
      <c r="AL353" s="16" t="s">
        <v>4226</v>
      </c>
    </row>
    <row r="354" spans="1:38" x14ac:dyDescent="0.5">
      <c r="A354">
        <v>19919</v>
      </c>
      <c r="B354" s="16" t="s">
        <v>1777</v>
      </c>
      <c r="C354" s="16" t="s">
        <v>1777</v>
      </c>
      <c r="D354" s="16"/>
      <c r="E354" s="16" t="s">
        <v>4227</v>
      </c>
      <c r="F354" s="17" t="s">
        <v>4228</v>
      </c>
      <c r="H354" s="16" t="s">
        <v>4229</v>
      </c>
      <c r="I354" s="16" t="s">
        <v>201</v>
      </c>
      <c r="J354" s="33">
        <v>41449</v>
      </c>
      <c r="K354" s="33">
        <v>43465</v>
      </c>
      <c r="L354" s="16" t="s">
        <v>66</v>
      </c>
      <c r="M354" s="16" t="s">
        <v>67</v>
      </c>
      <c r="N354" s="16" t="s">
        <v>68</v>
      </c>
      <c r="O354" s="16" t="s">
        <v>436</v>
      </c>
      <c r="P354" s="16" t="s">
        <v>572</v>
      </c>
      <c r="Q354" s="16" t="s">
        <v>71</v>
      </c>
      <c r="R354" s="17" t="s">
        <v>4230</v>
      </c>
      <c r="S354" s="16" t="s">
        <v>752</v>
      </c>
      <c r="T354" s="16" t="s">
        <v>74</v>
      </c>
      <c r="U354" s="16" t="s">
        <v>75</v>
      </c>
      <c r="V354" s="16" t="s">
        <v>4231</v>
      </c>
      <c r="W354" s="16"/>
      <c r="X354" s="16" t="s">
        <v>4232</v>
      </c>
      <c r="Y354" s="16" t="s">
        <v>78</v>
      </c>
      <c r="Z354" s="16" t="s">
        <v>132</v>
      </c>
      <c r="AA354" s="16" t="s">
        <v>133</v>
      </c>
      <c r="AB354" s="17" t="s">
        <v>4233</v>
      </c>
      <c r="AC354" s="16" t="s">
        <v>71</v>
      </c>
      <c r="AD354" s="17" t="s">
        <v>4233</v>
      </c>
      <c r="AF354" s="17" t="s">
        <v>4234</v>
      </c>
      <c r="AG354" s="16" t="s">
        <v>4235</v>
      </c>
      <c r="AH354" s="16" t="s">
        <v>3988</v>
      </c>
      <c r="AI354" s="16"/>
      <c r="AJ354" s="16"/>
      <c r="AK354" s="16"/>
      <c r="AL354" s="16" t="s">
        <v>4236</v>
      </c>
    </row>
    <row r="355" spans="1:38" x14ac:dyDescent="0.5">
      <c r="A355">
        <v>19920</v>
      </c>
      <c r="B355" s="16" t="s">
        <v>476</v>
      </c>
      <c r="C355" s="16" t="s">
        <v>477</v>
      </c>
      <c r="D355" s="16"/>
      <c r="E355" s="16" t="s">
        <v>4237</v>
      </c>
      <c r="F355" s="17" t="s">
        <v>4238</v>
      </c>
      <c r="H355" s="16" t="s">
        <v>4239</v>
      </c>
      <c r="I355" s="16" t="s">
        <v>4240</v>
      </c>
      <c r="J355" s="33">
        <v>41451</v>
      </c>
      <c r="K355" s="33">
        <v>43465</v>
      </c>
      <c r="L355" s="16" t="s">
        <v>66</v>
      </c>
      <c r="M355" s="16" t="s">
        <v>67</v>
      </c>
      <c r="N355" s="16" t="s">
        <v>68</v>
      </c>
      <c r="O355" s="16" t="s">
        <v>436</v>
      </c>
      <c r="P355" s="16" t="s">
        <v>572</v>
      </c>
      <c r="Q355" s="16" t="s">
        <v>71</v>
      </c>
      <c r="R355" s="17" t="s">
        <v>4241</v>
      </c>
      <c r="S355" s="16" t="s">
        <v>960</v>
      </c>
      <c r="T355" s="16" t="s">
        <v>74</v>
      </c>
      <c r="U355" s="16" t="s">
        <v>75</v>
      </c>
      <c r="V355" s="16" t="s">
        <v>4242</v>
      </c>
      <c r="W355" s="16"/>
      <c r="X355" s="16" t="s">
        <v>4243</v>
      </c>
      <c r="Y355" s="16" t="s">
        <v>78</v>
      </c>
      <c r="Z355" s="16" t="s">
        <v>963</v>
      </c>
      <c r="AA355" s="16" t="s">
        <v>964</v>
      </c>
      <c r="AB355" s="17" t="s">
        <v>4244</v>
      </c>
      <c r="AC355" s="16" t="s">
        <v>71</v>
      </c>
      <c r="AD355" s="17" t="s">
        <v>4244</v>
      </c>
      <c r="AE355" s="17" t="s">
        <v>4245</v>
      </c>
      <c r="AG355" s="16" t="s">
        <v>4246</v>
      </c>
      <c r="AH355" s="16" t="s">
        <v>4247</v>
      </c>
      <c r="AI355" s="16"/>
      <c r="AJ355" s="16"/>
      <c r="AK355" s="16"/>
      <c r="AL355" s="16" t="s">
        <v>4248</v>
      </c>
    </row>
    <row r="356" spans="1:38" x14ac:dyDescent="0.5">
      <c r="A356">
        <v>19921</v>
      </c>
      <c r="B356" s="16" t="s">
        <v>1430</v>
      </c>
      <c r="C356" s="16" t="s">
        <v>1430</v>
      </c>
      <c r="D356" s="16"/>
      <c r="E356" s="16" t="s">
        <v>4249</v>
      </c>
      <c r="F356" s="17" t="s">
        <v>4250</v>
      </c>
      <c r="G356" s="17" t="s">
        <v>4251</v>
      </c>
      <c r="H356" s="16" t="s">
        <v>4252</v>
      </c>
      <c r="I356" s="16" t="s">
        <v>4253</v>
      </c>
      <c r="J356" s="33">
        <v>42184</v>
      </c>
      <c r="K356" s="33">
        <v>43465</v>
      </c>
      <c r="L356" s="16" t="s">
        <v>66</v>
      </c>
      <c r="M356" s="16" t="s">
        <v>67</v>
      </c>
      <c r="N356" s="16" t="s">
        <v>68</v>
      </c>
      <c r="O356" s="16" t="s">
        <v>436</v>
      </c>
      <c r="P356" s="16" t="s">
        <v>572</v>
      </c>
      <c r="Q356" s="16" t="s">
        <v>71</v>
      </c>
      <c r="R356" s="17" t="s">
        <v>4254</v>
      </c>
      <c r="S356" s="16" t="s">
        <v>4255</v>
      </c>
      <c r="T356" s="16" t="s">
        <v>74</v>
      </c>
      <c r="U356" s="16" t="s">
        <v>75</v>
      </c>
      <c r="V356" s="16" t="s">
        <v>4256</v>
      </c>
      <c r="W356" s="16"/>
      <c r="X356" s="16" t="s">
        <v>4257</v>
      </c>
      <c r="Y356" s="16" t="s">
        <v>78</v>
      </c>
      <c r="Z356" s="16" t="s">
        <v>117</v>
      </c>
      <c r="AA356" s="16" t="s">
        <v>113</v>
      </c>
      <c r="AB356" s="17" t="s">
        <v>4258</v>
      </c>
      <c r="AC356" s="16" t="s">
        <v>71</v>
      </c>
      <c r="AD356" s="17" t="s">
        <v>4258</v>
      </c>
      <c r="AG356" s="16" t="s">
        <v>2420</v>
      </c>
      <c r="AH356" s="16" t="s">
        <v>1693</v>
      </c>
      <c r="AI356" s="16"/>
      <c r="AJ356" s="16"/>
      <c r="AK356" s="16"/>
      <c r="AL356" s="16" t="s">
        <v>1429</v>
      </c>
    </row>
    <row r="357" spans="1:38" x14ac:dyDescent="0.5">
      <c r="A357">
        <v>19924</v>
      </c>
      <c r="B357" s="16" t="s">
        <v>567</v>
      </c>
      <c r="C357" s="16" t="s">
        <v>567</v>
      </c>
      <c r="D357" s="16"/>
      <c r="E357" s="16" t="s">
        <v>4259</v>
      </c>
      <c r="F357" s="17" t="s">
        <v>4260</v>
      </c>
      <c r="G357" s="17" t="s">
        <v>4261</v>
      </c>
      <c r="H357" s="16" t="s">
        <v>4262</v>
      </c>
      <c r="I357" s="16" t="s">
        <v>4263</v>
      </c>
      <c r="J357" s="33">
        <v>41464</v>
      </c>
      <c r="K357" s="33">
        <v>43465</v>
      </c>
      <c r="L357" s="16" t="s">
        <v>66</v>
      </c>
      <c r="M357" s="16" t="s">
        <v>235</v>
      </c>
      <c r="N357" s="16" t="s">
        <v>236</v>
      </c>
      <c r="O357" s="16" t="s">
        <v>237</v>
      </c>
      <c r="P357" s="16" t="s">
        <v>572</v>
      </c>
      <c r="Q357" s="16" t="s">
        <v>71</v>
      </c>
      <c r="R357" s="17" t="s">
        <v>4264</v>
      </c>
      <c r="S357" s="16" t="s">
        <v>4265</v>
      </c>
      <c r="T357" s="16" t="s">
        <v>74</v>
      </c>
      <c r="U357" s="16" t="s">
        <v>75</v>
      </c>
      <c r="V357" s="16" t="s">
        <v>4266</v>
      </c>
      <c r="W357" s="16"/>
      <c r="X357" s="16" t="s">
        <v>4267</v>
      </c>
      <c r="Y357" s="16" t="s">
        <v>78</v>
      </c>
      <c r="Z357" s="16" t="s">
        <v>635</v>
      </c>
      <c r="AA357" s="16" t="s">
        <v>636</v>
      </c>
      <c r="AB357" s="17" t="s">
        <v>4268</v>
      </c>
      <c r="AC357" s="16" t="s">
        <v>71</v>
      </c>
      <c r="AD357" s="17" t="s">
        <v>4268</v>
      </c>
      <c r="AF357" s="17" t="s">
        <v>4269</v>
      </c>
      <c r="AG357" s="16" t="s">
        <v>2156</v>
      </c>
      <c r="AH357" s="16" t="s">
        <v>1285</v>
      </c>
      <c r="AI357" s="16"/>
      <c r="AJ357" s="16"/>
      <c r="AK357" s="16"/>
      <c r="AL357" s="16" t="s">
        <v>4270</v>
      </c>
    </row>
    <row r="358" spans="1:38" x14ac:dyDescent="0.5">
      <c r="A358">
        <v>19925</v>
      </c>
      <c r="B358" s="16" t="s">
        <v>1078</v>
      </c>
      <c r="C358" s="16" t="s">
        <v>276</v>
      </c>
      <c r="D358" s="16" t="s">
        <v>581</v>
      </c>
      <c r="E358" s="16" t="s">
        <v>4271</v>
      </c>
      <c r="F358" s="17" t="s">
        <v>4272</v>
      </c>
      <c r="H358" s="16" t="s">
        <v>4273</v>
      </c>
      <c r="I358" s="16" t="s">
        <v>4274</v>
      </c>
      <c r="J358" s="33">
        <v>41477</v>
      </c>
      <c r="K358" s="33">
        <v>43465</v>
      </c>
      <c r="L358" s="16" t="s">
        <v>66</v>
      </c>
      <c r="M358" s="16" t="s">
        <v>67</v>
      </c>
      <c r="N358" s="16" t="s">
        <v>68</v>
      </c>
      <c r="O358" s="16" t="s">
        <v>436</v>
      </c>
      <c r="P358" s="16" t="s">
        <v>572</v>
      </c>
      <c r="Q358" s="16" t="s">
        <v>71</v>
      </c>
      <c r="R358" s="17" t="s">
        <v>4275</v>
      </c>
      <c r="S358" s="16" t="s">
        <v>4276</v>
      </c>
      <c r="T358" s="16" t="s">
        <v>74</v>
      </c>
      <c r="U358" s="16" t="s">
        <v>75</v>
      </c>
      <c r="V358" s="16" t="s">
        <v>4277</v>
      </c>
      <c r="W358" s="16" t="s">
        <v>4278</v>
      </c>
      <c r="X358" s="16" t="s">
        <v>4279</v>
      </c>
      <c r="Y358" s="16" t="s">
        <v>78</v>
      </c>
      <c r="Z358" s="16" t="s">
        <v>1055</v>
      </c>
      <c r="AA358" s="16" t="s">
        <v>1056</v>
      </c>
      <c r="AB358" s="17" t="s">
        <v>4280</v>
      </c>
      <c r="AC358" s="16" t="s">
        <v>71</v>
      </c>
      <c r="AD358" s="17" t="s">
        <v>4280</v>
      </c>
      <c r="AG358" s="16" t="s">
        <v>1003</v>
      </c>
      <c r="AH358" s="16" t="s">
        <v>1285</v>
      </c>
      <c r="AI358" s="16"/>
      <c r="AJ358" s="16"/>
      <c r="AK358" s="16"/>
      <c r="AL358" s="16" t="s">
        <v>4281</v>
      </c>
    </row>
    <row r="359" spans="1:38" x14ac:dyDescent="0.5">
      <c r="A359">
        <v>19928</v>
      </c>
      <c r="B359" s="16" t="s">
        <v>4282</v>
      </c>
      <c r="C359" s="16" t="s">
        <v>4282</v>
      </c>
      <c r="D359" s="16"/>
      <c r="E359" s="16" t="s">
        <v>4283</v>
      </c>
      <c r="F359" s="17" t="s">
        <v>4284</v>
      </c>
      <c r="H359" s="16" t="s">
        <v>2915</v>
      </c>
      <c r="I359" s="16" t="s">
        <v>4285</v>
      </c>
      <c r="J359" s="33">
        <v>41463</v>
      </c>
      <c r="K359" s="33">
        <v>43465</v>
      </c>
      <c r="L359" s="16" t="s">
        <v>66</v>
      </c>
      <c r="M359" s="16" t="s">
        <v>67</v>
      </c>
      <c r="N359" s="16" t="s">
        <v>68</v>
      </c>
      <c r="O359" s="16" t="s">
        <v>436</v>
      </c>
      <c r="P359" s="16" t="s">
        <v>572</v>
      </c>
      <c r="Q359" s="16" t="s">
        <v>71</v>
      </c>
      <c r="R359" s="17" t="s">
        <v>4286</v>
      </c>
      <c r="S359" s="16" t="s">
        <v>974</v>
      </c>
      <c r="T359" s="16" t="s">
        <v>74</v>
      </c>
      <c r="U359" s="16" t="s">
        <v>75</v>
      </c>
      <c r="V359" s="16" t="s">
        <v>4287</v>
      </c>
      <c r="W359" s="16"/>
      <c r="X359" s="16" t="s">
        <v>3577</v>
      </c>
      <c r="Y359" s="16" t="s">
        <v>78</v>
      </c>
      <c r="Z359" s="16" t="s">
        <v>79</v>
      </c>
      <c r="AA359" s="16" t="s">
        <v>80</v>
      </c>
      <c r="AB359" s="17" t="s">
        <v>4288</v>
      </c>
      <c r="AC359" s="16" t="s">
        <v>71</v>
      </c>
      <c r="AD359" s="17" t="s">
        <v>4288</v>
      </c>
      <c r="AF359" s="17" t="s">
        <v>4289</v>
      </c>
      <c r="AG359" s="16" t="s">
        <v>1488</v>
      </c>
      <c r="AH359" s="16" t="s">
        <v>1913</v>
      </c>
      <c r="AI359" s="16"/>
      <c r="AJ359" s="16"/>
      <c r="AK359" s="16"/>
      <c r="AL359" s="16" t="s">
        <v>4290</v>
      </c>
    </row>
    <row r="360" spans="1:38" x14ac:dyDescent="0.5">
      <c r="A360">
        <v>19932</v>
      </c>
      <c r="B360" s="16" t="s">
        <v>4291</v>
      </c>
      <c r="C360" s="16" t="s">
        <v>4291</v>
      </c>
      <c r="D360" s="16"/>
      <c r="E360" s="16" t="s">
        <v>4292</v>
      </c>
      <c r="F360" s="17" t="s">
        <v>4293</v>
      </c>
      <c r="H360" s="16" t="s">
        <v>4294</v>
      </c>
      <c r="I360" s="16" t="s">
        <v>4295</v>
      </c>
      <c r="J360" s="33">
        <v>41486</v>
      </c>
      <c r="K360" s="33">
        <v>43465</v>
      </c>
      <c r="L360" s="16" t="s">
        <v>66</v>
      </c>
      <c r="M360" s="16" t="s">
        <v>67</v>
      </c>
      <c r="N360" s="16" t="s">
        <v>68</v>
      </c>
      <c r="O360" s="16" t="s">
        <v>436</v>
      </c>
      <c r="P360" s="16" t="s">
        <v>572</v>
      </c>
      <c r="Q360" s="16" t="s">
        <v>71</v>
      </c>
      <c r="R360" s="17" t="s">
        <v>4296</v>
      </c>
      <c r="S360" s="16" t="s">
        <v>113</v>
      </c>
      <c r="T360" s="16" t="s">
        <v>74</v>
      </c>
      <c r="U360" s="16" t="s">
        <v>75</v>
      </c>
      <c r="V360" s="16" t="s">
        <v>4297</v>
      </c>
      <c r="W360" s="16"/>
      <c r="X360" s="16" t="s">
        <v>4298</v>
      </c>
      <c r="Y360" s="16" t="s">
        <v>78</v>
      </c>
      <c r="Z360" s="16" t="s">
        <v>117</v>
      </c>
      <c r="AA360" s="16" t="s">
        <v>113</v>
      </c>
      <c r="AB360" s="17" t="s">
        <v>4299</v>
      </c>
      <c r="AC360" s="16" t="s">
        <v>71</v>
      </c>
      <c r="AD360" s="17" t="s">
        <v>4299</v>
      </c>
      <c r="AG360" s="16" t="s">
        <v>1524</v>
      </c>
      <c r="AH360" s="16" t="s">
        <v>1059</v>
      </c>
      <c r="AI360" s="16"/>
      <c r="AJ360" s="16"/>
      <c r="AK360" s="16"/>
      <c r="AL360" s="16" t="s">
        <v>4300</v>
      </c>
    </row>
    <row r="361" spans="1:38" x14ac:dyDescent="0.5">
      <c r="A361">
        <v>19933</v>
      </c>
      <c r="B361" s="16" t="s">
        <v>1490</v>
      </c>
      <c r="C361" s="16" t="s">
        <v>1490</v>
      </c>
      <c r="D361" s="16"/>
      <c r="E361" s="16" t="s">
        <v>4301</v>
      </c>
      <c r="F361" s="17" t="s">
        <v>4302</v>
      </c>
      <c r="G361" s="17" t="s">
        <v>4303</v>
      </c>
      <c r="H361" s="16" t="s">
        <v>456</v>
      </c>
      <c r="I361" s="16" t="s">
        <v>4304</v>
      </c>
      <c r="J361" s="33">
        <v>41444</v>
      </c>
      <c r="K361" s="33">
        <v>43465</v>
      </c>
      <c r="L361" s="16" t="s">
        <v>66</v>
      </c>
      <c r="M361" s="16" t="s">
        <v>67</v>
      </c>
      <c r="N361" s="16" t="s">
        <v>68</v>
      </c>
      <c r="O361" s="16" t="s">
        <v>436</v>
      </c>
      <c r="P361" s="16" t="s">
        <v>572</v>
      </c>
      <c r="Q361" s="16" t="s">
        <v>71</v>
      </c>
      <c r="R361" s="17" t="s">
        <v>4305</v>
      </c>
      <c r="S361" s="16" t="s">
        <v>4306</v>
      </c>
      <c r="T361" s="16" t="s">
        <v>74</v>
      </c>
      <c r="U361" s="16" t="s">
        <v>75</v>
      </c>
      <c r="V361" s="16" t="s">
        <v>4307</v>
      </c>
      <c r="W361" s="16"/>
      <c r="X361" s="16" t="s">
        <v>4308</v>
      </c>
      <c r="Y361" s="16" t="s">
        <v>78</v>
      </c>
      <c r="Z361" s="16" t="s">
        <v>117</v>
      </c>
      <c r="AA361" s="16" t="s">
        <v>113</v>
      </c>
      <c r="AB361" s="17" t="s">
        <v>4309</v>
      </c>
      <c r="AC361" s="16" t="s">
        <v>71</v>
      </c>
      <c r="AD361" s="17" t="s">
        <v>4309</v>
      </c>
      <c r="AE361" s="17" t="s">
        <v>4310</v>
      </c>
      <c r="AG361" s="16" t="s">
        <v>781</v>
      </c>
      <c r="AH361" s="16" t="s">
        <v>2191</v>
      </c>
      <c r="AI361" s="16"/>
      <c r="AJ361" s="16"/>
      <c r="AK361" s="16"/>
      <c r="AL361" s="16" t="s">
        <v>4311</v>
      </c>
    </row>
    <row r="362" spans="1:38" x14ac:dyDescent="0.5">
      <c r="A362">
        <v>19943</v>
      </c>
      <c r="B362" s="16" t="s">
        <v>4312</v>
      </c>
      <c r="C362" s="16" t="s">
        <v>4312</v>
      </c>
      <c r="D362" s="16"/>
      <c r="E362" s="16" t="s">
        <v>4313</v>
      </c>
      <c r="F362" s="17" t="s">
        <v>4314</v>
      </c>
      <c r="H362" s="16" t="s">
        <v>4315</v>
      </c>
      <c r="I362" s="16" t="s">
        <v>3173</v>
      </c>
      <c r="J362" s="33">
        <v>41754</v>
      </c>
      <c r="K362" s="33">
        <v>43465</v>
      </c>
      <c r="L362" s="16" t="s">
        <v>66</v>
      </c>
      <c r="M362" s="16" t="s">
        <v>67</v>
      </c>
      <c r="N362" s="16" t="s">
        <v>68</v>
      </c>
      <c r="O362" s="16" t="s">
        <v>202</v>
      </c>
      <c r="P362" s="16" t="s">
        <v>3116</v>
      </c>
      <c r="Q362" s="16" t="s">
        <v>71</v>
      </c>
      <c r="R362" s="17" t="s">
        <v>4316</v>
      </c>
      <c r="S362" s="16" t="s">
        <v>764</v>
      </c>
      <c r="T362" s="16" t="s">
        <v>74</v>
      </c>
      <c r="U362" s="16" t="s">
        <v>75</v>
      </c>
      <c r="V362" s="16" t="s">
        <v>4317</v>
      </c>
      <c r="W362" s="16"/>
      <c r="X362" s="16" t="s">
        <v>766</v>
      </c>
      <c r="Y362" s="16" t="s">
        <v>78</v>
      </c>
      <c r="Z362" s="16" t="s">
        <v>189</v>
      </c>
      <c r="AA362" s="16" t="s">
        <v>190</v>
      </c>
      <c r="AB362" s="17" t="s">
        <v>4318</v>
      </c>
      <c r="AC362" s="16" t="s">
        <v>71</v>
      </c>
      <c r="AD362" s="17" t="s">
        <v>4318</v>
      </c>
      <c r="AF362" s="17" t="s">
        <v>4319</v>
      </c>
      <c r="AG362" s="16" t="s">
        <v>4320</v>
      </c>
      <c r="AH362" s="16" t="s">
        <v>1030</v>
      </c>
      <c r="AI362" s="16"/>
      <c r="AJ362" s="16"/>
      <c r="AK362" s="16"/>
      <c r="AL362" s="16" t="s">
        <v>4321</v>
      </c>
    </row>
    <row r="363" spans="1:38" x14ac:dyDescent="0.5">
      <c r="A363">
        <v>19944</v>
      </c>
      <c r="B363" s="16" t="s">
        <v>4322</v>
      </c>
      <c r="C363" s="16" t="s">
        <v>4322</v>
      </c>
      <c r="D363" s="16"/>
      <c r="E363" s="16" t="s">
        <v>4323</v>
      </c>
      <c r="F363" s="17" t="s">
        <v>4324</v>
      </c>
      <c r="G363" s="17" t="s">
        <v>4325</v>
      </c>
      <c r="H363" s="16" t="s">
        <v>3356</v>
      </c>
      <c r="I363" s="16" t="s">
        <v>4326</v>
      </c>
      <c r="J363" s="33">
        <v>42850</v>
      </c>
      <c r="K363" s="33">
        <v>43465</v>
      </c>
      <c r="L363" s="16" t="s">
        <v>66</v>
      </c>
      <c r="M363" s="16" t="s">
        <v>67</v>
      </c>
      <c r="N363" s="16" t="s">
        <v>68</v>
      </c>
      <c r="O363" s="16" t="s">
        <v>436</v>
      </c>
      <c r="P363" s="16" t="s">
        <v>572</v>
      </c>
      <c r="Q363" s="16" t="s">
        <v>71</v>
      </c>
      <c r="R363" s="17" t="s">
        <v>4327</v>
      </c>
      <c r="S363" s="16" t="s">
        <v>113</v>
      </c>
      <c r="T363" s="16" t="s">
        <v>74</v>
      </c>
      <c r="U363" s="16" t="s">
        <v>75</v>
      </c>
      <c r="V363" s="16" t="s">
        <v>4328</v>
      </c>
      <c r="W363" s="16" t="s">
        <v>4058</v>
      </c>
      <c r="X363" s="16" t="s">
        <v>3340</v>
      </c>
      <c r="Y363" s="16" t="s">
        <v>78</v>
      </c>
      <c r="Z363" s="16" t="s">
        <v>117</v>
      </c>
      <c r="AA363" s="16" t="s">
        <v>113</v>
      </c>
      <c r="AB363" s="17" t="s">
        <v>4329</v>
      </c>
      <c r="AC363" s="16" t="s">
        <v>71</v>
      </c>
      <c r="AD363" s="17" t="s">
        <v>4329</v>
      </c>
      <c r="AF363" s="17" t="s">
        <v>4330</v>
      </c>
      <c r="AG363" s="16" t="s">
        <v>2108</v>
      </c>
      <c r="AH363" s="16" t="s">
        <v>579</v>
      </c>
      <c r="AI363" s="16"/>
      <c r="AJ363" s="16"/>
      <c r="AK363" s="16"/>
      <c r="AL363" s="16" t="s">
        <v>4331</v>
      </c>
    </row>
    <row r="364" spans="1:38" x14ac:dyDescent="0.5">
      <c r="A364">
        <v>19957</v>
      </c>
      <c r="B364" s="16" t="s">
        <v>4332</v>
      </c>
      <c r="C364" s="16" t="s">
        <v>4332</v>
      </c>
      <c r="D364" s="16" t="s">
        <v>288</v>
      </c>
      <c r="E364" s="16" t="s">
        <v>3532</v>
      </c>
      <c r="F364" s="17" t="s">
        <v>4333</v>
      </c>
      <c r="H364" s="16" t="s">
        <v>4334</v>
      </c>
      <c r="I364" s="16" t="s">
        <v>4335</v>
      </c>
      <c r="J364" s="33">
        <v>42796</v>
      </c>
      <c r="K364" s="33">
        <v>43465</v>
      </c>
      <c r="L364" s="16" t="s">
        <v>66</v>
      </c>
      <c r="M364" s="16" t="s">
        <v>235</v>
      </c>
      <c r="N364" s="16" t="s">
        <v>236</v>
      </c>
      <c r="O364" s="16" t="s">
        <v>237</v>
      </c>
      <c r="P364" s="16" t="s">
        <v>572</v>
      </c>
      <c r="Q364" s="16" t="s">
        <v>71</v>
      </c>
      <c r="R364" s="17" t="s">
        <v>4336</v>
      </c>
      <c r="S364" s="16" t="s">
        <v>662</v>
      </c>
      <c r="T364" s="16" t="s">
        <v>74</v>
      </c>
      <c r="U364" s="16" t="s">
        <v>75</v>
      </c>
      <c r="V364" s="16" t="s">
        <v>4337</v>
      </c>
      <c r="W364" s="16" t="s">
        <v>4338</v>
      </c>
      <c r="X364" s="16" t="s">
        <v>1601</v>
      </c>
      <c r="Y364" s="16" t="s">
        <v>78</v>
      </c>
      <c r="Z364" s="16" t="s">
        <v>666</v>
      </c>
      <c r="AA364" s="16" t="s">
        <v>667</v>
      </c>
      <c r="AB364" s="17" t="s">
        <v>4339</v>
      </c>
      <c r="AC364" s="16" t="s">
        <v>71</v>
      </c>
      <c r="AD364" s="17" t="s">
        <v>4339</v>
      </c>
      <c r="AG364" s="16" t="s">
        <v>3373</v>
      </c>
      <c r="AH364" s="16" t="s">
        <v>579</v>
      </c>
      <c r="AI364" s="16"/>
      <c r="AJ364" s="16"/>
      <c r="AK364" s="16"/>
      <c r="AL364" s="16" t="s">
        <v>4334</v>
      </c>
    </row>
    <row r="365" spans="1:38" x14ac:dyDescent="0.5">
      <c r="A365">
        <v>19964</v>
      </c>
      <c r="B365" s="16" t="s">
        <v>1685</v>
      </c>
      <c r="C365" s="16" t="s">
        <v>2146</v>
      </c>
      <c r="D365" s="16"/>
      <c r="E365" s="16" t="s">
        <v>2472</v>
      </c>
      <c r="F365" s="17" t="s">
        <v>4340</v>
      </c>
      <c r="H365" s="16" t="s">
        <v>3417</v>
      </c>
      <c r="I365" s="16" t="s">
        <v>4341</v>
      </c>
      <c r="J365" s="33">
        <v>41546</v>
      </c>
      <c r="K365" s="33">
        <v>43465</v>
      </c>
      <c r="L365" s="16" t="s">
        <v>66</v>
      </c>
      <c r="M365" s="16" t="s">
        <v>235</v>
      </c>
      <c r="N365" s="16" t="s">
        <v>236</v>
      </c>
      <c r="O365" s="16" t="s">
        <v>237</v>
      </c>
      <c r="P365" s="16"/>
      <c r="Q365" s="16" t="s">
        <v>71</v>
      </c>
      <c r="R365" s="17" t="s">
        <v>4342</v>
      </c>
      <c r="S365" s="16" t="s">
        <v>222</v>
      </c>
      <c r="T365" s="16" t="s">
        <v>74</v>
      </c>
      <c r="U365" s="16" t="s">
        <v>75</v>
      </c>
      <c r="V365" s="16" t="s">
        <v>4343</v>
      </c>
      <c r="W365" s="16"/>
      <c r="X365" s="16" t="s">
        <v>4344</v>
      </c>
      <c r="Y365" s="16" t="s">
        <v>78</v>
      </c>
      <c r="Z365" s="16" t="s">
        <v>189</v>
      </c>
      <c r="AA365" s="16" t="s">
        <v>190</v>
      </c>
      <c r="AB365" s="17" t="s">
        <v>4345</v>
      </c>
      <c r="AC365" s="16" t="s">
        <v>71</v>
      </c>
      <c r="AD365" s="17" t="s">
        <v>4345</v>
      </c>
      <c r="AF365" s="17" t="s">
        <v>4346</v>
      </c>
      <c r="AG365" s="16" t="s">
        <v>4347</v>
      </c>
      <c r="AH365" s="16" t="s">
        <v>2289</v>
      </c>
      <c r="AI365" s="16"/>
      <c r="AJ365" s="16"/>
      <c r="AK365" s="16"/>
      <c r="AL365" s="16" t="s">
        <v>4348</v>
      </c>
    </row>
    <row r="366" spans="1:38" x14ac:dyDescent="0.5">
      <c r="A366">
        <v>19980</v>
      </c>
      <c r="B366" s="16" t="s">
        <v>4349</v>
      </c>
      <c r="C366" s="16" t="s">
        <v>4349</v>
      </c>
      <c r="D366" s="16"/>
      <c r="E366" s="16" t="s">
        <v>4350</v>
      </c>
      <c r="F366" s="17" t="s">
        <v>4351</v>
      </c>
      <c r="G366" s="17" t="s">
        <v>4352</v>
      </c>
      <c r="H366" s="16" t="s">
        <v>4353</v>
      </c>
      <c r="I366" s="16" t="s">
        <v>4354</v>
      </c>
      <c r="J366" s="33">
        <v>42927</v>
      </c>
      <c r="K366" s="33">
        <v>43465</v>
      </c>
      <c r="L366" s="16" t="s">
        <v>66</v>
      </c>
      <c r="M366" s="16" t="s">
        <v>67</v>
      </c>
      <c r="N366" s="16" t="s">
        <v>68</v>
      </c>
      <c r="O366" s="16" t="s">
        <v>436</v>
      </c>
      <c r="P366" s="16" t="s">
        <v>572</v>
      </c>
      <c r="Q366" s="16" t="s">
        <v>71</v>
      </c>
      <c r="R366" s="17" t="s">
        <v>4355</v>
      </c>
      <c r="S366" s="16" t="s">
        <v>3349</v>
      </c>
      <c r="T366" s="16" t="s">
        <v>74</v>
      </c>
      <c r="U366" s="16" t="s">
        <v>75</v>
      </c>
      <c r="V366" s="16" t="s">
        <v>4356</v>
      </c>
      <c r="W366" s="16"/>
      <c r="X366" s="16" t="s">
        <v>4357</v>
      </c>
      <c r="Y366" s="16" t="s">
        <v>78</v>
      </c>
      <c r="Z366" s="16" t="s">
        <v>1228</v>
      </c>
      <c r="AA366" s="16" t="s">
        <v>1229</v>
      </c>
      <c r="AB366" s="17" t="s">
        <v>4358</v>
      </c>
      <c r="AC366" s="16" t="s">
        <v>71</v>
      </c>
      <c r="AD366" s="17" t="s">
        <v>4358</v>
      </c>
      <c r="AG366" s="16" t="s">
        <v>1003</v>
      </c>
      <c r="AH366" s="16" t="s">
        <v>2420</v>
      </c>
      <c r="AI366" s="16"/>
      <c r="AJ366" s="16"/>
      <c r="AK366" s="16"/>
      <c r="AL366" s="16" t="s">
        <v>4359</v>
      </c>
    </row>
    <row r="367" spans="1:38" x14ac:dyDescent="0.5">
      <c r="A367">
        <v>19986</v>
      </c>
      <c r="B367" s="16" t="s">
        <v>4360</v>
      </c>
      <c r="C367" s="16" t="s">
        <v>4360</v>
      </c>
      <c r="D367" s="16"/>
      <c r="E367" s="16" t="s">
        <v>3149</v>
      </c>
      <c r="F367" s="17" t="s">
        <v>4361</v>
      </c>
      <c r="G367" s="17" t="s">
        <v>4362</v>
      </c>
      <c r="H367" s="16" t="s">
        <v>4363</v>
      </c>
      <c r="I367" s="16" t="s">
        <v>1350</v>
      </c>
      <c r="J367" s="33">
        <v>42790</v>
      </c>
      <c r="K367" s="33">
        <v>43465</v>
      </c>
      <c r="L367" s="16" t="s">
        <v>66</v>
      </c>
      <c r="M367" s="16" t="s">
        <v>67</v>
      </c>
      <c r="N367" s="16" t="s">
        <v>68</v>
      </c>
      <c r="O367" s="16" t="s">
        <v>436</v>
      </c>
      <c r="P367" s="16" t="s">
        <v>572</v>
      </c>
      <c r="Q367" s="16" t="s">
        <v>71</v>
      </c>
      <c r="R367" s="17" t="s">
        <v>4364</v>
      </c>
      <c r="S367" s="16" t="s">
        <v>1352</v>
      </c>
      <c r="T367" s="16" t="s">
        <v>74</v>
      </c>
      <c r="U367" s="16" t="s">
        <v>75</v>
      </c>
      <c r="V367" s="16" t="s">
        <v>4365</v>
      </c>
      <c r="W367" s="16"/>
      <c r="X367" s="16" t="s">
        <v>4366</v>
      </c>
      <c r="Y367" s="16" t="s">
        <v>78</v>
      </c>
      <c r="Z367" s="16" t="s">
        <v>963</v>
      </c>
      <c r="AA367" s="16" t="s">
        <v>964</v>
      </c>
      <c r="AB367" s="17" t="s">
        <v>4367</v>
      </c>
      <c r="AC367" s="16" t="s">
        <v>71</v>
      </c>
      <c r="AD367" s="17" t="s">
        <v>4367</v>
      </c>
      <c r="AF367" s="17" t="s">
        <v>4368</v>
      </c>
      <c r="AG367" s="16" t="s">
        <v>1003</v>
      </c>
      <c r="AH367" s="16" t="s">
        <v>2420</v>
      </c>
      <c r="AI367" s="16"/>
      <c r="AJ367" s="16"/>
      <c r="AK367" s="16"/>
      <c r="AL367" s="16" t="s">
        <v>4369</v>
      </c>
    </row>
    <row r="368" spans="1:38" x14ac:dyDescent="0.5">
      <c r="A368">
        <v>20000</v>
      </c>
      <c r="B368" s="16" t="s">
        <v>4370</v>
      </c>
      <c r="C368" s="16" t="s">
        <v>4370</v>
      </c>
      <c r="D368" s="16"/>
      <c r="E368" s="16" t="s">
        <v>4371</v>
      </c>
      <c r="F368" s="17" t="s">
        <v>4372</v>
      </c>
      <c r="G368" s="17" t="s">
        <v>4373</v>
      </c>
      <c r="H368" s="16" t="s">
        <v>4374</v>
      </c>
      <c r="I368" s="16" t="s">
        <v>4375</v>
      </c>
      <c r="J368" s="33">
        <v>41600</v>
      </c>
      <c r="K368" s="33">
        <v>43465</v>
      </c>
      <c r="L368" s="16" t="s">
        <v>66</v>
      </c>
      <c r="M368" s="16" t="s">
        <v>67</v>
      </c>
      <c r="N368" s="16" t="s">
        <v>68</v>
      </c>
      <c r="O368" s="16" t="s">
        <v>436</v>
      </c>
      <c r="P368" s="16" t="s">
        <v>572</v>
      </c>
      <c r="Q368" s="16" t="s">
        <v>71</v>
      </c>
      <c r="R368" s="17" t="s">
        <v>4376</v>
      </c>
      <c r="S368" s="16" t="s">
        <v>3420</v>
      </c>
      <c r="T368" s="16" t="s">
        <v>74</v>
      </c>
      <c r="U368" s="16" t="s">
        <v>75</v>
      </c>
      <c r="V368" s="16" t="s">
        <v>4377</v>
      </c>
      <c r="W368" s="16"/>
      <c r="X368" s="16" t="s">
        <v>4378</v>
      </c>
      <c r="Y368" s="16" t="s">
        <v>78</v>
      </c>
      <c r="Z368" s="16" t="s">
        <v>883</v>
      </c>
      <c r="AA368" s="16" t="s">
        <v>884</v>
      </c>
      <c r="AB368" s="17" t="s">
        <v>4379</v>
      </c>
      <c r="AC368" s="16" t="s">
        <v>71</v>
      </c>
      <c r="AD368" s="17" t="s">
        <v>4379</v>
      </c>
      <c r="AF368" s="17" t="s">
        <v>4380</v>
      </c>
      <c r="AG368" s="16" t="s">
        <v>1913</v>
      </c>
      <c r="AH368" s="16" t="s">
        <v>3939</v>
      </c>
      <c r="AI368" s="16" t="s">
        <v>4381</v>
      </c>
      <c r="AJ368" s="16"/>
      <c r="AK368" s="16"/>
      <c r="AL368" s="16" t="s">
        <v>4382</v>
      </c>
    </row>
    <row r="369" spans="1:38" x14ac:dyDescent="0.5">
      <c r="A369">
        <v>20025</v>
      </c>
      <c r="B369" s="16" t="s">
        <v>4383</v>
      </c>
      <c r="C369" s="16" t="s">
        <v>4383</v>
      </c>
      <c r="D369" s="16"/>
      <c r="E369" s="16" t="s">
        <v>4384</v>
      </c>
      <c r="F369" s="17" t="s">
        <v>4385</v>
      </c>
      <c r="H369" s="16" t="s">
        <v>456</v>
      </c>
      <c r="I369" s="16" t="s">
        <v>4386</v>
      </c>
      <c r="J369" s="33">
        <v>41546</v>
      </c>
      <c r="K369" s="33">
        <v>43465</v>
      </c>
      <c r="L369" s="16" t="s">
        <v>66</v>
      </c>
      <c r="M369" s="16" t="s">
        <v>67</v>
      </c>
      <c r="N369" s="16" t="s">
        <v>68</v>
      </c>
      <c r="O369" s="16" t="s">
        <v>436</v>
      </c>
      <c r="P369" s="16" t="s">
        <v>572</v>
      </c>
      <c r="Q369" s="16" t="s">
        <v>71</v>
      </c>
      <c r="R369" s="17" t="s">
        <v>4387</v>
      </c>
      <c r="S369" s="16" t="s">
        <v>4388</v>
      </c>
      <c r="T369" s="16" t="s">
        <v>2626</v>
      </c>
      <c r="U369" s="16" t="s">
        <v>2627</v>
      </c>
      <c r="V369" s="16" t="s">
        <v>4389</v>
      </c>
      <c r="W369" s="16"/>
      <c r="X369" s="16"/>
      <c r="Y369" s="16"/>
      <c r="Z369" s="16"/>
      <c r="AA369" s="16"/>
      <c r="AB369" s="17" t="s">
        <v>4390</v>
      </c>
      <c r="AC369" s="16" t="s">
        <v>71</v>
      </c>
      <c r="AD369" s="17" t="s">
        <v>4390</v>
      </c>
      <c r="AF369" s="17" t="s">
        <v>4391</v>
      </c>
      <c r="AG369" s="16" t="s">
        <v>1285</v>
      </c>
      <c r="AH369" s="16" t="s">
        <v>1784</v>
      </c>
      <c r="AI369" s="16"/>
      <c r="AJ369" s="16"/>
      <c r="AK369" s="16"/>
      <c r="AL369" s="16" t="s">
        <v>4392</v>
      </c>
    </row>
    <row r="370" spans="1:38" x14ac:dyDescent="0.5">
      <c r="A370">
        <v>20028</v>
      </c>
      <c r="B370" s="16" t="s">
        <v>138</v>
      </c>
      <c r="C370" s="16" t="s">
        <v>138</v>
      </c>
      <c r="D370" s="16"/>
      <c r="E370" s="16" t="s">
        <v>4393</v>
      </c>
      <c r="F370" s="17" t="s">
        <v>4394</v>
      </c>
      <c r="H370" s="16" t="s">
        <v>2810</v>
      </c>
      <c r="I370" s="16" t="s">
        <v>4395</v>
      </c>
      <c r="J370" s="33">
        <v>41570</v>
      </c>
      <c r="K370" s="33">
        <v>43465</v>
      </c>
      <c r="L370" s="16" t="s">
        <v>66</v>
      </c>
      <c r="M370" s="16" t="s">
        <v>67</v>
      </c>
      <c r="N370" s="16" t="s">
        <v>68</v>
      </c>
      <c r="O370" s="16" t="s">
        <v>436</v>
      </c>
      <c r="P370" s="16" t="s">
        <v>572</v>
      </c>
      <c r="Q370" s="16" t="s">
        <v>71</v>
      </c>
      <c r="R370" s="17" t="s">
        <v>4396</v>
      </c>
      <c r="S370" s="16" t="s">
        <v>4397</v>
      </c>
      <c r="T370" s="16" t="s">
        <v>74</v>
      </c>
      <c r="U370" s="16" t="s">
        <v>75</v>
      </c>
      <c r="V370" s="16" t="s">
        <v>4398</v>
      </c>
      <c r="W370" s="16"/>
      <c r="X370" s="16" t="s">
        <v>4399</v>
      </c>
      <c r="Y370" s="16" t="s">
        <v>78</v>
      </c>
      <c r="Z370" s="16" t="s">
        <v>270</v>
      </c>
      <c r="AA370" s="16" t="s">
        <v>271</v>
      </c>
      <c r="AB370" s="17" t="s">
        <v>4400</v>
      </c>
      <c r="AC370" s="16" t="s">
        <v>71</v>
      </c>
      <c r="AD370" s="17" t="s">
        <v>4400</v>
      </c>
      <c r="AE370" s="17" t="s">
        <v>4401</v>
      </c>
      <c r="AG370" s="16" t="s">
        <v>1017</v>
      </c>
      <c r="AH370" s="16" t="s">
        <v>1285</v>
      </c>
      <c r="AI370" s="16" t="s">
        <v>1488</v>
      </c>
      <c r="AJ370" s="16"/>
      <c r="AK370" s="16"/>
      <c r="AL370" s="16" t="s">
        <v>2810</v>
      </c>
    </row>
    <row r="371" spans="1:38" x14ac:dyDescent="0.5">
      <c r="A371">
        <v>20029</v>
      </c>
      <c r="B371" s="16" t="s">
        <v>381</v>
      </c>
      <c r="C371" s="16" t="s">
        <v>382</v>
      </c>
      <c r="D371" s="16"/>
      <c r="E371" s="16" t="s">
        <v>4402</v>
      </c>
      <c r="F371" s="17" t="s">
        <v>4403</v>
      </c>
      <c r="H371" s="16" t="s">
        <v>456</v>
      </c>
      <c r="I371" s="16" t="s">
        <v>4404</v>
      </c>
      <c r="J371" s="33">
        <v>41733</v>
      </c>
      <c r="K371" s="33">
        <v>43465</v>
      </c>
      <c r="L371" s="16" t="s">
        <v>66</v>
      </c>
      <c r="M371" s="16" t="s">
        <v>67</v>
      </c>
      <c r="N371" s="16" t="s">
        <v>68</v>
      </c>
      <c r="O371" s="16" t="s">
        <v>436</v>
      </c>
      <c r="P371" s="16" t="s">
        <v>572</v>
      </c>
      <c r="Q371" s="16" t="s">
        <v>71</v>
      </c>
      <c r="R371" s="17" t="s">
        <v>4405</v>
      </c>
      <c r="S371" s="16" t="s">
        <v>4406</v>
      </c>
      <c r="T371" s="16" t="s">
        <v>74</v>
      </c>
      <c r="U371" s="16" t="s">
        <v>75</v>
      </c>
      <c r="V371" s="16" t="s">
        <v>4407</v>
      </c>
      <c r="W371" s="16" t="s">
        <v>4408</v>
      </c>
      <c r="X371" s="16" t="s">
        <v>4409</v>
      </c>
      <c r="Y371" s="16" t="s">
        <v>78</v>
      </c>
      <c r="Z371" s="16" t="s">
        <v>296</v>
      </c>
      <c r="AA371" s="16" t="s">
        <v>297</v>
      </c>
      <c r="AB371" s="17" t="s">
        <v>4410</v>
      </c>
      <c r="AC371" s="16" t="s">
        <v>71</v>
      </c>
      <c r="AD371" s="17" t="s">
        <v>4410</v>
      </c>
      <c r="AE371" s="17" t="s">
        <v>4411</v>
      </c>
      <c r="AG371" s="16" t="s">
        <v>1673</v>
      </c>
      <c r="AH371" s="16" t="s">
        <v>781</v>
      </c>
      <c r="AI371" s="16"/>
      <c r="AJ371" s="16"/>
      <c r="AK371" s="16"/>
      <c r="AL371" s="16" t="s">
        <v>4412</v>
      </c>
    </row>
    <row r="372" spans="1:38" x14ac:dyDescent="0.5">
      <c r="A372">
        <v>20036</v>
      </c>
      <c r="B372" s="16" t="s">
        <v>498</v>
      </c>
      <c r="C372" s="16" t="s">
        <v>499</v>
      </c>
      <c r="D372" s="16" t="s">
        <v>103</v>
      </c>
      <c r="E372" s="16" t="s">
        <v>4418</v>
      </c>
      <c r="F372" s="17" t="s">
        <v>4419</v>
      </c>
      <c r="H372" s="16" t="s">
        <v>4420</v>
      </c>
      <c r="I372" s="16" t="s">
        <v>4421</v>
      </c>
      <c r="J372" s="33">
        <v>41561</v>
      </c>
      <c r="K372" s="33">
        <v>43465</v>
      </c>
      <c r="L372" s="16" t="s">
        <v>66</v>
      </c>
      <c r="M372" s="16" t="s">
        <v>235</v>
      </c>
      <c r="N372" s="16" t="s">
        <v>236</v>
      </c>
      <c r="O372" s="16" t="s">
        <v>237</v>
      </c>
      <c r="P372" s="16" t="s">
        <v>572</v>
      </c>
      <c r="Q372" s="16" t="s">
        <v>71</v>
      </c>
      <c r="R372" s="17" t="s">
        <v>4422</v>
      </c>
      <c r="S372" s="16" t="s">
        <v>662</v>
      </c>
      <c r="T372" s="16" t="s">
        <v>74</v>
      </c>
      <c r="U372" s="16" t="s">
        <v>75</v>
      </c>
      <c r="V372" s="16" t="s">
        <v>4423</v>
      </c>
      <c r="W372" s="16"/>
      <c r="X372" s="16" t="s">
        <v>4424</v>
      </c>
      <c r="Y372" s="16" t="s">
        <v>78</v>
      </c>
      <c r="Z372" s="16" t="s">
        <v>666</v>
      </c>
      <c r="AA372" s="16" t="s">
        <v>667</v>
      </c>
      <c r="AB372" s="17" t="s">
        <v>4425</v>
      </c>
      <c r="AC372" s="16" t="s">
        <v>71</v>
      </c>
      <c r="AD372" s="17" t="s">
        <v>4425</v>
      </c>
      <c r="AG372" s="16" t="s">
        <v>1488</v>
      </c>
      <c r="AH372" s="16" t="s">
        <v>579</v>
      </c>
      <c r="AI372" s="16"/>
      <c r="AJ372" s="16"/>
      <c r="AK372" s="16"/>
      <c r="AL372" s="16" t="s">
        <v>4426</v>
      </c>
    </row>
    <row r="373" spans="1:38" x14ac:dyDescent="0.5">
      <c r="A373">
        <v>20037</v>
      </c>
      <c r="B373" s="16" t="s">
        <v>4427</v>
      </c>
      <c r="C373" s="16" t="s">
        <v>3643</v>
      </c>
      <c r="D373" s="16" t="s">
        <v>581</v>
      </c>
      <c r="E373" s="16" t="s">
        <v>4428</v>
      </c>
      <c r="F373" s="17" t="s">
        <v>4429</v>
      </c>
      <c r="G373" s="17" t="s">
        <v>4430</v>
      </c>
      <c r="H373" s="16" t="s">
        <v>4431</v>
      </c>
      <c r="I373" s="16" t="s">
        <v>4432</v>
      </c>
      <c r="J373" s="33">
        <v>41576</v>
      </c>
      <c r="K373" s="33">
        <v>43465</v>
      </c>
      <c r="L373" s="16" t="s">
        <v>66</v>
      </c>
      <c r="M373" s="16" t="s">
        <v>235</v>
      </c>
      <c r="N373" s="16" t="s">
        <v>236</v>
      </c>
      <c r="O373" s="16" t="s">
        <v>237</v>
      </c>
      <c r="P373" s="16" t="s">
        <v>572</v>
      </c>
      <c r="Q373" s="16" t="s">
        <v>71</v>
      </c>
      <c r="R373" s="17" t="s">
        <v>4433</v>
      </c>
      <c r="S373" s="16" t="s">
        <v>662</v>
      </c>
      <c r="T373" s="16" t="s">
        <v>74</v>
      </c>
      <c r="U373" s="16" t="s">
        <v>75</v>
      </c>
      <c r="V373" s="16" t="s">
        <v>4434</v>
      </c>
      <c r="W373" s="16"/>
      <c r="X373" s="16" t="s">
        <v>3975</v>
      </c>
      <c r="Y373" s="16" t="s">
        <v>78</v>
      </c>
      <c r="Z373" s="16" t="s">
        <v>666</v>
      </c>
      <c r="AA373" s="16" t="s">
        <v>667</v>
      </c>
      <c r="AB373" s="17" t="s">
        <v>4435</v>
      </c>
      <c r="AC373" s="16" t="s">
        <v>71</v>
      </c>
      <c r="AD373" s="17" t="s">
        <v>4435</v>
      </c>
      <c r="AG373" s="16" t="s">
        <v>3225</v>
      </c>
      <c r="AH373" s="16" t="s">
        <v>579</v>
      </c>
      <c r="AI373" s="16"/>
      <c r="AJ373" s="16"/>
      <c r="AK373" s="16"/>
      <c r="AL373" s="16" t="s">
        <v>4436</v>
      </c>
    </row>
    <row r="374" spans="1:38" x14ac:dyDescent="0.5">
      <c r="A374">
        <v>20041</v>
      </c>
      <c r="B374" s="16" t="s">
        <v>816</v>
      </c>
      <c r="C374" s="16" t="s">
        <v>367</v>
      </c>
      <c r="D374" s="16"/>
      <c r="E374" s="16" t="s">
        <v>4437</v>
      </c>
      <c r="F374" s="17" t="s">
        <v>4438</v>
      </c>
      <c r="H374" s="16"/>
      <c r="I374" s="16" t="s">
        <v>1667</v>
      </c>
      <c r="J374" s="33">
        <v>42402</v>
      </c>
      <c r="K374" s="33">
        <v>43465</v>
      </c>
      <c r="L374" s="16" t="s">
        <v>66</v>
      </c>
      <c r="M374" s="16" t="s">
        <v>67</v>
      </c>
      <c r="N374" s="16" t="s">
        <v>68</v>
      </c>
      <c r="O374" s="16" t="s">
        <v>1082</v>
      </c>
      <c r="P374" s="16" t="s">
        <v>572</v>
      </c>
      <c r="Q374" s="16" t="s">
        <v>71</v>
      </c>
      <c r="R374" s="17" t="s">
        <v>4439</v>
      </c>
      <c r="S374" s="16" t="s">
        <v>359</v>
      </c>
      <c r="T374" s="16" t="s">
        <v>74</v>
      </c>
      <c r="U374" s="16" t="s">
        <v>75</v>
      </c>
      <c r="V374" s="16" t="s">
        <v>4440</v>
      </c>
      <c r="W374" s="16"/>
      <c r="X374" s="16" t="s">
        <v>4441</v>
      </c>
      <c r="Y374" s="16" t="s">
        <v>78</v>
      </c>
      <c r="Z374" s="16" t="s">
        <v>242</v>
      </c>
      <c r="AA374" s="16" t="s">
        <v>243</v>
      </c>
      <c r="AB374" s="17" t="s">
        <v>4442</v>
      </c>
      <c r="AC374" s="16" t="s">
        <v>71</v>
      </c>
      <c r="AD374" s="17" t="s">
        <v>4442</v>
      </c>
      <c r="AG374" s="16" t="s">
        <v>4235</v>
      </c>
      <c r="AH374" s="16" t="s">
        <v>3225</v>
      </c>
      <c r="AI374" s="16"/>
      <c r="AJ374" s="16"/>
      <c r="AK374" s="16"/>
      <c r="AL374" s="16" t="s">
        <v>4443</v>
      </c>
    </row>
    <row r="375" spans="1:38" x14ac:dyDescent="0.5">
      <c r="A375">
        <v>20044</v>
      </c>
      <c r="B375" s="16" t="s">
        <v>287</v>
      </c>
      <c r="C375" s="16" t="s">
        <v>287</v>
      </c>
      <c r="D375" s="16"/>
      <c r="E375" s="16" t="s">
        <v>4444</v>
      </c>
      <c r="F375" s="17" t="s">
        <v>4445</v>
      </c>
      <c r="H375" s="16" t="s">
        <v>456</v>
      </c>
      <c r="I375" s="16" t="s">
        <v>4446</v>
      </c>
      <c r="J375" s="33">
        <v>42563</v>
      </c>
      <c r="K375" s="33">
        <v>43465</v>
      </c>
      <c r="L375" s="16" t="s">
        <v>66</v>
      </c>
      <c r="M375" s="16" t="s">
        <v>67</v>
      </c>
      <c r="N375" s="16" t="s">
        <v>68</v>
      </c>
      <c r="O375" s="16" t="s">
        <v>436</v>
      </c>
      <c r="P375" s="16" t="s">
        <v>572</v>
      </c>
      <c r="Q375" s="16" t="s">
        <v>71</v>
      </c>
      <c r="R375" s="17" t="s">
        <v>4447</v>
      </c>
      <c r="S375" s="16" t="s">
        <v>4448</v>
      </c>
      <c r="T375" s="16" t="s">
        <v>74</v>
      </c>
      <c r="U375" s="16" t="s">
        <v>75</v>
      </c>
      <c r="V375" s="16" t="s">
        <v>4449</v>
      </c>
      <c r="W375" s="16"/>
      <c r="X375" s="16" t="s">
        <v>4450</v>
      </c>
      <c r="Y375" s="16" t="s">
        <v>78</v>
      </c>
      <c r="Z375" s="16" t="s">
        <v>117</v>
      </c>
      <c r="AA375" s="16" t="s">
        <v>113</v>
      </c>
      <c r="AB375" s="17" t="s">
        <v>4451</v>
      </c>
      <c r="AC375" s="16" t="s">
        <v>71</v>
      </c>
      <c r="AD375" s="17" t="s">
        <v>4451</v>
      </c>
      <c r="AE375" s="17" t="s">
        <v>4452</v>
      </c>
      <c r="AF375" s="17" t="s">
        <v>4453</v>
      </c>
      <c r="AG375" s="16" t="s">
        <v>2346</v>
      </c>
      <c r="AH375" s="16" t="s">
        <v>2420</v>
      </c>
      <c r="AI375" s="16"/>
      <c r="AJ375" s="16"/>
      <c r="AK375" s="16"/>
      <c r="AL375" s="16" t="s">
        <v>4454</v>
      </c>
    </row>
    <row r="376" spans="1:38" x14ac:dyDescent="0.5">
      <c r="A376">
        <v>20069</v>
      </c>
      <c r="B376" s="16" t="s">
        <v>4455</v>
      </c>
      <c r="C376" s="16" t="s">
        <v>4455</v>
      </c>
      <c r="D376" s="16"/>
      <c r="E376" s="16" t="s">
        <v>4456</v>
      </c>
      <c r="F376" s="17" t="s">
        <v>4457</v>
      </c>
      <c r="H376" s="16" t="s">
        <v>699</v>
      </c>
      <c r="I376" s="16" t="s">
        <v>108</v>
      </c>
      <c r="J376" s="33">
        <v>42038</v>
      </c>
      <c r="K376" s="33">
        <v>43465</v>
      </c>
      <c r="L376" s="16" t="s">
        <v>66</v>
      </c>
      <c r="M376" s="16" t="s">
        <v>167</v>
      </c>
      <c r="N376" s="16" t="s">
        <v>110</v>
      </c>
      <c r="O376" s="16" t="s">
        <v>280</v>
      </c>
      <c r="P376" s="16" t="s">
        <v>572</v>
      </c>
      <c r="Q376" s="16" t="s">
        <v>71</v>
      </c>
      <c r="R376" s="17" t="s">
        <v>4458</v>
      </c>
      <c r="S376" s="16" t="s">
        <v>1165</v>
      </c>
      <c r="T376" s="16" t="s">
        <v>740</v>
      </c>
      <c r="U376" s="16" t="s">
        <v>741</v>
      </c>
      <c r="V376" s="16" t="s">
        <v>4459</v>
      </c>
      <c r="W376" s="16"/>
      <c r="X376" s="16" t="s">
        <v>4460</v>
      </c>
      <c r="Y376" s="16" t="s">
        <v>744</v>
      </c>
      <c r="Z376" s="16"/>
      <c r="AA376" s="16"/>
      <c r="AB376" s="17" t="s">
        <v>4461</v>
      </c>
      <c r="AC376" s="16" t="s">
        <v>71</v>
      </c>
      <c r="AD376" s="17" t="s">
        <v>4461</v>
      </c>
      <c r="AG376" s="16" t="s">
        <v>3373</v>
      </c>
      <c r="AH376" s="16" t="s">
        <v>1913</v>
      </c>
      <c r="AI376" s="16"/>
      <c r="AJ376" s="16"/>
      <c r="AK376" s="16"/>
      <c r="AL376" s="16" t="s">
        <v>4462</v>
      </c>
    </row>
    <row r="377" spans="1:38" x14ac:dyDescent="0.5">
      <c r="A377">
        <v>20081</v>
      </c>
      <c r="B377" s="16" t="s">
        <v>4463</v>
      </c>
      <c r="C377" s="16" t="s">
        <v>4463</v>
      </c>
      <c r="D377" s="16"/>
      <c r="E377" s="16" t="s">
        <v>4227</v>
      </c>
      <c r="F377" s="17" t="s">
        <v>4464</v>
      </c>
      <c r="G377" s="17" t="s">
        <v>4465</v>
      </c>
      <c r="H377" s="16" t="s">
        <v>699</v>
      </c>
      <c r="I377" s="16" t="s">
        <v>8611</v>
      </c>
      <c r="J377" s="33">
        <v>43080</v>
      </c>
      <c r="K377" s="33">
        <v>43445</v>
      </c>
      <c r="L377" s="16" t="s">
        <v>66</v>
      </c>
      <c r="M377" s="16" t="s">
        <v>167</v>
      </c>
      <c r="N377" s="16" t="s">
        <v>110</v>
      </c>
      <c r="O377" s="16" t="s">
        <v>280</v>
      </c>
      <c r="P377" s="16"/>
      <c r="Q377" s="16" t="s">
        <v>71</v>
      </c>
      <c r="R377" s="17" t="s">
        <v>4212</v>
      </c>
      <c r="S377" s="16" t="s">
        <v>4213</v>
      </c>
      <c r="T377" s="16" t="s">
        <v>74</v>
      </c>
      <c r="U377" s="16" t="s">
        <v>75</v>
      </c>
      <c r="V377" s="16" t="s">
        <v>4214</v>
      </c>
      <c r="W377" s="16"/>
      <c r="X377" s="16" t="s">
        <v>4215</v>
      </c>
      <c r="Y377" s="16" t="s">
        <v>78</v>
      </c>
      <c r="Z377" s="16" t="s">
        <v>3999</v>
      </c>
      <c r="AA377" s="16" t="s">
        <v>4000</v>
      </c>
      <c r="AB377" s="17" t="s">
        <v>4216</v>
      </c>
      <c r="AC377" s="16" t="s">
        <v>71</v>
      </c>
      <c r="AD377" s="17" t="s">
        <v>4216</v>
      </c>
      <c r="AE377" s="17" t="s">
        <v>4466</v>
      </c>
      <c r="AG377" s="16" t="s">
        <v>4467</v>
      </c>
      <c r="AH377" s="16" t="s">
        <v>4468</v>
      </c>
      <c r="AI377" s="16"/>
      <c r="AJ377" s="16"/>
      <c r="AK377" s="16"/>
      <c r="AL377" s="16" t="s">
        <v>4469</v>
      </c>
    </row>
    <row r="378" spans="1:38" x14ac:dyDescent="0.5">
      <c r="A378">
        <v>20113</v>
      </c>
      <c r="B378" s="16" t="s">
        <v>4470</v>
      </c>
      <c r="C378" s="16" t="s">
        <v>4470</v>
      </c>
      <c r="D378" s="16"/>
      <c r="E378" s="16" t="s">
        <v>4471</v>
      </c>
      <c r="F378" s="17" t="s">
        <v>4472</v>
      </c>
      <c r="G378" s="17" t="s">
        <v>4472</v>
      </c>
      <c r="H378" s="16"/>
      <c r="I378" s="16"/>
      <c r="J378" s="33">
        <v>41628</v>
      </c>
      <c r="K378" s="33">
        <v>43465</v>
      </c>
      <c r="L378" s="16" t="s">
        <v>66</v>
      </c>
      <c r="M378" s="16" t="s">
        <v>67</v>
      </c>
      <c r="N378" s="16" t="s">
        <v>68</v>
      </c>
      <c r="O378" s="16" t="s">
        <v>1082</v>
      </c>
      <c r="P378" s="16" t="s">
        <v>4047</v>
      </c>
      <c r="Q378" s="16" t="s">
        <v>71</v>
      </c>
      <c r="R378" s="17" t="s">
        <v>4473</v>
      </c>
      <c r="S378" s="16" t="s">
        <v>1022</v>
      </c>
      <c r="T378" s="16" t="s">
        <v>74</v>
      </c>
      <c r="U378" s="16" t="s">
        <v>75</v>
      </c>
      <c r="V378" s="16" t="s">
        <v>4474</v>
      </c>
      <c r="W378" s="16"/>
      <c r="X378" s="16" t="s">
        <v>4475</v>
      </c>
      <c r="Y378" s="16" t="s">
        <v>78</v>
      </c>
      <c r="Z378" s="16" t="s">
        <v>1025</v>
      </c>
      <c r="AA378" s="16" t="s">
        <v>1026</v>
      </c>
      <c r="AB378" s="17" t="s">
        <v>4476</v>
      </c>
      <c r="AC378" s="16" t="s">
        <v>71</v>
      </c>
      <c r="AD378" s="17" t="s">
        <v>4476</v>
      </c>
      <c r="AF378" s="17" t="s">
        <v>4477</v>
      </c>
      <c r="AG378" s="16" t="s">
        <v>2457</v>
      </c>
      <c r="AH378" s="16" t="s">
        <v>4478</v>
      </c>
      <c r="AI378" s="16"/>
      <c r="AJ378" s="16"/>
      <c r="AK378" s="16"/>
      <c r="AL378" s="16" t="s">
        <v>4479</v>
      </c>
    </row>
    <row r="379" spans="1:38" x14ac:dyDescent="0.5">
      <c r="A379">
        <v>20114</v>
      </c>
      <c r="B379" s="16" t="s">
        <v>4282</v>
      </c>
      <c r="C379" s="16" t="s">
        <v>4282</v>
      </c>
      <c r="D379" s="16"/>
      <c r="E379" s="16" t="s">
        <v>4480</v>
      </c>
      <c r="F379" s="17" t="s">
        <v>4481</v>
      </c>
      <c r="G379" s="17" t="s">
        <v>4482</v>
      </c>
      <c r="H379" s="16" t="s">
        <v>456</v>
      </c>
      <c r="I379" s="16" t="s">
        <v>4483</v>
      </c>
      <c r="J379" s="33">
        <v>41611</v>
      </c>
      <c r="K379" s="33">
        <v>43465</v>
      </c>
      <c r="L379" s="16" t="s">
        <v>66</v>
      </c>
      <c r="M379" s="16" t="s">
        <v>67</v>
      </c>
      <c r="N379" s="16" t="s">
        <v>68</v>
      </c>
      <c r="O379" s="16" t="s">
        <v>436</v>
      </c>
      <c r="P379" s="16" t="s">
        <v>572</v>
      </c>
      <c r="Q379" s="16" t="s">
        <v>71</v>
      </c>
      <c r="R379" s="17" t="s">
        <v>4484</v>
      </c>
      <c r="S379" s="16" t="s">
        <v>3073</v>
      </c>
      <c r="T379" s="16" t="s">
        <v>74</v>
      </c>
      <c r="U379" s="16" t="s">
        <v>75</v>
      </c>
      <c r="V379" s="16" t="s">
        <v>4485</v>
      </c>
      <c r="W379" s="16" t="s">
        <v>1600</v>
      </c>
      <c r="X379" s="16" t="s">
        <v>4486</v>
      </c>
      <c r="Y379" s="16" t="s">
        <v>78</v>
      </c>
      <c r="Z379" s="16" t="s">
        <v>2165</v>
      </c>
      <c r="AA379" s="16" t="s">
        <v>2166</v>
      </c>
      <c r="AB379" s="17" t="s">
        <v>4487</v>
      </c>
      <c r="AC379" s="16" t="s">
        <v>71</v>
      </c>
      <c r="AD379" s="17" t="s">
        <v>4487</v>
      </c>
      <c r="AG379" s="16" t="s">
        <v>1076</v>
      </c>
      <c r="AH379" s="16" t="s">
        <v>2322</v>
      </c>
      <c r="AI379" s="16"/>
      <c r="AJ379" s="16"/>
      <c r="AK379" s="16"/>
      <c r="AL379" s="16" t="s">
        <v>4488</v>
      </c>
    </row>
    <row r="380" spans="1:38" x14ac:dyDescent="0.5">
      <c r="A380">
        <v>20116</v>
      </c>
      <c r="B380" s="16" t="s">
        <v>1887</v>
      </c>
      <c r="C380" s="16" t="s">
        <v>1887</v>
      </c>
      <c r="D380" s="16"/>
      <c r="E380" s="16" t="s">
        <v>4489</v>
      </c>
      <c r="F380" s="17" t="s">
        <v>4490</v>
      </c>
      <c r="H380" s="16" t="s">
        <v>4491</v>
      </c>
      <c r="I380" s="16" t="s">
        <v>4492</v>
      </c>
      <c r="J380" s="33">
        <v>41610</v>
      </c>
      <c r="K380" s="33">
        <v>43465</v>
      </c>
      <c r="L380" s="16" t="s">
        <v>66</v>
      </c>
      <c r="M380" s="16" t="s">
        <v>67</v>
      </c>
      <c r="N380" s="16" t="s">
        <v>68</v>
      </c>
      <c r="O380" s="16" t="s">
        <v>436</v>
      </c>
      <c r="P380" s="16" t="s">
        <v>572</v>
      </c>
      <c r="Q380" s="16" t="s">
        <v>71</v>
      </c>
      <c r="R380" s="17" t="s">
        <v>4493</v>
      </c>
      <c r="S380" s="16" t="s">
        <v>73</v>
      </c>
      <c r="T380" s="16" t="s">
        <v>74</v>
      </c>
      <c r="U380" s="16" t="s">
        <v>75</v>
      </c>
      <c r="V380" s="16" t="s">
        <v>4494</v>
      </c>
      <c r="W380" s="16" t="s">
        <v>4495</v>
      </c>
      <c r="X380" s="16" t="s">
        <v>4496</v>
      </c>
      <c r="Y380" s="16" t="s">
        <v>78</v>
      </c>
      <c r="Z380" s="16" t="s">
        <v>79</v>
      </c>
      <c r="AA380" s="16" t="s">
        <v>80</v>
      </c>
      <c r="AB380" s="17" t="s">
        <v>4497</v>
      </c>
      <c r="AC380" s="16" t="s">
        <v>71</v>
      </c>
      <c r="AD380" s="17" t="s">
        <v>4497</v>
      </c>
      <c r="AG380" s="16" t="s">
        <v>579</v>
      </c>
      <c r="AH380" s="16" t="s">
        <v>4206</v>
      </c>
      <c r="AI380" s="16" t="s">
        <v>4207</v>
      </c>
      <c r="AJ380" s="16"/>
      <c r="AK380" s="16"/>
      <c r="AL380" s="16" t="s">
        <v>4498</v>
      </c>
    </row>
    <row r="381" spans="1:38" x14ac:dyDescent="0.5">
      <c r="A381">
        <v>20118</v>
      </c>
      <c r="B381" s="16" t="s">
        <v>4499</v>
      </c>
      <c r="C381" s="16" t="s">
        <v>4499</v>
      </c>
      <c r="D381" s="16"/>
      <c r="E381" s="16" t="s">
        <v>4500</v>
      </c>
      <c r="F381" s="17" t="s">
        <v>4501</v>
      </c>
      <c r="H381" s="16" t="s">
        <v>456</v>
      </c>
      <c r="I381" s="16" t="s">
        <v>4502</v>
      </c>
      <c r="J381" s="33">
        <v>41628</v>
      </c>
      <c r="K381" s="33">
        <v>43465</v>
      </c>
      <c r="L381" s="16" t="s">
        <v>66</v>
      </c>
      <c r="M381" s="16" t="s">
        <v>67</v>
      </c>
      <c r="N381" s="16" t="s">
        <v>68</v>
      </c>
      <c r="O381" s="16" t="s">
        <v>436</v>
      </c>
      <c r="P381" s="16" t="s">
        <v>572</v>
      </c>
      <c r="Q381" s="16" t="s">
        <v>71</v>
      </c>
      <c r="R381" s="17" t="s">
        <v>4503</v>
      </c>
      <c r="S381" s="16" t="s">
        <v>4125</v>
      </c>
      <c r="T381" s="16" t="s">
        <v>2596</v>
      </c>
      <c r="U381" s="16" t="s">
        <v>2597</v>
      </c>
      <c r="V381" s="16" t="s">
        <v>4504</v>
      </c>
      <c r="W381" s="16"/>
      <c r="X381" s="16" t="s">
        <v>4505</v>
      </c>
      <c r="Y381" s="16" t="s">
        <v>744</v>
      </c>
      <c r="Z381" s="16"/>
      <c r="AA381" s="16"/>
      <c r="AB381" s="17" t="s">
        <v>4506</v>
      </c>
      <c r="AC381" s="16" t="s">
        <v>71</v>
      </c>
      <c r="AD381" s="17" t="s">
        <v>4506</v>
      </c>
      <c r="AF381" s="17" t="s">
        <v>4507</v>
      </c>
      <c r="AG381" s="16" t="s">
        <v>2457</v>
      </c>
      <c r="AH381" s="16" t="s">
        <v>3612</v>
      </c>
      <c r="AI381" s="16"/>
      <c r="AJ381" s="16"/>
      <c r="AK381" s="16"/>
      <c r="AL381" s="16" t="s">
        <v>4508</v>
      </c>
    </row>
    <row r="382" spans="1:38" x14ac:dyDescent="0.5">
      <c r="A382">
        <v>20179</v>
      </c>
      <c r="B382" s="16" t="s">
        <v>4098</v>
      </c>
      <c r="C382" s="16" t="s">
        <v>4098</v>
      </c>
      <c r="D382" s="16"/>
      <c r="E382" s="16" t="s">
        <v>4509</v>
      </c>
      <c r="F382" s="17" t="s">
        <v>4510</v>
      </c>
      <c r="H382" s="16" t="s">
        <v>4511</v>
      </c>
      <c r="I382" s="16"/>
      <c r="J382" s="33">
        <v>42338</v>
      </c>
      <c r="K382" s="33">
        <v>43465</v>
      </c>
      <c r="L382" s="16" t="s">
        <v>66</v>
      </c>
      <c r="M382" s="16" t="s">
        <v>67</v>
      </c>
      <c r="N382" s="16" t="s">
        <v>68</v>
      </c>
      <c r="O382" s="16" t="s">
        <v>1082</v>
      </c>
      <c r="P382" s="16" t="s">
        <v>4047</v>
      </c>
      <c r="Q382" s="16" t="s">
        <v>71</v>
      </c>
      <c r="R382" s="17" t="s">
        <v>4512</v>
      </c>
      <c r="S382" s="16" t="s">
        <v>2342</v>
      </c>
      <c r="T382" s="16" t="s">
        <v>74</v>
      </c>
      <c r="U382" s="16" t="s">
        <v>75</v>
      </c>
      <c r="V382" s="16" t="s">
        <v>4513</v>
      </c>
      <c r="W382" s="16"/>
      <c r="X382" s="16" t="s">
        <v>4514</v>
      </c>
      <c r="Y382" s="16" t="s">
        <v>78</v>
      </c>
      <c r="Z382" s="16" t="s">
        <v>963</v>
      </c>
      <c r="AA382" s="16" t="s">
        <v>964</v>
      </c>
      <c r="AB382" s="17" t="s">
        <v>4515</v>
      </c>
      <c r="AC382" s="16" t="s">
        <v>966</v>
      </c>
      <c r="AF382" s="17" t="s">
        <v>4515</v>
      </c>
      <c r="AG382" s="16" t="s">
        <v>1133</v>
      </c>
      <c r="AH382" s="16" t="s">
        <v>3190</v>
      </c>
      <c r="AI382" s="16"/>
      <c r="AJ382" s="16"/>
      <c r="AK382" s="16"/>
      <c r="AL382" s="16" t="s">
        <v>4511</v>
      </c>
    </row>
    <row r="383" spans="1:38" x14ac:dyDescent="0.5">
      <c r="A383">
        <v>20203</v>
      </c>
      <c r="B383" s="16" t="s">
        <v>3833</v>
      </c>
      <c r="C383" s="16" t="s">
        <v>3833</v>
      </c>
      <c r="D383" s="16"/>
      <c r="E383" s="16" t="s">
        <v>4516</v>
      </c>
      <c r="F383" s="17" t="s">
        <v>4517</v>
      </c>
      <c r="H383" s="16" t="s">
        <v>456</v>
      </c>
      <c r="I383" s="16" t="s">
        <v>4518</v>
      </c>
      <c r="J383" s="33">
        <v>41698</v>
      </c>
      <c r="K383" s="33">
        <v>43465</v>
      </c>
      <c r="L383" s="16" t="s">
        <v>66</v>
      </c>
      <c r="M383" s="16" t="s">
        <v>67</v>
      </c>
      <c r="N383" s="16" t="s">
        <v>68</v>
      </c>
      <c r="O383" s="16" t="s">
        <v>436</v>
      </c>
      <c r="P383" s="16" t="s">
        <v>572</v>
      </c>
      <c r="Q383" s="16" t="s">
        <v>71</v>
      </c>
      <c r="R383" s="17" t="s">
        <v>4519</v>
      </c>
      <c r="S383" s="16" t="s">
        <v>3683</v>
      </c>
      <c r="T383" s="16" t="s">
        <v>74</v>
      </c>
      <c r="U383" s="16" t="s">
        <v>75</v>
      </c>
      <c r="V383" s="16" t="s">
        <v>4520</v>
      </c>
      <c r="W383" s="16"/>
      <c r="X383" s="16" t="s">
        <v>4521</v>
      </c>
      <c r="Y383" s="16" t="s">
        <v>78</v>
      </c>
      <c r="Z383" s="16" t="s">
        <v>172</v>
      </c>
      <c r="AA383" s="16" t="s">
        <v>173</v>
      </c>
      <c r="AB383" s="17" t="s">
        <v>4522</v>
      </c>
      <c r="AC383" s="16" t="s">
        <v>71</v>
      </c>
      <c r="AD383" s="17" t="s">
        <v>4522</v>
      </c>
      <c r="AE383" s="17" t="s">
        <v>4523</v>
      </c>
      <c r="AG383" s="16" t="s">
        <v>2420</v>
      </c>
      <c r="AH383" s="16" t="s">
        <v>4524</v>
      </c>
      <c r="AI383" s="16" t="s">
        <v>1017</v>
      </c>
      <c r="AJ383" s="16"/>
      <c r="AK383" s="16"/>
      <c r="AL383" s="16"/>
    </row>
    <row r="384" spans="1:38" x14ac:dyDescent="0.5">
      <c r="A384">
        <v>20209</v>
      </c>
      <c r="B384" s="16" t="s">
        <v>4525</v>
      </c>
      <c r="C384" s="16" t="s">
        <v>4525</v>
      </c>
      <c r="D384" s="16"/>
      <c r="E384" s="16" t="s">
        <v>4526</v>
      </c>
      <c r="F384" s="17" t="s">
        <v>4527</v>
      </c>
      <c r="G384" s="17" t="s">
        <v>4528</v>
      </c>
      <c r="H384" s="16" t="s">
        <v>2173</v>
      </c>
      <c r="I384" s="16" t="s">
        <v>4529</v>
      </c>
      <c r="J384" s="33">
        <v>42930</v>
      </c>
      <c r="K384" s="33">
        <v>43465</v>
      </c>
      <c r="L384" s="16" t="s">
        <v>66</v>
      </c>
      <c r="M384" s="16" t="s">
        <v>67</v>
      </c>
      <c r="N384" s="16" t="s">
        <v>68</v>
      </c>
      <c r="O384" s="16" t="s">
        <v>436</v>
      </c>
      <c r="P384" s="16" t="s">
        <v>572</v>
      </c>
      <c r="Q384" s="16" t="s">
        <v>71</v>
      </c>
      <c r="R384" s="17" t="s">
        <v>4530</v>
      </c>
      <c r="S384" s="16" t="s">
        <v>4531</v>
      </c>
      <c r="T384" s="16" t="s">
        <v>74</v>
      </c>
      <c r="U384" s="16" t="s">
        <v>75</v>
      </c>
      <c r="V384" s="16" t="s">
        <v>4532</v>
      </c>
      <c r="W384" s="16"/>
      <c r="X384" s="16" t="s">
        <v>4533</v>
      </c>
      <c r="Y384" s="16" t="s">
        <v>78</v>
      </c>
      <c r="Z384" s="16" t="s">
        <v>189</v>
      </c>
      <c r="AA384" s="16" t="s">
        <v>190</v>
      </c>
      <c r="AB384" s="17" t="s">
        <v>4534</v>
      </c>
      <c r="AC384" s="16" t="s">
        <v>71</v>
      </c>
      <c r="AD384" s="17" t="s">
        <v>4534</v>
      </c>
      <c r="AG384" s="16" t="s">
        <v>4535</v>
      </c>
      <c r="AH384" s="16" t="s">
        <v>2910</v>
      </c>
      <c r="AI384" s="16"/>
      <c r="AJ384" s="16"/>
      <c r="AK384" s="16"/>
      <c r="AL384" s="16" t="s">
        <v>4536</v>
      </c>
    </row>
    <row r="385" spans="1:38" x14ac:dyDescent="0.5">
      <c r="A385">
        <v>20211</v>
      </c>
      <c r="B385" s="16" t="s">
        <v>4537</v>
      </c>
      <c r="C385" s="16" t="s">
        <v>4537</v>
      </c>
      <c r="D385" s="16"/>
      <c r="E385" s="16" t="s">
        <v>4538</v>
      </c>
      <c r="F385" s="17" t="s">
        <v>4539</v>
      </c>
      <c r="G385" s="17" t="s">
        <v>4540</v>
      </c>
      <c r="H385" s="16" t="s">
        <v>4541</v>
      </c>
      <c r="I385" s="16" t="s">
        <v>4542</v>
      </c>
      <c r="J385" s="33">
        <v>41703</v>
      </c>
      <c r="K385" s="33">
        <v>43465</v>
      </c>
      <c r="L385" s="16" t="s">
        <v>66</v>
      </c>
      <c r="M385" s="16" t="s">
        <v>67</v>
      </c>
      <c r="N385" s="16" t="s">
        <v>68</v>
      </c>
      <c r="O385" s="16" t="s">
        <v>436</v>
      </c>
      <c r="P385" s="16" t="s">
        <v>572</v>
      </c>
      <c r="Q385" s="16" t="s">
        <v>71</v>
      </c>
      <c r="R385" s="17" t="s">
        <v>4543</v>
      </c>
      <c r="S385" s="16" t="s">
        <v>752</v>
      </c>
      <c r="T385" s="16" t="s">
        <v>74</v>
      </c>
      <c r="U385" s="16" t="s">
        <v>75</v>
      </c>
      <c r="V385" s="16" t="s">
        <v>4544</v>
      </c>
      <c r="W385" s="16"/>
      <c r="X385" s="16" t="s">
        <v>4545</v>
      </c>
      <c r="Y385" s="16" t="s">
        <v>78</v>
      </c>
      <c r="Z385" s="16" t="s">
        <v>132</v>
      </c>
      <c r="AA385" s="16" t="s">
        <v>133</v>
      </c>
      <c r="AB385" s="17" t="s">
        <v>4546</v>
      </c>
      <c r="AC385" s="16" t="s">
        <v>71</v>
      </c>
      <c r="AD385" s="17" t="s">
        <v>4546</v>
      </c>
      <c r="AF385" s="17" t="s">
        <v>4547</v>
      </c>
      <c r="AG385" s="16" t="s">
        <v>3190</v>
      </c>
      <c r="AH385" s="16" t="s">
        <v>1285</v>
      </c>
      <c r="AI385" s="16" t="s">
        <v>579</v>
      </c>
      <c r="AJ385" s="16"/>
      <c r="AK385" s="16"/>
      <c r="AL385" s="16" t="s">
        <v>4548</v>
      </c>
    </row>
    <row r="386" spans="1:38" x14ac:dyDescent="0.5">
      <c r="A386">
        <v>20212</v>
      </c>
      <c r="B386" s="16" t="s">
        <v>340</v>
      </c>
      <c r="C386" s="16" t="s">
        <v>340</v>
      </c>
      <c r="D386" s="16"/>
      <c r="E386" s="16" t="s">
        <v>4549</v>
      </c>
      <c r="F386" s="17" t="s">
        <v>4550</v>
      </c>
      <c r="H386" s="16" t="s">
        <v>4551</v>
      </c>
      <c r="I386" s="16" t="s">
        <v>4552</v>
      </c>
      <c r="J386" s="33">
        <v>41701</v>
      </c>
      <c r="K386" s="33">
        <v>43465</v>
      </c>
      <c r="L386" s="16" t="s">
        <v>66</v>
      </c>
      <c r="M386" s="16" t="s">
        <v>67</v>
      </c>
      <c r="N386" s="16" t="s">
        <v>68</v>
      </c>
      <c r="O386" s="16" t="s">
        <v>436</v>
      </c>
      <c r="P386" s="16" t="s">
        <v>572</v>
      </c>
      <c r="Q386" s="16" t="s">
        <v>71</v>
      </c>
      <c r="R386" s="17" t="s">
        <v>4553</v>
      </c>
      <c r="S386" s="16" t="s">
        <v>2342</v>
      </c>
      <c r="T386" s="16" t="s">
        <v>74</v>
      </c>
      <c r="U386" s="16" t="s">
        <v>75</v>
      </c>
      <c r="V386" s="16" t="s">
        <v>4554</v>
      </c>
      <c r="W386" s="16"/>
      <c r="X386" s="16" t="s">
        <v>4514</v>
      </c>
      <c r="Y386" s="16" t="s">
        <v>78</v>
      </c>
      <c r="Z386" s="16" t="s">
        <v>963</v>
      </c>
      <c r="AA386" s="16" t="s">
        <v>964</v>
      </c>
      <c r="AB386" s="17" t="s">
        <v>4555</v>
      </c>
      <c r="AC386" s="16" t="s">
        <v>71</v>
      </c>
      <c r="AD386" s="17" t="s">
        <v>4555</v>
      </c>
      <c r="AG386" s="16" t="s">
        <v>1913</v>
      </c>
      <c r="AH386" s="16" t="s">
        <v>1673</v>
      </c>
      <c r="AI386" s="16"/>
      <c r="AJ386" s="16"/>
      <c r="AK386" s="16"/>
      <c r="AL386" s="16" t="s">
        <v>4556</v>
      </c>
    </row>
    <row r="387" spans="1:38" x14ac:dyDescent="0.5">
      <c r="A387">
        <v>20213</v>
      </c>
      <c r="B387" s="16" t="s">
        <v>4557</v>
      </c>
      <c r="C387" s="16" t="s">
        <v>4557</v>
      </c>
      <c r="D387" s="16"/>
      <c r="E387" s="16" t="s">
        <v>4558</v>
      </c>
      <c r="F387" s="17" t="s">
        <v>4559</v>
      </c>
      <c r="G387" s="17" t="s">
        <v>4560</v>
      </c>
      <c r="H387" s="16" t="s">
        <v>456</v>
      </c>
      <c r="I387" s="16" t="s">
        <v>4561</v>
      </c>
      <c r="J387" s="33">
        <v>41708</v>
      </c>
      <c r="K387" s="33">
        <v>43465</v>
      </c>
      <c r="L387" s="16" t="s">
        <v>66</v>
      </c>
      <c r="M387" s="16" t="s">
        <v>67</v>
      </c>
      <c r="N387" s="16" t="s">
        <v>68</v>
      </c>
      <c r="O387" s="16" t="s">
        <v>436</v>
      </c>
      <c r="P387" s="16" t="s">
        <v>572</v>
      </c>
      <c r="Q387" s="16" t="s">
        <v>71</v>
      </c>
      <c r="R387" s="17" t="s">
        <v>4562</v>
      </c>
      <c r="S387" s="16" t="s">
        <v>4563</v>
      </c>
      <c r="T387" s="16" t="s">
        <v>74</v>
      </c>
      <c r="U387" s="16" t="s">
        <v>75</v>
      </c>
      <c r="V387" s="16" t="s">
        <v>4564</v>
      </c>
      <c r="W387" s="16" t="s">
        <v>4565</v>
      </c>
      <c r="X387" s="16" t="s">
        <v>4565</v>
      </c>
      <c r="Y387" s="16" t="s">
        <v>78</v>
      </c>
      <c r="Z387" s="16" t="s">
        <v>79</v>
      </c>
      <c r="AA387" s="16" t="s">
        <v>80</v>
      </c>
      <c r="AB387" s="17" t="s">
        <v>4566</v>
      </c>
      <c r="AC387" s="16" t="s">
        <v>71</v>
      </c>
      <c r="AD387" s="17" t="s">
        <v>4566</v>
      </c>
      <c r="AE387" s="17" t="s">
        <v>4567</v>
      </c>
      <c r="AF387" s="17" t="s">
        <v>4567</v>
      </c>
      <c r="AG387" s="16" t="s">
        <v>2094</v>
      </c>
      <c r="AH387" s="16" t="s">
        <v>2093</v>
      </c>
      <c r="AI387" s="16"/>
      <c r="AJ387" s="16"/>
      <c r="AK387" s="16"/>
      <c r="AL387" s="16" t="s">
        <v>4568</v>
      </c>
    </row>
    <row r="388" spans="1:38" x14ac:dyDescent="0.5">
      <c r="A388">
        <v>20225</v>
      </c>
      <c r="B388" s="16" t="s">
        <v>902</v>
      </c>
      <c r="C388" s="16" t="s">
        <v>902</v>
      </c>
      <c r="D388" s="16"/>
      <c r="E388" s="16" t="s">
        <v>4569</v>
      </c>
      <c r="F388" s="17" t="s">
        <v>4570</v>
      </c>
      <c r="G388" s="17" t="s">
        <v>4571</v>
      </c>
      <c r="H388" s="16" t="s">
        <v>4572</v>
      </c>
      <c r="I388" s="16" t="s">
        <v>4573</v>
      </c>
      <c r="J388" s="33">
        <v>42979</v>
      </c>
      <c r="K388" s="33">
        <v>43343</v>
      </c>
      <c r="L388" s="16" t="s">
        <v>66</v>
      </c>
      <c r="M388" s="16" t="s">
        <v>67</v>
      </c>
      <c r="N388" s="16" t="s">
        <v>68</v>
      </c>
      <c r="O388" s="16" t="s">
        <v>436</v>
      </c>
      <c r="P388" s="16" t="s">
        <v>572</v>
      </c>
      <c r="Q388" s="16" t="s">
        <v>71</v>
      </c>
      <c r="R388" s="17" t="s">
        <v>4574</v>
      </c>
      <c r="S388" s="16" t="s">
        <v>4575</v>
      </c>
      <c r="T388" s="16" t="s">
        <v>74</v>
      </c>
      <c r="U388" s="16" t="s">
        <v>75</v>
      </c>
      <c r="V388" s="16" t="s">
        <v>4576</v>
      </c>
      <c r="W388" s="16"/>
      <c r="X388" s="16" t="s">
        <v>4577</v>
      </c>
      <c r="Y388" s="16" t="s">
        <v>78</v>
      </c>
      <c r="Z388" s="16" t="s">
        <v>376</v>
      </c>
      <c r="AA388" s="16" t="s">
        <v>377</v>
      </c>
      <c r="AB388" s="17" t="s">
        <v>4578</v>
      </c>
      <c r="AC388" s="16" t="s">
        <v>71</v>
      </c>
      <c r="AD388" s="17" t="s">
        <v>4578</v>
      </c>
      <c r="AE388" s="17" t="s">
        <v>4579</v>
      </c>
      <c r="AF388" s="17" t="s">
        <v>4580</v>
      </c>
      <c r="AG388" s="16" t="s">
        <v>2616</v>
      </c>
      <c r="AH388" s="16" t="s">
        <v>4235</v>
      </c>
      <c r="AI388" s="16"/>
      <c r="AJ388" s="16"/>
      <c r="AK388" s="16"/>
      <c r="AL388" s="16" t="s">
        <v>4581</v>
      </c>
    </row>
    <row r="389" spans="1:38" x14ac:dyDescent="0.5">
      <c r="A389">
        <v>20243</v>
      </c>
      <c r="B389" s="16" t="s">
        <v>4582</v>
      </c>
      <c r="C389" s="16" t="s">
        <v>4582</v>
      </c>
      <c r="D389" s="16"/>
      <c r="E389" s="16" t="s">
        <v>4583</v>
      </c>
      <c r="F389" s="17" t="s">
        <v>4584</v>
      </c>
      <c r="H389" s="16" t="s">
        <v>4585</v>
      </c>
      <c r="I389" s="16" t="s">
        <v>1818</v>
      </c>
      <c r="J389" s="33">
        <v>42485</v>
      </c>
      <c r="K389" s="33">
        <v>43465</v>
      </c>
      <c r="L389" s="16" t="s">
        <v>66</v>
      </c>
      <c r="M389" s="16" t="s">
        <v>67</v>
      </c>
      <c r="N389" s="16" t="s">
        <v>68</v>
      </c>
      <c r="O389" s="16" t="s">
        <v>436</v>
      </c>
      <c r="P389" s="16" t="s">
        <v>572</v>
      </c>
      <c r="Q389" s="16" t="s">
        <v>71</v>
      </c>
      <c r="R389" s="17" t="s">
        <v>4586</v>
      </c>
      <c r="S389" s="16" t="s">
        <v>4587</v>
      </c>
      <c r="T389" s="16" t="s">
        <v>4588</v>
      </c>
      <c r="U389" s="16" t="s">
        <v>4589</v>
      </c>
      <c r="V389" s="16" t="s">
        <v>4590</v>
      </c>
      <c r="W389" s="16"/>
      <c r="X389" s="16" t="s">
        <v>4591</v>
      </c>
      <c r="Y389" s="16" t="s">
        <v>744</v>
      </c>
      <c r="Z389" s="16"/>
      <c r="AA389" s="16"/>
      <c r="AB389" s="17" t="s">
        <v>4592</v>
      </c>
      <c r="AC389" s="16" t="s">
        <v>71</v>
      </c>
      <c r="AD389" s="17" t="s">
        <v>4592</v>
      </c>
      <c r="AF389" s="17" t="s">
        <v>4593</v>
      </c>
      <c r="AG389" s="16" t="s">
        <v>2156</v>
      </c>
      <c r="AH389" s="16" t="s">
        <v>2297</v>
      </c>
      <c r="AI389" s="16"/>
      <c r="AJ389" s="16"/>
      <c r="AK389" s="16"/>
      <c r="AL389" s="16" t="s">
        <v>4585</v>
      </c>
    </row>
    <row r="390" spans="1:38" x14ac:dyDescent="0.5">
      <c r="A390">
        <v>20260</v>
      </c>
      <c r="B390" s="16" t="s">
        <v>4594</v>
      </c>
      <c r="C390" s="16" t="s">
        <v>4594</v>
      </c>
      <c r="D390" s="16"/>
      <c r="E390" s="16" t="s">
        <v>4595</v>
      </c>
      <c r="F390" s="17" t="s">
        <v>4596</v>
      </c>
      <c r="H390" s="16" t="s">
        <v>1528</v>
      </c>
      <c r="I390" s="16" t="s">
        <v>4597</v>
      </c>
      <c r="J390" s="33">
        <v>41827</v>
      </c>
      <c r="K390" s="33">
        <v>43465</v>
      </c>
      <c r="L390" s="16" t="s">
        <v>66</v>
      </c>
      <c r="M390" s="16" t="s">
        <v>67</v>
      </c>
      <c r="N390" s="16" t="s">
        <v>68</v>
      </c>
      <c r="O390" s="16" t="s">
        <v>69</v>
      </c>
      <c r="P390" s="16" t="s">
        <v>572</v>
      </c>
      <c r="Q390" s="16" t="s">
        <v>71</v>
      </c>
      <c r="R390" s="17" t="s">
        <v>4598</v>
      </c>
      <c r="S390" s="16" t="s">
        <v>4599</v>
      </c>
      <c r="T390" s="16" t="s">
        <v>74</v>
      </c>
      <c r="U390" s="16" t="s">
        <v>75</v>
      </c>
      <c r="V390" s="16" t="s">
        <v>4600</v>
      </c>
      <c r="W390" s="16"/>
      <c r="X390" s="16" t="s">
        <v>4601</v>
      </c>
      <c r="Y390" s="16" t="s">
        <v>78</v>
      </c>
      <c r="Z390" s="16" t="s">
        <v>242</v>
      </c>
      <c r="AA390" s="16" t="s">
        <v>243</v>
      </c>
      <c r="AB390" s="17" t="s">
        <v>4602</v>
      </c>
      <c r="AC390" s="16" t="s">
        <v>71</v>
      </c>
      <c r="AD390" s="17" t="s">
        <v>4602</v>
      </c>
      <c r="AG390" s="16" t="s">
        <v>2108</v>
      </c>
      <c r="AH390" s="16" t="s">
        <v>1076</v>
      </c>
      <c r="AI390" s="16"/>
      <c r="AJ390" s="16"/>
      <c r="AK390" s="16"/>
      <c r="AL390" s="16" t="s">
        <v>4603</v>
      </c>
    </row>
    <row r="391" spans="1:38" x14ac:dyDescent="0.5">
      <c r="A391">
        <v>20287</v>
      </c>
      <c r="B391" s="16" t="s">
        <v>980</v>
      </c>
      <c r="C391" s="16" t="s">
        <v>980</v>
      </c>
      <c r="D391" s="16"/>
      <c r="E391" s="16" t="s">
        <v>4604</v>
      </c>
      <c r="F391" s="17" t="s">
        <v>4605</v>
      </c>
      <c r="H391" s="16" t="s">
        <v>4606</v>
      </c>
      <c r="I391" s="16" t="s">
        <v>4607</v>
      </c>
      <c r="J391" s="33">
        <v>41747</v>
      </c>
      <c r="K391" s="33">
        <v>43465</v>
      </c>
      <c r="L391" s="16" t="s">
        <v>66</v>
      </c>
      <c r="M391" s="16" t="s">
        <v>167</v>
      </c>
      <c r="N391" s="16" t="s">
        <v>110</v>
      </c>
      <c r="O391" s="16" t="s">
        <v>280</v>
      </c>
      <c r="P391" s="16" t="s">
        <v>572</v>
      </c>
      <c r="Q391" s="16" t="s">
        <v>71</v>
      </c>
      <c r="R391" s="17" t="s">
        <v>4608</v>
      </c>
      <c r="S391" s="16" t="s">
        <v>113</v>
      </c>
      <c r="T391" s="16" t="s">
        <v>74</v>
      </c>
      <c r="U391" s="16" t="s">
        <v>75</v>
      </c>
      <c r="V391" s="16" t="s">
        <v>4609</v>
      </c>
      <c r="W391" s="16"/>
      <c r="X391" s="16" t="s">
        <v>858</v>
      </c>
      <c r="Y391" s="16" t="s">
        <v>78</v>
      </c>
      <c r="Z391" s="16" t="s">
        <v>117</v>
      </c>
      <c r="AA391" s="16" t="s">
        <v>113</v>
      </c>
      <c r="AB391" s="17" t="s">
        <v>4610</v>
      </c>
      <c r="AC391" s="16" t="s">
        <v>71</v>
      </c>
      <c r="AD391" s="17" t="s">
        <v>4610</v>
      </c>
      <c r="AF391" s="17" t="s">
        <v>4611</v>
      </c>
      <c r="AG391" s="16" t="s">
        <v>1798</v>
      </c>
      <c r="AH391" s="16" t="s">
        <v>3570</v>
      </c>
      <c r="AI391" s="16" t="s">
        <v>1784</v>
      </c>
      <c r="AJ391" s="16"/>
      <c r="AK391" s="16"/>
      <c r="AL391" s="16" t="s">
        <v>4612</v>
      </c>
    </row>
    <row r="392" spans="1:38" x14ac:dyDescent="0.5">
      <c r="A392">
        <v>20306</v>
      </c>
      <c r="B392" s="16" t="s">
        <v>4613</v>
      </c>
      <c r="C392" s="16" t="s">
        <v>4613</v>
      </c>
      <c r="D392" s="16"/>
      <c r="E392" s="16" t="s">
        <v>4614</v>
      </c>
      <c r="F392" s="17" t="s">
        <v>4615</v>
      </c>
      <c r="H392" s="16" t="s">
        <v>2257</v>
      </c>
      <c r="I392" s="16" t="s">
        <v>4616</v>
      </c>
      <c r="J392" s="33">
        <v>43180</v>
      </c>
      <c r="K392" s="33">
        <v>43545</v>
      </c>
      <c r="L392" s="16" t="s">
        <v>66</v>
      </c>
      <c r="M392" s="16" t="s">
        <v>67</v>
      </c>
      <c r="N392" s="16" t="s">
        <v>68</v>
      </c>
      <c r="O392" s="16" t="s">
        <v>436</v>
      </c>
      <c r="P392" s="16"/>
      <c r="Q392" s="16" t="s">
        <v>71</v>
      </c>
      <c r="R392" s="17" t="s">
        <v>4617</v>
      </c>
      <c r="S392" s="16" t="s">
        <v>113</v>
      </c>
      <c r="T392" s="16" t="s">
        <v>74</v>
      </c>
      <c r="U392" s="16" t="s">
        <v>75</v>
      </c>
      <c r="V392" s="16" t="s">
        <v>4618</v>
      </c>
      <c r="W392" s="16"/>
      <c r="X392" s="16" t="s">
        <v>4619</v>
      </c>
      <c r="Y392" s="16" t="s">
        <v>78</v>
      </c>
      <c r="Z392" s="16" t="s">
        <v>117</v>
      </c>
      <c r="AA392" s="16" t="s">
        <v>113</v>
      </c>
      <c r="AB392" s="17" t="s">
        <v>4620</v>
      </c>
      <c r="AC392" s="16" t="s">
        <v>966</v>
      </c>
      <c r="AF392" s="17" t="s">
        <v>4620</v>
      </c>
      <c r="AG392" s="16" t="s">
        <v>4621</v>
      </c>
      <c r="AH392" s="16" t="s">
        <v>4106</v>
      </c>
      <c r="AI392" s="16"/>
      <c r="AJ392" s="16"/>
      <c r="AK392" s="16"/>
      <c r="AL392" s="16" t="s">
        <v>4622</v>
      </c>
    </row>
    <row r="393" spans="1:38" x14ac:dyDescent="0.5">
      <c r="A393">
        <v>20307</v>
      </c>
      <c r="B393" s="16" t="s">
        <v>4623</v>
      </c>
      <c r="C393" s="16" t="s">
        <v>4623</v>
      </c>
      <c r="D393" s="16" t="s">
        <v>4624</v>
      </c>
      <c r="E393" s="16" t="s">
        <v>4350</v>
      </c>
      <c r="F393" s="17" t="s">
        <v>4625</v>
      </c>
      <c r="G393" s="17" t="s">
        <v>4626</v>
      </c>
      <c r="H393" s="16" t="s">
        <v>4627</v>
      </c>
      <c r="I393" s="16" t="s">
        <v>4628</v>
      </c>
      <c r="J393" s="33">
        <v>42382</v>
      </c>
      <c r="K393" s="33">
        <v>43465</v>
      </c>
      <c r="L393" s="16" t="s">
        <v>66</v>
      </c>
      <c r="M393" s="16" t="s">
        <v>1036</v>
      </c>
      <c r="N393" s="16"/>
      <c r="O393" s="16" t="s">
        <v>1037</v>
      </c>
      <c r="P393" s="16"/>
      <c r="Q393" s="16" t="s">
        <v>71</v>
      </c>
      <c r="R393" s="17" t="s">
        <v>4629</v>
      </c>
      <c r="S393" s="16" t="s">
        <v>936</v>
      </c>
      <c r="T393" s="16" t="s">
        <v>74</v>
      </c>
      <c r="U393" s="16" t="s">
        <v>75</v>
      </c>
      <c r="V393" s="16" t="s">
        <v>4630</v>
      </c>
      <c r="W393" s="16"/>
      <c r="X393" s="16" t="s">
        <v>4631</v>
      </c>
      <c r="Y393" s="16" t="s">
        <v>78</v>
      </c>
      <c r="Z393" s="16" t="s">
        <v>242</v>
      </c>
      <c r="AA393" s="16" t="s">
        <v>243</v>
      </c>
      <c r="AB393" s="17" t="s">
        <v>4632</v>
      </c>
      <c r="AC393" s="16" t="s">
        <v>71</v>
      </c>
      <c r="AD393" s="17" t="s">
        <v>4632</v>
      </c>
      <c r="AG393" s="16" t="s">
        <v>2108</v>
      </c>
      <c r="AH393" s="16" t="s">
        <v>2156</v>
      </c>
      <c r="AI393" s="16"/>
      <c r="AJ393" s="16"/>
      <c r="AK393" s="16"/>
      <c r="AL393" s="16"/>
    </row>
    <row r="394" spans="1:38" x14ac:dyDescent="0.5">
      <c r="A394">
        <v>20310</v>
      </c>
      <c r="B394" s="16" t="s">
        <v>4633</v>
      </c>
      <c r="C394" s="16" t="s">
        <v>4633</v>
      </c>
      <c r="D394" s="16"/>
      <c r="E394" s="16" t="s">
        <v>4634</v>
      </c>
      <c r="F394" s="17" t="s">
        <v>4635</v>
      </c>
      <c r="H394" s="16"/>
      <c r="I394" s="16"/>
      <c r="J394" s="33">
        <v>41751</v>
      </c>
      <c r="K394" s="33">
        <v>43465</v>
      </c>
      <c r="L394" s="16" t="s">
        <v>66</v>
      </c>
      <c r="M394" s="16" t="s">
        <v>67</v>
      </c>
      <c r="N394" s="16" t="s">
        <v>68</v>
      </c>
      <c r="O394" s="16" t="s">
        <v>1082</v>
      </c>
      <c r="P394" s="16" t="s">
        <v>4047</v>
      </c>
      <c r="Q394" s="16" t="s">
        <v>71</v>
      </c>
      <c r="R394" s="17" t="s">
        <v>4636</v>
      </c>
      <c r="S394" s="16" t="s">
        <v>1111</v>
      </c>
      <c r="T394" s="16" t="s">
        <v>74</v>
      </c>
      <c r="U394" s="16" t="s">
        <v>75</v>
      </c>
      <c r="V394" s="16" t="s">
        <v>4637</v>
      </c>
      <c r="W394" s="16"/>
      <c r="X394" s="16" t="s">
        <v>4638</v>
      </c>
      <c r="Y394" s="16" t="s">
        <v>78</v>
      </c>
      <c r="Z394" s="16" t="s">
        <v>207</v>
      </c>
      <c r="AA394" s="16" t="s">
        <v>208</v>
      </c>
      <c r="AB394" s="17" t="s">
        <v>4639</v>
      </c>
      <c r="AC394" s="16" t="s">
        <v>71</v>
      </c>
      <c r="AD394" s="17" t="s">
        <v>4639</v>
      </c>
      <c r="AG394" s="16" t="s">
        <v>1076</v>
      </c>
      <c r="AH394" s="16" t="s">
        <v>1259</v>
      </c>
      <c r="AI394" s="16"/>
      <c r="AJ394" s="16"/>
      <c r="AK394" s="16"/>
      <c r="AL394" s="16" t="s">
        <v>4640</v>
      </c>
    </row>
    <row r="395" spans="1:38" x14ac:dyDescent="0.5">
      <c r="A395">
        <v>20324</v>
      </c>
      <c r="B395" s="16" t="s">
        <v>2635</v>
      </c>
      <c r="C395" s="16" t="s">
        <v>2635</v>
      </c>
      <c r="D395" s="16" t="s">
        <v>103</v>
      </c>
      <c r="E395" s="16" t="s">
        <v>4641</v>
      </c>
      <c r="F395" s="17" t="s">
        <v>4642</v>
      </c>
      <c r="G395" s="17" t="s">
        <v>4643</v>
      </c>
      <c r="H395" s="16" t="s">
        <v>1429</v>
      </c>
      <c r="I395" s="16" t="s">
        <v>4644</v>
      </c>
      <c r="J395" s="33">
        <v>43279</v>
      </c>
      <c r="K395" s="33">
        <v>43644</v>
      </c>
      <c r="L395" s="16" t="s">
        <v>66</v>
      </c>
      <c r="M395" s="16" t="s">
        <v>67</v>
      </c>
      <c r="N395" s="16" t="s">
        <v>68</v>
      </c>
      <c r="O395" s="16" t="s">
        <v>436</v>
      </c>
      <c r="P395" s="16" t="s">
        <v>572</v>
      </c>
      <c r="Q395" s="16" t="s">
        <v>71</v>
      </c>
      <c r="R395" s="17" t="s">
        <v>4645</v>
      </c>
      <c r="S395" s="16" t="s">
        <v>3996</v>
      </c>
      <c r="T395" s="16" t="s">
        <v>74</v>
      </c>
      <c r="U395" s="16" t="s">
        <v>75</v>
      </c>
      <c r="V395" s="16" t="s">
        <v>4646</v>
      </c>
      <c r="W395" s="16" t="s">
        <v>4647</v>
      </c>
      <c r="X395" s="16" t="s">
        <v>4648</v>
      </c>
      <c r="Y395" s="16" t="s">
        <v>78</v>
      </c>
      <c r="Z395" s="16" t="s">
        <v>3999</v>
      </c>
      <c r="AA395" s="16" t="s">
        <v>4000</v>
      </c>
      <c r="AB395" s="17" t="s">
        <v>4649</v>
      </c>
      <c r="AC395" s="16" t="s">
        <v>71</v>
      </c>
      <c r="AD395" s="17" t="s">
        <v>4649</v>
      </c>
      <c r="AF395" s="17" t="s">
        <v>4650</v>
      </c>
      <c r="AG395" s="16" t="s">
        <v>3540</v>
      </c>
      <c r="AH395" s="16" t="s">
        <v>4651</v>
      </c>
      <c r="AI395" s="16"/>
      <c r="AJ395" s="16"/>
      <c r="AK395" s="16"/>
      <c r="AL395" s="16"/>
    </row>
    <row r="396" spans="1:38" x14ac:dyDescent="0.5">
      <c r="A396">
        <v>20334</v>
      </c>
      <c r="B396" s="16" t="s">
        <v>4653</v>
      </c>
      <c r="C396" s="16" t="s">
        <v>4653</v>
      </c>
      <c r="D396" s="16"/>
      <c r="E396" s="16" t="s">
        <v>4654</v>
      </c>
      <c r="F396" s="17" t="s">
        <v>4655</v>
      </c>
      <c r="G396" s="17" t="s">
        <v>4656</v>
      </c>
      <c r="H396" s="16" t="s">
        <v>4657</v>
      </c>
      <c r="I396" s="16" t="s">
        <v>4658</v>
      </c>
      <c r="J396" s="33">
        <v>41838</v>
      </c>
      <c r="K396" s="33">
        <v>43465</v>
      </c>
      <c r="L396" s="16" t="s">
        <v>66</v>
      </c>
      <c r="M396" s="16" t="s">
        <v>67</v>
      </c>
      <c r="N396" s="16" t="s">
        <v>68</v>
      </c>
      <c r="O396" s="16" t="s">
        <v>436</v>
      </c>
      <c r="P396" s="16" t="s">
        <v>572</v>
      </c>
      <c r="Q396" s="16" t="s">
        <v>71</v>
      </c>
      <c r="R396" s="17" t="s">
        <v>4659</v>
      </c>
      <c r="S396" s="16" t="s">
        <v>4660</v>
      </c>
      <c r="T396" s="16" t="s">
        <v>74</v>
      </c>
      <c r="U396" s="16" t="s">
        <v>75</v>
      </c>
      <c r="V396" s="16" t="s">
        <v>4661</v>
      </c>
      <c r="W396" s="16"/>
      <c r="X396" s="16" t="s">
        <v>4662</v>
      </c>
      <c r="Y396" s="16" t="s">
        <v>78</v>
      </c>
      <c r="Z396" s="16" t="s">
        <v>242</v>
      </c>
      <c r="AA396" s="16" t="s">
        <v>243</v>
      </c>
      <c r="AB396" s="17" t="s">
        <v>4663</v>
      </c>
      <c r="AC396" s="16" t="s">
        <v>71</v>
      </c>
      <c r="AD396" s="17" t="s">
        <v>4663</v>
      </c>
      <c r="AF396" s="17" t="s">
        <v>4664</v>
      </c>
      <c r="AG396" s="16" t="s">
        <v>2616</v>
      </c>
      <c r="AH396" s="16" t="s">
        <v>4665</v>
      </c>
      <c r="AI396" s="16"/>
      <c r="AJ396" s="16"/>
      <c r="AK396" s="16"/>
      <c r="AL396" s="16" t="s">
        <v>4666</v>
      </c>
    </row>
    <row r="397" spans="1:38" x14ac:dyDescent="0.5">
      <c r="A397">
        <v>20337</v>
      </c>
      <c r="B397" s="16" t="s">
        <v>2966</v>
      </c>
      <c r="C397" s="16" t="s">
        <v>2966</v>
      </c>
      <c r="D397" s="16"/>
      <c r="E397" s="16" t="s">
        <v>4641</v>
      </c>
      <c r="F397" s="17" t="s">
        <v>4667</v>
      </c>
      <c r="H397" s="16" t="s">
        <v>4668</v>
      </c>
      <c r="I397" s="16" t="s">
        <v>4669</v>
      </c>
      <c r="J397" s="33">
        <v>41750</v>
      </c>
      <c r="K397" s="33">
        <v>43465</v>
      </c>
      <c r="L397" s="16" t="s">
        <v>66</v>
      </c>
      <c r="M397" s="16" t="s">
        <v>67</v>
      </c>
      <c r="N397" s="16" t="s">
        <v>68</v>
      </c>
      <c r="O397" s="16" t="s">
        <v>69</v>
      </c>
      <c r="P397" s="16"/>
      <c r="Q397" s="16" t="s">
        <v>71</v>
      </c>
      <c r="R397" s="17" t="s">
        <v>4670</v>
      </c>
      <c r="S397" s="16" t="s">
        <v>1111</v>
      </c>
      <c r="T397" s="16" t="s">
        <v>74</v>
      </c>
      <c r="U397" s="16" t="s">
        <v>75</v>
      </c>
      <c r="V397" s="16" t="s">
        <v>4671</v>
      </c>
      <c r="W397" s="16"/>
      <c r="X397" s="16" t="s">
        <v>4672</v>
      </c>
      <c r="Y397" s="16" t="s">
        <v>78</v>
      </c>
      <c r="Z397" s="16" t="s">
        <v>207</v>
      </c>
      <c r="AA397" s="16" t="s">
        <v>208</v>
      </c>
      <c r="AB397" s="17" t="s">
        <v>4673</v>
      </c>
      <c r="AC397" s="16" t="s">
        <v>71</v>
      </c>
      <c r="AD397" s="17" t="s">
        <v>4673</v>
      </c>
      <c r="AG397" s="16" t="s">
        <v>1030</v>
      </c>
      <c r="AH397" s="16" t="s">
        <v>1133</v>
      </c>
      <c r="AI397" s="16" t="s">
        <v>1076</v>
      </c>
      <c r="AJ397" s="16"/>
      <c r="AK397" s="16"/>
      <c r="AL397" s="16" t="s">
        <v>4674</v>
      </c>
    </row>
    <row r="398" spans="1:38" x14ac:dyDescent="0.5">
      <c r="A398">
        <v>20338</v>
      </c>
      <c r="B398" s="16" t="s">
        <v>4675</v>
      </c>
      <c r="C398" s="16" t="s">
        <v>4675</v>
      </c>
      <c r="D398" s="16"/>
      <c r="E398" s="16" t="s">
        <v>289</v>
      </c>
      <c r="F398" s="17" t="s">
        <v>4676</v>
      </c>
      <c r="H398" s="16" t="s">
        <v>4677</v>
      </c>
      <c r="I398" s="16" t="s">
        <v>4678</v>
      </c>
      <c r="J398" s="33">
        <v>41781</v>
      </c>
      <c r="K398" s="33">
        <v>43465</v>
      </c>
      <c r="L398" s="16" t="s">
        <v>66</v>
      </c>
      <c r="M398" s="16" t="s">
        <v>67</v>
      </c>
      <c r="N398" s="16" t="s">
        <v>68</v>
      </c>
      <c r="O398" s="16" t="s">
        <v>436</v>
      </c>
      <c r="P398" s="16"/>
      <c r="Q398" s="16" t="s">
        <v>71</v>
      </c>
      <c r="R398" s="17" t="s">
        <v>4679</v>
      </c>
      <c r="S398" s="16" t="s">
        <v>3056</v>
      </c>
      <c r="T398" s="16" t="s">
        <v>74</v>
      </c>
      <c r="U398" s="16" t="s">
        <v>75</v>
      </c>
      <c r="V398" s="16" t="s">
        <v>4680</v>
      </c>
      <c r="W398" s="16"/>
      <c r="X398" s="16" t="s">
        <v>4681</v>
      </c>
      <c r="Y398" s="16" t="s">
        <v>78</v>
      </c>
      <c r="Z398" s="16" t="s">
        <v>492</v>
      </c>
      <c r="AA398" s="16" t="s">
        <v>493</v>
      </c>
      <c r="AB398" s="17" t="s">
        <v>4682</v>
      </c>
      <c r="AC398" s="16" t="s">
        <v>71</v>
      </c>
      <c r="AD398" s="17" t="s">
        <v>4682</v>
      </c>
      <c r="AG398" s="16" t="s">
        <v>1784</v>
      </c>
      <c r="AH398" s="16" t="s">
        <v>4022</v>
      </c>
      <c r="AI398" s="16"/>
      <c r="AJ398" s="16"/>
      <c r="AK398" s="16"/>
      <c r="AL398" s="16"/>
    </row>
    <row r="399" spans="1:38" x14ac:dyDescent="0.5">
      <c r="A399">
        <v>20339</v>
      </c>
      <c r="B399" s="16" t="s">
        <v>816</v>
      </c>
      <c r="C399" s="16" t="s">
        <v>816</v>
      </c>
      <c r="D399" s="16"/>
      <c r="E399" s="16" t="s">
        <v>340</v>
      </c>
      <c r="F399" s="17" t="s">
        <v>4683</v>
      </c>
      <c r="H399" s="16" t="s">
        <v>4684</v>
      </c>
      <c r="I399" s="16" t="s">
        <v>4685</v>
      </c>
      <c r="J399" s="33">
        <v>41745</v>
      </c>
      <c r="K399" s="33">
        <v>43465</v>
      </c>
      <c r="L399" s="16" t="s">
        <v>66</v>
      </c>
      <c r="M399" s="16" t="s">
        <v>67</v>
      </c>
      <c r="N399" s="16" t="s">
        <v>68</v>
      </c>
      <c r="O399" s="16" t="s">
        <v>436</v>
      </c>
      <c r="P399" s="16" t="s">
        <v>572</v>
      </c>
      <c r="Q399" s="16" t="s">
        <v>71</v>
      </c>
      <c r="R399" s="17" t="s">
        <v>4686</v>
      </c>
      <c r="S399" s="16" t="s">
        <v>1165</v>
      </c>
      <c r="T399" s="16" t="s">
        <v>740</v>
      </c>
      <c r="U399" s="16" t="s">
        <v>741</v>
      </c>
      <c r="V399" s="16" t="s">
        <v>4687</v>
      </c>
      <c r="W399" s="16"/>
      <c r="X399" s="16" t="s">
        <v>4688</v>
      </c>
      <c r="Y399" s="16" t="s">
        <v>744</v>
      </c>
      <c r="Z399" s="16"/>
      <c r="AA399" s="16"/>
      <c r="AB399" s="17" t="s">
        <v>4689</v>
      </c>
      <c r="AC399" s="16" t="s">
        <v>71</v>
      </c>
      <c r="AD399" s="17" t="s">
        <v>4689</v>
      </c>
      <c r="AF399" s="17" t="s">
        <v>4690</v>
      </c>
      <c r="AG399" s="16" t="s">
        <v>4691</v>
      </c>
      <c r="AH399" s="16" t="s">
        <v>3939</v>
      </c>
      <c r="AI399" s="16"/>
      <c r="AJ399" s="16"/>
      <c r="AK399" s="16"/>
      <c r="AL399" s="16" t="s">
        <v>4692</v>
      </c>
    </row>
    <row r="400" spans="1:38" x14ac:dyDescent="0.5">
      <c r="A400">
        <v>20342</v>
      </c>
      <c r="B400" s="16" t="s">
        <v>4693</v>
      </c>
      <c r="C400" s="16" t="s">
        <v>4694</v>
      </c>
      <c r="D400" s="16"/>
      <c r="E400" s="16" t="s">
        <v>4695</v>
      </c>
      <c r="F400" s="17" t="s">
        <v>4696</v>
      </c>
      <c r="H400" s="16" t="s">
        <v>4697</v>
      </c>
      <c r="I400" s="16" t="s">
        <v>4698</v>
      </c>
      <c r="J400" s="33">
        <v>41751</v>
      </c>
      <c r="K400" s="33">
        <v>43465</v>
      </c>
      <c r="L400" s="16" t="s">
        <v>66</v>
      </c>
      <c r="M400" s="16" t="s">
        <v>67</v>
      </c>
      <c r="N400" s="16" t="s">
        <v>68</v>
      </c>
      <c r="O400" s="16" t="s">
        <v>436</v>
      </c>
      <c r="P400" s="16" t="s">
        <v>572</v>
      </c>
      <c r="Q400" s="16" t="s">
        <v>71</v>
      </c>
      <c r="R400" s="17" t="s">
        <v>4699</v>
      </c>
      <c r="S400" s="16" t="s">
        <v>4700</v>
      </c>
      <c r="T400" s="16" t="s">
        <v>740</v>
      </c>
      <c r="U400" s="16" t="s">
        <v>741</v>
      </c>
      <c r="V400" s="16" t="s">
        <v>4701</v>
      </c>
      <c r="W400" s="16"/>
      <c r="X400" s="16" t="s">
        <v>4702</v>
      </c>
      <c r="Y400" s="16" t="s">
        <v>744</v>
      </c>
      <c r="Z400" s="16"/>
      <c r="AA400" s="16"/>
      <c r="AB400" s="17" t="s">
        <v>4703</v>
      </c>
      <c r="AC400" s="16" t="s">
        <v>71</v>
      </c>
      <c r="AD400" s="17" t="s">
        <v>4703</v>
      </c>
      <c r="AG400" s="16" t="s">
        <v>4704</v>
      </c>
      <c r="AH400" s="16" t="s">
        <v>3939</v>
      </c>
      <c r="AI400" s="16"/>
      <c r="AJ400" s="16"/>
      <c r="AK400" s="16"/>
      <c r="AL400" s="16" t="s">
        <v>4705</v>
      </c>
    </row>
    <row r="401" spans="1:38" x14ac:dyDescent="0.5">
      <c r="A401">
        <v>20343</v>
      </c>
      <c r="B401" s="16" t="s">
        <v>1787</v>
      </c>
      <c r="C401" s="16" t="s">
        <v>1787</v>
      </c>
      <c r="D401" s="16"/>
      <c r="E401" s="16" t="s">
        <v>4706</v>
      </c>
      <c r="F401" s="17" t="s">
        <v>4707</v>
      </c>
      <c r="H401" s="16" t="s">
        <v>819</v>
      </c>
      <c r="I401" s="16" t="s">
        <v>4708</v>
      </c>
      <c r="J401" s="33">
        <v>41743</v>
      </c>
      <c r="K401" s="33">
        <v>43465</v>
      </c>
      <c r="L401" s="16" t="s">
        <v>66</v>
      </c>
      <c r="M401" s="16" t="s">
        <v>167</v>
      </c>
      <c r="N401" s="16" t="s">
        <v>110</v>
      </c>
      <c r="O401" s="16" t="s">
        <v>111</v>
      </c>
      <c r="P401" s="16" t="s">
        <v>2947</v>
      </c>
      <c r="Q401" s="16" t="s">
        <v>71</v>
      </c>
      <c r="R401" s="17" t="s">
        <v>4709</v>
      </c>
      <c r="S401" s="16" t="s">
        <v>113</v>
      </c>
      <c r="T401" s="16" t="s">
        <v>74</v>
      </c>
      <c r="U401" s="16" t="s">
        <v>75</v>
      </c>
      <c r="V401" s="16" t="s">
        <v>4710</v>
      </c>
      <c r="W401" s="16" t="s">
        <v>4711</v>
      </c>
      <c r="X401" s="16" t="s">
        <v>4712</v>
      </c>
      <c r="Y401" s="16" t="s">
        <v>78</v>
      </c>
      <c r="Z401" s="16" t="s">
        <v>117</v>
      </c>
      <c r="AA401" s="16" t="s">
        <v>113</v>
      </c>
      <c r="AB401" s="17" t="s">
        <v>8612</v>
      </c>
      <c r="AC401" s="16" t="s">
        <v>71</v>
      </c>
      <c r="AD401" s="17" t="s">
        <v>8612</v>
      </c>
      <c r="AE401" s="17" t="s">
        <v>8613</v>
      </c>
      <c r="AG401" s="16" t="s">
        <v>4062</v>
      </c>
      <c r="AH401" s="16" t="s">
        <v>1784</v>
      </c>
      <c r="AI401" s="16"/>
      <c r="AJ401" s="16"/>
      <c r="AK401" s="16"/>
      <c r="AL401" s="16" t="s">
        <v>4713</v>
      </c>
    </row>
    <row r="402" spans="1:38" x14ac:dyDescent="0.5">
      <c r="A402">
        <v>20344</v>
      </c>
      <c r="B402" s="16" t="s">
        <v>4714</v>
      </c>
      <c r="C402" s="16" t="s">
        <v>4714</v>
      </c>
      <c r="D402" s="16"/>
      <c r="E402" s="16" t="s">
        <v>4715</v>
      </c>
      <c r="F402" s="17" t="s">
        <v>4716</v>
      </c>
      <c r="H402" s="16" t="s">
        <v>3183</v>
      </c>
      <c r="I402" s="16" t="s">
        <v>4717</v>
      </c>
      <c r="J402" s="33">
        <v>41752</v>
      </c>
      <c r="K402" s="33">
        <v>43465</v>
      </c>
      <c r="L402" s="16" t="s">
        <v>66</v>
      </c>
      <c r="M402" s="16" t="s">
        <v>67</v>
      </c>
      <c r="N402" s="16" t="s">
        <v>68</v>
      </c>
      <c r="O402" s="16" t="s">
        <v>436</v>
      </c>
      <c r="P402" s="16" t="s">
        <v>572</v>
      </c>
      <c r="Q402" s="16" t="s">
        <v>71</v>
      </c>
      <c r="R402" s="17" t="s">
        <v>4718</v>
      </c>
      <c r="S402" s="16" t="s">
        <v>4719</v>
      </c>
      <c r="T402" s="16" t="s">
        <v>74</v>
      </c>
      <c r="U402" s="16" t="s">
        <v>75</v>
      </c>
      <c r="V402" s="16" t="s">
        <v>4720</v>
      </c>
      <c r="W402" s="16"/>
      <c r="X402" s="16" t="s">
        <v>4721</v>
      </c>
      <c r="Y402" s="16" t="s">
        <v>78</v>
      </c>
      <c r="Z402" s="16" t="s">
        <v>2165</v>
      </c>
      <c r="AA402" s="16" t="s">
        <v>2166</v>
      </c>
      <c r="AB402" s="17" t="s">
        <v>4722</v>
      </c>
      <c r="AC402" s="16" t="s">
        <v>71</v>
      </c>
      <c r="AD402" s="17" t="s">
        <v>4722</v>
      </c>
      <c r="AG402" s="16" t="s">
        <v>1017</v>
      </c>
      <c r="AH402" s="16" t="s">
        <v>4723</v>
      </c>
      <c r="AI402" s="16"/>
      <c r="AJ402" s="16"/>
      <c r="AK402" s="16"/>
      <c r="AL402" s="16" t="s">
        <v>4724</v>
      </c>
    </row>
    <row r="403" spans="1:38" x14ac:dyDescent="0.5">
      <c r="A403">
        <v>20345</v>
      </c>
      <c r="B403" s="16" t="s">
        <v>4725</v>
      </c>
      <c r="C403" s="16" t="s">
        <v>4725</v>
      </c>
      <c r="D403" s="16"/>
      <c r="E403" s="16" t="s">
        <v>4726</v>
      </c>
      <c r="F403" s="17" t="s">
        <v>4727</v>
      </c>
      <c r="G403" s="17" t="s">
        <v>4728</v>
      </c>
      <c r="H403" s="16" t="s">
        <v>4729</v>
      </c>
      <c r="I403" s="16" t="s">
        <v>4730</v>
      </c>
      <c r="J403" s="33">
        <v>41745</v>
      </c>
      <c r="K403" s="33">
        <v>43465</v>
      </c>
      <c r="L403" s="16" t="s">
        <v>66</v>
      </c>
      <c r="M403" s="16" t="s">
        <v>235</v>
      </c>
      <c r="N403" s="16" t="s">
        <v>236</v>
      </c>
      <c r="O403" s="16" t="s">
        <v>237</v>
      </c>
      <c r="P403" s="16" t="s">
        <v>572</v>
      </c>
      <c r="Q403" s="16" t="s">
        <v>71</v>
      </c>
      <c r="R403" s="17" t="s">
        <v>4731</v>
      </c>
      <c r="S403" s="16" t="s">
        <v>4732</v>
      </c>
      <c r="T403" s="16" t="s">
        <v>74</v>
      </c>
      <c r="U403" s="16" t="s">
        <v>75</v>
      </c>
      <c r="V403" s="16" t="s">
        <v>4733</v>
      </c>
      <c r="W403" s="16" t="s">
        <v>4734</v>
      </c>
      <c r="X403" s="16" t="s">
        <v>4735</v>
      </c>
      <c r="Y403" s="16" t="s">
        <v>78</v>
      </c>
      <c r="Z403" s="16" t="s">
        <v>242</v>
      </c>
      <c r="AA403" s="16" t="s">
        <v>243</v>
      </c>
      <c r="AB403" s="17" t="s">
        <v>4736</v>
      </c>
      <c r="AC403" s="16" t="s">
        <v>71</v>
      </c>
      <c r="AD403" s="17" t="s">
        <v>4736</v>
      </c>
      <c r="AG403" s="16" t="s">
        <v>1059</v>
      </c>
      <c r="AH403" s="16" t="s">
        <v>1784</v>
      </c>
      <c r="AI403" s="16"/>
      <c r="AJ403" s="16"/>
      <c r="AK403" s="16"/>
      <c r="AL403" s="16" t="s">
        <v>4737</v>
      </c>
    </row>
    <row r="404" spans="1:38" x14ac:dyDescent="0.5">
      <c r="A404">
        <v>20403</v>
      </c>
      <c r="B404" s="16" t="s">
        <v>4738</v>
      </c>
      <c r="C404" s="16" t="s">
        <v>4738</v>
      </c>
      <c r="D404" s="16" t="s">
        <v>123</v>
      </c>
      <c r="E404" s="16" t="s">
        <v>4739</v>
      </c>
      <c r="F404" s="17" t="s">
        <v>4740</v>
      </c>
      <c r="H404" s="16" t="s">
        <v>4741</v>
      </c>
      <c r="I404" s="16" t="s">
        <v>8591</v>
      </c>
      <c r="J404" s="33">
        <v>41874</v>
      </c>
      <c r="K404" s="33">
        <v>43465</v>
      </c>
      <c r="L404" s="16" t="s">
        <v>66</v>
      </c>
      <c r="M404" s="16" t="s">
        <v>90</v>
      </c>
      <c r="N404" s="16" t="s">
        <v>91</v>
      </c>
      <c r="O404" s="16" t="s">
        <v>91</v>
      </c>
      <c r="P404" s="16" t="s">
        <v>572</v>
      </c>
      <c r="Q404" s="16" t="s">
        <v>71</v>
      </c>
      <c r="R404" s="17" t="s">
        <v>4742</v>
      </c>
      <c r="S404" s="16" t="s">
        <v>2162</v>
      </c>
      <c r="T404" s="16" t="s">
        <v>74</v>
      </c>
      <c r="U404" s="16" t="s">
        <v>75</v>
      </c>
      <c r="V404" s="16" t="s">
        <v>4743</v>
      </c>
      <c r="W404" s="16"/>
      <c r="X404" s="16" t="s">
        <v>4744</v>
      </c>
      <c r="Y404" s="16" t="s">
        <v>78</v>
      </c>
      <c r="Z404" s="16" t="s">
        <v>2165</v>
      </c>
      <c r="AA404" s="16" t="s">
        <v>2166</v>
      </c>
      <c r="AB404" s="17" t="s">
        <v>4745</v>
      </c>
      <c r="AC404" s="16" t="s">
        <v>71</v>
      </c>
      <c r="AD404" s="17" t="s">
        <v>4745</v>
      </c>
      <c r="AE404" s="17" t="s">
        <v>4746</v>
      </c>
      <c r="AF404" s="17" t="s">
        <v>4747</v>
      </c>
      <c r="AG404" s="16" t="s">
        <v>4748</v>
      </c>
      <c r="AH404" s="16" t="s">
        <v>578</v>
      </c>
      <c r="AI404" s="16"/>
      <c r="AJ404" s="16"/>
      <c r="AK404" s="16"/>
      <c r="AL404" s="16" t="s">
        <v>4749</v>
      </c>
    </row>
    <row r="405" spans="1:38" x14ac:dyDescent="0.5">
      <c r="A405">
        <v>20404</v>
      </c>
      <c r="B405" s="16" t="s">
        <v>733</v>
      </c>
      <c r="C405" s="16" t="s">
        <v>4750</v>
      </c>
      <c r="D405" s="16"/>
      <c r="E405" s="16" t="s">
        <v>4751</v>
      </c>
      <c r="F405" s="17" t="s">
        <v>4752</v>
      </c>
      <c r="G405" s="17" t="s">
        <v>4752</v>
      </c>
      <c r="H405" s="16" t="s">
        <v>4753</v>
      </c>
      <c r="I405" s="16" t="s">
        <v>4754</v>
      </c>
      <c r="J405" s="33">
        <v>41827</v>
      </c>
      <c r="K405" s="33">
        <v>43465</v>
      </c>
      <c r="L405" s="16" t="s">
        <v>66</v>
      </c>
      <c r="M405" s="16" t="s">
        <v>90</v>
      </c>
      <c r="N405" s="16" t="s">
        <v>91</v>
      </c>
      <c r="O405" s="16" t="s">
        <v>91</v>
      </c>
      <c r="P405" s="16" t="s">
        <v>572</v>
      </c>
      <c r="Q405" s="16" t="s">
        <v>71</v>
      </c>
      <c r="R405" s="17" t="s">
        <v>4755</v>
      </c>
      <c r="S405" s="16" t="s">
        <v>4756</v>
      </c>
      <c r="T405" s="16" t="s">
        <v>74</v>
      </c>
      <c r="U405" s="16" t="s">
        <v>75</v>
      </c>
      <c r="V405" s="16" t="s">
        <v>4757</v>
      </c>
      <c r="W405" s="16"/>
      <c r="X405" s="16" t="s">
        <v>4758</v>
      </c>
      <c r="Y405" s="16" t="s">
        <v>78</v>
      </c>
      <c r="Z405" s="16" t="s">
        <v>1025</v>
      </c>
      <c r="AA405" s="16" t="s">
        <v>1026</v>
      </c>
      <c r="AB405" s="17" t="s">
        <v>4759</v>
      </c>
      <c r="AC405" s="16" t="s">
        <v>71</v>
      </c>
      <c r="AD405" s="17" t="s">
        <v>4759</v>
      </c>
      <c r="AG405" s="16" t="s">
        <v>899</v>
      </c>
      <c r="AH405" s="16" t="s">
        <v>4760</v>
      </c>
      <c r="AI405" s="16"/>
      <c r="AJ405" s="16"/>
      <c r="AK405" s="16"/>
      <c r="AL405" s="16" t="s">
        <v>4761</v>
      </c>
    </row>
    <row r="406" spans="1:38" x14ac:dyDescent="0.5">
      <c r="A406">
        <v>20405</v>
      </c>
      <c r="B406" s="16" t="s">
        <v>4762</v>
      </c>
      <c r="C406" s="16" t="s">
        <v>4762</v>
      </c>
      <c r="D406" s="16"/>
      <c r="E406" s="16" t="s">
        <v>4763</v>
      </c>
      <c r="F406" s="17" t="s">
        <v>4764</v>
      </c>
      <c r="G406" s="17" t="s">
        <v>4765</v>
      </c>
      <c r="H406" s="16" t="s">
        <v>4766</v>
      </c>
      <c r="I406" s="16" t="s">
        <v>4767</v>
      </c>
      <c r="J406" s="33">
        <v>41866</v>
      </c>
      <c r="K406" s="33">
        <v>43465</v>
      </c>
      <c r="L406" s="16" t="s">
        <v>66</v>
      </c>
      <c r="M406" s="16" t="s">
        <v>90</v>
      </c>
      <c r="N406" s="16" t="s">
        <v>91</v>
      </c>
      <c r="O406" s="16" t="s">
        <v>91</v>
      </c>
      <c r="P406" s="16" t="s">
        <v>572</v>
      </c>
      <c r="Q406" s="16" t="s">
        <v>71</v>
      </c>
      <c r="R406" s="17" t="s">
        <v>4768</v>
      </c>
      <c r="S406" s="16" t="s">
        <v>4769</v>
      </c>
      <c r="T406" s="16" t="s">
        <v>74</v>
      </c>
      <c r="U406" s="16" t="s">
        <v>75</v>
      </c>
      <c r="V406" s="16" t="s">
        <v>4770</v>
      </c>
      <c r="W406" s="16" t="s">
        <v>4771</v>
      </c>
      <c r="X406" s="16" t="s">
        <v>4772</v>
      </c>
      <c r="Y406" s="16" t="s">
        <v>78</v>
      </c>
      <c r="Z406" s="16" t="s">
        <v>599</v>
      </c>
      <c r="AA406" s="16" t="s">
        <v>600</v>
      </c>
      <c r="AB406" s="17" t="s">
        <v>4773</v>
      </c>
      <c r="AC406" s="16" t="s">
        <v>71</v>
      </c>
      <c r="AD406" s="17" t="s">
        <v>4773</v>
      </c>
      <c r="AG406" s="16" t="s">
        <v>4760</v>
      </c>
      <c r="AH406" s="16" t="s">
        <v>3225</v>
      </c>
      <c r="AI406" s="16"/>
      <c r="AJ406" s="16"/>
      <c r="AK406" s="16"/>
      <c r="AL406" s="16" t="s">
        <v>4774</v>
      </c>
    </row>
    <row r="407" spans="1:38" x14ac:dyDescent="0.5">
      <c r="A407">
        <v>20406</v>
      </c>
      <c r="B407" s="16" t="s">
        <v>3810</v>
      </c>
      <c r="C407" s="16" t="s">
        <v>3810</v>
      </c>
      <c r="D407" s="16"/>
      <c r="E407" s="16" t="s">
        <v>722</v>
      </c>
      <c r="F407" s="17" t="s">
        <v>4775</v>
      </c>
      <c r="G407" s="17" t="s">
        <v>4776</v>
      </c>
      <c r="H407" s="16" t="s">
        <v>4777</v>
      </c>
      <c r="I407" s="16" t="s">
        <v>4778</v>
      </c>
      <c r="J407" s="33">
        <v>41827</v>
      </c>
      <c r="K407" s="33">
        <v>43465</v>
      </c>
      <c r="L407" s="16" t="s">
        <v>66</v>
      </c>
      <c r="M407" s="16" t="s">
        <v>90</v>
      </c>
      <c r="N407" s="16" t="s">
        <v>91</v>
      </c>
      <c r="O407" s="16" t="s">
        <v>91</v>
      </c>
      <c r="P407" s="16" t="s">
        <v>572</v>
      </c>
      <c r="Q407" s="16" t="s">
        <v>71</v>
      </c>
      <c r="R407" s="17" t="s">
        <v>4779</v>
      </c>
      <c r="S407" s="16" t="s">
        <v>642</v>
      </c>
      <c r="T407" s="16" t="s">
        <v>74</v>
      </c>
      <c r="U407" s="16" t="s">
        <v>75</v>
      </c>
      <c r="V407" s="16" t="s">
        <v>4780</v>
      </c>
      <c r="W407" s="16"/>
      <c r="X407" s="16" t="s">
        <v>4781</v>
      </c>
      <c r="Y407" s="16" t="s">
        <v>78</v>
      </c>
      <c r="Z407" s="16" t="s">
        <v>492</v>
      </c>
      <c r="AA407" s="16" t="s">
        <v>493</v>
      </c>
      <c r="AB407" s="17" t="s">
        <v>4782</v>
      </c>
      <c r="AC407" s="16" t="s">
        <v>71</v>
      </c>
      <c r="AD407" s="17" t="s">
        <v>4782</v>
      </c>
      <c r="AE407" s="17" t="s">
        <v>4783</v>
      </c>
      <c r="AG407" s="16" t="s">
        <v>3225</v>
      </c>
      <c r="AH407" s="16" t="s">
        <v>1003</v>
      </c>
      <c r="AI407" s="16"/>
      <c r="AJ407" s="16"/>
      <c r="AK407" s="16"/>
      <c r="AL407" s="16" t="s">
        <v>4784</v>
      </c>
    </row>
    <row r="408" spans="1:38" x14ac:dyDescent="0.5">
      <c r="A408">
        <v>20413</v>
      </c>
      <c r="B408" s="16" t="s">
        <v>4787</v>
      </c>
      <c r="C408" s="16" t="s">
        <v>4787</v>
      </c>
      <c r="D408" s="16"/>
      <c r="E408" s="16" t="s">
        <v>4788</v>
      </c>
      <c r="F408" s="17" t="s">
        <v>4789</v>
      </c>
      <c r="G408" s="17" t="s">
        <v>4790</v>
      </c>
      <c r="H408" s="16" t="s">
        <v>4791</v>
      </c>
      <c r="I408" s="16" t="s">
        <v>4792</v>
      </c>
      <c r="J408" s="33">
        <v>41829</v>
      </c>
      <c r="K408" s="33">
        <v>43465</v>
      </c>
      <c r="L408" s="16" t="s">
        <v>66</v>
      </c>
      <c r="M408" s="16" t="s">
        <v>67</v>
      </c>
      <c r="N408" s="16" t="s">
        <v>68</v>
      </c>
      <c r="O408" s="16" t="s">
        <v>436</v>
      </c>
      <c r="P408" s="16" t="s">
        <v>572</v>
      </c>
      <c r="Q408" s="16" t="s">
        <v>71</v>
      </c>
      <c r="R408" s="17" t="s">
        <v>4793</v>
      </c>
      <c r="S408" s="16" t="s">
        <v>4794</v>
      </c>
      <c r="T408" s="16" t="s">
        <v>74</v>
      </c>
      <c r="U408" s="16" t="s">
        <v>75</v>
      </c>
      <c r="V408" s="16" t="s">
        <v>4795</v>
      </c>
      <c r="W408" s="16"/>
      <c r="X408" s="16" t="s">
        <v>4796</v>
      </c>
      <c r="Y408" s="16" t="s">
        <v>78</v>
      </c>
      <c r="Z408" s="16" t="s">
        <v>1622</v>
      </c>
      <c r="AA408" s="16" t="s">
        <v>662</v>
      </c>
      <c r="AB408" s="17" t="s">
        <v>4797</v>
      </c>
      <c r="AC408" s="16" t="s">
        <v>71</v>
      </c>
      <c r="AD408" s="17" t="s">
        <v>4797</v>
      </c>
      <c r="AF408" s="17" t="s">
        <v>4798</v>
      </c>
      <c r="AG408" s="16" t="s">
        <v>1488</v>
      </c>
      <c r="AH408" s="16" t="s">
        <v>1785</v>
      </c>
      <c r="AI408" s="16"/>
      <c r="AJ408" s="16"/>
      <c r="AK408" s="16"/>
      <c r="AL408" s="16" t="s">
        <v>4799</v>
      </c>
    </row>
    <row r="409" spans="1:38" x14ac:dyDescent="0.5">
      <c r="A409">
        <v>20419</v>
      </c>
      <c r="B409" s="16" t="s">
        <v>4800</v>
      </c>
      <c r="C409" s="16" t="s">
        <v>4800</v>
      </c>
      <c r="D409" s="16"/>
      <c r="E409" s="16" t="s">
        <v>4801</v>
      </c>
      <c r="F409" s="17" t="s">
        <v>4802</v>
      </c>
      <c r="G409" s="17" t="s">
        <v>4803</v>
      </c>
      <c r="H409" s="16" t="s">
        <v>2065</v>
      </c>
      <c r="I409" s="16" t="s">
        <v>4804</v>
      </c>
      <c r="J409" s="33">
        <v>41821</v>
      </c>
      <c r="K409" s="33">
        <v>43465</v>
      </c>
      <c r="L409" s="16" t="s">
        <v>66</v>
      </c>
      <c r="M409" s="16" t="s">
        <v>67</v>
      </c>
      <c r="N409" s="16" t="s">
        <v>68</v>
      </c>
      <c r="O409" s="16" t="s">
        <v>436</v>
      </c>
      <c r="P409" s="16" t="s">
        <v>572</v>
      </c>
      <c r="Q409" s="16" t="s">
        <v>71</v>
      </c>
      <c r="R409" s="17" t="s">
        <v>4805</v>
      </c>
      <c r="S409" s="16" t="s">
        <v>4806</v>
      </c>
      <c r="T409" s="16" t="s">
        <v>1411</v>
      </c>
      <c r="U409" s="16" t="s">
        <v>1412</v>
      </c>
      <c r="V409" s="16" t="s">
        <v>4807</v>
      </c>
      <c r="W409" s="16"/>
      <c r="X409" s="16" t="s">
        <v>4808</v>
      </c>
      <c r="Y409" s="16" t="s">
        <v>744</v>
      </c>
      <c r="Z409" s="16"/>
      <c r="AA409" s="16"/>
      <c r="AB409" s="17" t="s">
        <v>4809</v>
      </c>
      <c r="AC409" s="16" t="s">
        <v>71</v>
      </c>
      <c r="AD409" s="17" t="s">
        <v>4809</v>
      </c>
      <c r="AG409" s="16" t="s">
        <v>4810</v>
      </c>
      <c r="AH409" s="16" t="s">
        <v>579</v>
      </c>
      <c r="AI409" s="16"/>
      <c r="AJ409" s="16"/>
      <c r="AK409" s="16"/>
      <c r="AL409" s="16" t="s">
        <v>4811</v>
      </c>
    </row>
    <row r="410" spans="1:38" x14ac:dyDescent="0.5">
      <c r="A410">
        <v>20424</v>
      </c>
      <c r="B410" s="16" t="s">
        <v>4812</v>
      </c>
      <c r="C410" s="16" t="s">
        <v>4812</v>
      </c>
      <c r="D410" s="16"/>
      <c r="E410" s="16" t="s">
        <v>4813</v>
      </c>
      <c r="F410" s="17" t="s">
        <v>4814</v>
      </c>
      <c r="G410" s="17" t="s">
        <v>4815</v>
      </c>
      <c r="H410" s="16" t="s">
        <v>456</v>
      </c>
      <c r="I410" s="16" t="s">
        <v>4816</v>
      </c>
      <c r="J410" s="33">
        <v>41834</v>
      </c>
      <c r="K410" s="33">
        <v>43465</v>
      </c>
      <c r="L410" s="16" t="s">
        <v>66</v>
      </c>
      <c r="M410" s="16" t="s">
        <v>67</v>
      </c>
      <c r="N410" s="16" t="s">
        <v>68</v>
      </c>
      <c r="O410" s="16" t="s">
        <v>436</v>
      </c>
      <c r="P410" s="16" t="s">
        <v>572</v>
      </c>
      <c r="Q410" s="16" t="s">
        <v>71</v>
      </c>
      <c r="R410" s="17" t="s">
        <v>4817</v>
      </c>
      <c r="S410" s="16" t="s">
        <v>113</v>
      </c>
      <c r="T410" s="16" t="s">
        <v>74</v>
      </c>
      <c r="U410" s="16" t="s">
        <v>75</v>
      </c>
      <c r="V410" s="16" t="s">
        <v>4818</v>
      </c>
      <c r="W410" s="16"/>
      <c r="X410" s="16" t="s">
        <v>4819</v>
      </c>
      <c r="Y410" s="16" t="s">
        <v>78</v>
      </c>
      <c r="Z410" s="16" t="s">
        <v>117</v>
      </c>
      <c r="AA410" s="16" t="s">
        <v>113</v>
      </c>
      <c r="AB410" s="17" t="s">
        <v>4820</v>
      </c>
      <c r="AC410" s="16" t="s">
        <v>71</v>
      </c>
      <c r="AD410" s="17" t="s">
        <v>4820</v>
      </c>
      <c r="AG410" s="16" t="s">
        <v>2108</v>
      </c>
      <c r="AH410" s="16" t="s">
        <v>653</v>
      </c>
      <c r="AI410" s="16"/>
      <c r="AJ410" s="16"/>
      <c r="AK410" s="16"/>
      <c r="AL410" s="16" t="s">
        <v>4821</v>
      </c>
    </row>
    <row r="411" spans="1:38" x14ac:dyDescent="0.5">
      <c r="A411">
        <v>20426</v>
      </c>
      <c r="B411" s="16" t="s">
        <v>1490</v>
      </c>
      <c r="C411" s="16" t="s">
        <v>4822</v>
      </c>
      <c r="D411" s="16" t="s">
        <v>302</v>
      </c>
      <c r="E411" s="16" t="s">
        <v>4823</v>
      </c>
      <c r="F411" s="17" t="s">
        <v>4824</v>
      </c>
      <c r="G411" s="17" t="s">
        <v>4825</v>
      </c>
      <c r="H411" s="16" t="s">
        <v>4826</v>
      </c>
      <c r="I411" s="16" t="s">
        <v>4827</v>
      </c>
      <c r="J411" s="33">
        <v>41815</v>
      </c>
      <c r="K411" s="33">
        <v>43465</v>
      </c>
      <c r="L411" s="16" t="s">
        <v>66</v>
      </c>
      <c r="M411" s="16" t="s">
        <v>67</v>
      </c>
      <c r="N411" s="16" t="s">
        <v>68</v>
      </c>
      <c r="O411" s="16" t="s">
        <v>436</v>
      </c>
      <c r="P411" s="16" t="s">
        <v>572</v>
      </c>
      <c r="Q411" s="16" t="s">
        <v>71</v>
      </c>
      <c r="R411" s="17" t="s">
        <v>4828</v>
      </c>
      <c r="S411" s="16" t="s">
        <v>4829</v>
      </c>
      <c r="T411" s="16" t="s">
        <v>74</v>
      </c>
      <c r="U411" s="16" t="s">
        <v>75</v>
      </c>
      <c r="V411" s="16" t="s">
        <v>4830</v>
      </c>
      <c r="W411" s="16" t="s">
        <v>4831</v>
      </c>
      <c r="X411" s="16" t="s">
        <v>4832</v>
      </c>
      <c r="Y411" s="16" t="s">
        <v>78</v>
      </c>
      <c r="Z411" s="16" t="s">
        <v>883</v>
      </c>
      <c r="AA411" s="16" t="s">
        <v>884</v>
      </c>
      <c r="AB411" s="17" t="s">
        <v>4833</v>
      </c>
      <c r="AC411" s="16" t="s">
        <v>71</v>
      </c>
      <c r="AD411" s="17" t="s">
        <v>4833</v>
      </c>
      <c r="AG411" s="16" t="s">
        <v>1133</v>
      </c>
      <c r="AH411" s="16" t="s">
        <v>1076</v>
      </c>
      <c r="AI411" s="16"/>
      <c r="AJ411" s="16"/>
      <c r="AK411" s="16"/>
      <c r="AL411" s="16" t="s">
        <v>4834</v>
      </c>
    </row>
    <row r="412" spans="1:38" x14ac:dyDescent="0.5">
      <c r="A412">
        <v>20427</v>
      </c>
      <c r="B412" s="16" t="s">
        <v>84</v>
      </c>
      <c r="C412" s="16" t="s">
        <v>84</v>
      </c>
      <c r="D412" s="16"/>
      <c r="E412" s="16" t="s">
        <v>4835</v>
      </c>
      <c r="F412" s="17" t="s">
        <v>4836</v>
      </c>
      <c r="H412" s="16" t="s">
        <v>4167</v>
      </c>
      <c r="I412" s="16" t="s">
        <v>4837</v>
      </c>
      <c r="J412" s="33">
        <v>41877</v>
      </c>
      <c r="K412" s="33">
        <v>43830</v>
      </c>
      <c r="L412" s="16" t="s">
        <v>66</v>
      </c>
      <c r="M412" s="16" t="s">
        <v>67</v>
      </c>
      <c r="N412" s="16" t="s">
        <v>68</v>
      </c>
      <c r="O412" s="16" t="s">
        <v>436</v>
      </c>
      <c r="P412" s="16" t="s">
        <v>572</v>
      </c>
      <c r="Q412" s="16" t="s">
        <v>71</v>
      </c>
      <c r="R412" s="17" t="s">
        <v>4838</v>
      </c>
      <c r="S412" s="16" t="s">
        <v>1165</v>
      </c>
      <c r="T412" s="16" t="s">
        <v>740</v>
      </c>
      <c r="U412" s="16" t="s">
        <v>741</v>
      </c>
      <c r="V412" s="16" t="s">
        <v>4839</v>
      </c>
      <c r="W412" s="16"/>
      <c r="X412" s="16" t="s">
        <v>4840</v>
      </c>
      <c r="Y412" s="16" t="s">
        <v>744</v>
      </c>
      <c r="Z412" s="16"/>
      <c r="AA412" s="16"/>
      <c r="AB412" s="17" t="s">
        <v>4841</v>
      </c>
      <c r="AC412" s="16" t="s">
        <v>71</v>
      </c>
      <c r="AD412" s="17" t="s">
        <v>4841</v>
      </c>
      <c r="AG412" s="16" t="s">
        <v>2457</v>
      </c>
      <c r="AH412" s="16" t="s">
        <v>2632</v>
      </c>
      <c r="AI412" s="16"/>
      <c r="AJ412" s="16"/>
      <c r="AK412" s="16"/>
      <c r="AL412" s="16" t="s">
        <v>4842</v>
      </c>
    </row>
    <row r="413" spans="1:38" x14ac:dyDescent="0.5">
      <c r="A413">
        <v>20429</v>
      </c>
      <c r="B413" s="16" t="s">
        <v>567</v>
      </c>
      <c r="C413" s="16" t="s">
        <v>567</v>
      </c>
      <c r="D413" s="16"/>
      <c r="E413" s="16" t="s">
        <v>4843</v>
      </c>
      <c r="F413" s="17" t="s">
        <v>4844</v>
      </c>
      <c r="H413" s="16" t="s">
        <v>4845</v>
      </c>
      <c r="I413" s="16" t="s">
        <v>4846</v>
      </c>
      <c r="J413" s="33">
        <v>41820</v>
      </c>
      <c r="K413" s="33">
        <v>43465</v>
      </c>
      <c r="L413" s="16" t="s">
        <v>66</v>
      </c>
      <c r="M413" s="16" t="s">
        <v>67</v>
      </c>
      <c r="N413" s="16" t="s">
        <v>68</v>
      </c>
      <c r="O413" s="16" t="s">
        <v>436</v>
      </c>
      <c r="P413" s="16" t="s">
        <v>572</v>
      </c>
      <c r="Q413" s="16" t="s">
        <v>71</v>
      </c>
      <c r="R413" s="17" t="s">
        <v>4847</v>
      </c>
      <c r="S413" s="16" t="s">
        <v>4848</v>
      </c>
      <c r="T413" s="16" t="s">
        <v>2137</v>
      </c>
      <c r="U413" s="16" t="s">
        <v>2138</v>
      </c>
      <c r="V413" s="16" t="s">
        <v>4849</v>
      </c>
      <c r="W413" s="16"/>
      <c r="X413" s="16" t="s">
        <v>4850</v>
      </c>
      <c r="Y413" s="16" t="s">
        <v>744</v>
      </c>
      <c r="Z413" s="16"/>
      <c r="AA413" s="16"/>
      <c r="AB413" s="17" t="s">
        <v>4851</v>
      </c>
      <c r="AC413" s="16" t="s">
        <v>71</v>
      </c>
      <c r="AD413" s="17" t="s">
        <v>4851</v>
      </c>
      <c r="AG413" s="16" t="s">
        <v>4852</v>
      </c>
      <c r="AH413" s="16" t="s">
        <v>2457</v>
      </c>
      <c r="AI413" s="16"/>
      <c r="AJ413" s="16"/>
      <c r="AK413" s="16"/>
      <c r="AL413" s="16" t="s">
        <v>4853</v>
      </c>
    </row>
    <row r="414" spans="1:38" x14ac:dyDescent="0.5">
      <c r="A414">
        <v>20437</v>
      </c>
      <c r="B414" s="16" t="s">
        <v>556</v>
      </c>
      <c r="C414" s="16" t="s">
        <v>556</v>
      </c>
      <c r="D414" s="16"/>
      <c r="E414" s="16" t="s">
        <v>4854</v>
      </c>
      <c r="F414" s="17" t="s">
        <v>4855</v>
      </c>
      <c r="H414" s="16" t="s">
        <v>1803</v>
      </c>
      <c r="I414" s="16" t="s">
        <v>8614</v>
      </c>
      <c r="J414" s="33">
        <v>41879</v>
      </c>
      <c r="K414" s="33">
        <v>43465</v>
      </c>
      <c r="L414" s="16" t="s">
        <v>66</v>
      </c>
      <c r="M414" s="16" t="s">
        <v>67</v>
      </c>
      <c r="N414" s="16" t="s">
        <v>68</v>
      </c>
      <c r="O414" s="16" t="s">
        <v>436</v>
      </c>
      <c r="P414" s="16" t="s">
        <v>572</v>
      </c>
      <c r="Q414" s="16" t="s">
        <v>71</v>
      </c>
      <c r="R414" s="17" t="s">
        <v>4856</v>
      </c>
      <c r="S414" s="16" t="s">
        <v>788</v>
      </c>
      <c r="T414" s="16" t="s">
        <v>74</v>
      </c>
      <c r="U414" s="16" t="s">
        <v>75</v>
      </c>
      <c r="V414" s="16" t="s">
        <v>4857</v>
      </c>
      <c r="W414" s="16"/>
      <c r="X414" s="16" t="s">
        <v>4858</v>
      </c>
      <c r="Y414" s="16" t="s">
        <v>78</v>
      </c>
      <c r="Z414" s="16" t="s">
        <v>242</v>
      </c>
      <c r="AA414" s="16" t="s">
        <v>243</v>
      </c>
      <c r="AB414" s="17" t="s">
        <v>4859</v>
      </c>
      <c r="AC414" s="16" t="s">
        <v>71</v>
      </c>
      <c r="AD414" s="17" t="s">
        <v>4859</v>
      </c>
      <c r="AE414" s="17" t="s">
        <v>4860</v>
      </c>
      <c r="AF414" s="17" t="s">
        <v>4861</v>
      </c>
      <c r="AG414" s="16" t="s">
        <v>3540</v>
      </c>
      <c r="AH414" s="16" t="s">
        <v>4862</v>
      </c>
      <c r="AI414" s="16"/>
      <c r="AJ414" s="16"/>
      <c r="AK414" s="16"/>
      <c r="AL414" s="16" t="s">
        <v>4863</v>
      </c>
    </row>
    <row r="415" spans="1:38" x14ac:dyDescent="0.5">
      <c r="A415">
        <v>20441</v>
      </c>
      <c r="B415" s="16" t="s">
        <v>381</v>
      </c>
      <c r="C415" s="16" t="s">
        <v>382</v>
      </c>
      <c r="D415" s="16"/>
      <c r="E415" s="16" t="s">
        <v>2085</v>
      </c>
      <c r="F415" s="17" t="s">
        <v>4864</v>
      </c>
      <c r="G415" s="17" t="s">
        <v>4864</v>
      </c>
      <c r="H415" s="16" t="s">
        <v>456</v>
      </c>
      <c r="I415" s="16" t="s">
        <v>4865</v>
      </c>
      <c r="J415" s="33">
        <v>42487</v>
      </c>
      <c r="K415" s="33">
        <v>43465</v>
      </c>
      <c r="L415" s="16" t="s">
        <v>66</v>
      </c>
      <c r="M415" s="16" t="s">
        <v>67</v>
      </c>
      <c r="N415" s="16" t="s">
        <v>68</v>
      </c>
      <c r="O415" s="16" t="s">
        <v>436</v>
      </c>
      <c r="P415" s="16" t="s">
        <v>572</v>
      </c>
      <c r="Q415" s="16" t="s">
        <v>71</v>
      </c>
      <c r="R415" s="17" t="s">
        <v>4866</v>
      </c>
      <c r="S415" s="16" t="s">
        <v>222</v>
      </c>
      <c r="T415" s="16" t="s">
        <v>74</v>
      </c>
      <c r="U415" s="16" t="s">
        <v>75</v>
      </c>
      <c r="V415" s="16" t="s">
        <v>4867</v>
      </c>
      <c r="W415" s="16" t="s">
        <v>4868</v>
      </c>
      <c r="X415" s="16" t="s">
        <v>2153</v>
      </c>
      <c r="Y415" s="16" t="s">
        <v>78</v>
      </c>
      <c r="Z415" s="16" t="s">
        <v>189</v>
      </c>
      <c r="AA415" s="16" t="s">
        <v>190</v>
      </c>
      <c r="AB415" s="17" t="s">
        <v>4869</v>
      </c>
      <c r="AC415" s="16" t="s">
        <v>71</v>
      </c>
      <c r="AD415" s="17" t="s">
        <v>4869</v>
      </c>
      <c r="AF415" s="17" t="s">
        <v>4869</v>
      </c>
      <c r="AG415" s="16" t="s">
        <v>1884</v>
      </c>
      <c r="AH415" s="16" t="s">
        <v>4870</v>
      </c>
      <c r="AI415" s="16"/>
      <c r="AJ415" s="16"/>
      <c r="AK415" s="16"/>
      <c r="AL415" s="16" t="s">
        <v>4871</v>
      </c>
    </row>
    <row r="416" spans="1:38" x14ac:dyDescent="0.5">
      <c r="A416">
        <v>20442</v>
      </c>
      <c r="B416" s="16" t="s">
        <v>4872</v>
      </c>
      <c r="C416" s="16" t="s">
        <v>4872</v>
      </c>
      <c r="D416" s="16"/>
      <c r="E416" s="16" t="s">
        <v>4873</v>
      </c>
      <c r="F416" s="17" t="s">
        <v>4874</v>
      </c>
      <c r="H416" s="16" t="s">
        <v>4875</v>
      </c>
      <c r="I416" s="16" t="s">
        <v>594</v>
      </c>
      <c r="J416" s="33">
        <v>43185</v>
      </c>
      <c r="K416" s="33">
        <v>43550</v>
      </c>
      <c r="L416" s="16" t="s">
        <v>66</v>
      </c>
      <c r="M416" s="16" t="s">
        <v>90</v>
      </c>
      <c r="N416" s="16" t="s">
        <v>91</v>
      </c>
      <c r="O416" s="16" t="s">
        <v>91</v>
      </c>
      <c r="P416" s="16"/>
      <c r="Q416" s="16" t="s">
        <v>71</v>
      </c>
      <c r="R416" s="17" t="s">
        <v>4876</v>
      </c>
      <c r="S416" s="16" t="s">
        <v>596</v>
      </c>
      <c r="T416" s="16" t="s">
        <v>74</v>
      </c>
      <c r="U416" s="16" t="s">
        <v>75</v>
      </c>
      <c r="V416" s="16" t="s">
        <v>4877</v>
      </c>
      <c r="W416" s="16"/>
      <c r="X416" s="16" t="s">
        <v>4878</v>
      </c>
      <c r="Y416" s="16" t="s">
        <v>78</v>
      </c>
      <c r="Z416" s="16" t="s">
        <v>599</v>
      </c>
      <c r="AA416" s="16" t="s">
        <v>600</v>
      </c>
      <c r="AB416" s="17" t="s">
        <v>4879</v>
      </c>
      <c r="AC416" s="16" t="s">
        <v>71</v>
      </c>
      <c r="AD416" s="17" t="s">
        <v>4879</v>
      </c>
      <c r="AG416" s="16" t="s">
        <v>1850</v>
      </c>
      <c r="AH416" s="16" t="s">
        <v>4880</v>
      </c>
      <c r="AI416" s="16"/>
      <c r="AJ416" s="16"/>
      <c r="AK416" s="16"/>
      <c r="AL416" s="16"/>
    </row>
    <row r="417" spans="1:38" x14ac:dyDescent="0.5">
      <c r="A417">
        <v>20455</v>
      </c>
      <c r="B417" s="16" t="s">
        <v>980</v>
      </c>
      <c r="C417" s="16" t="s">
        <v>2531</v>
      </c>
      <c r="D417" s="16" t="s">
        <v>581</v>
      </c>
      <c r="E417" s="16" t="s">
        <v>4881</v>
      </c>
      <c r="F417" s="17" t="s">
        <v>4882</v>
      </c>
      <c r="H417" s="16" t="s">
        <v>4883</v>
      </c>
      <c r="I417" s="16" t="s">
        <v>4884</v>
      </c>
      <c r="J417" s="33">
        <v>41893</v>
      </c>
      <c r="K417" s="33">
        <v>43465</v>
      </c>
      <c r="L417" s="16" t="s">
        <v>66</v>
      </c>
      <c r="M417" s="16" t="s">
        <v>67</v>
      </c>
      <c r="N417" s="16" t="s">
        <v>68</v>
      </c>
      <c r="O417" s="16" t="s">
        <v>436</v>
      </c>
      <c r="P417" s="16" t="s">
        <v>572</v>
      </c>
      <c r="Q417" s="16" t="s">
        <v>71</v>
      </c>
      <c r="R417" s="17" t="s">
        <v>4885</v>
      </c>
      <c r="S417" s="16" t="s">
        <v>4306</v>
      </c>
      <c r="T417" s="16" t="s">
        <v>74</v>
      </c>
      <c r="U417" s="16" t="s">
        <v>75</v>
      </c>
      <c r="V417" s="16" t="s">
        <v>4886</v>
      </c>
      <c r="W417" s="16"/>
      <c r="X417" s="16" t="s">
        <v>4308</v>
      </c>
      <c r="Y417" s="16" t="s">
        <v>78</v>
      </c>
      <c r="Z417" s="16" t="s">
        <v>117</v>
      </c>
      <c r="AA417" s="16" t="s">
        <v>113</v>
      </c>
      <c r="AB417" s="17" t="s">
        <v>4887</v>
      </c>
      <c r="AC417" s="16" t="s">
        <v>71</v>
      </c>
      <c r="AD417" s="17" t="s">
        <v>4887</v>
      </c>
      <c r="AF417" s="17" t="s">
        <v>4888</v>
      </c>
      <c r="AG417" s="16" t="s">
        <v>1913</v>
      </c>
      <c r="AH417" s="16" t="s">
        <v>579</v>
      </c>
      <c r="AI417" s="16"/>
      <c r="AJ417" s="16"/>
      <c r="AK417" s="16"/>
      <c r="AL417" s="16" t="s">
        <v>4889</v>
      </c>
    </row>
    <row r="418" spans="1:38" x14ac:dyDescent="0.5">
      <c r="A418">
        <v>20473</v>
      </c>
      <c r="B418" s="16" t="s">
        <v>4890</v>
      </c>
      <c r="C418" s="16" t="s">
        <v>4890</v>
      </c>
      <c r="D418" s="16"/>
      <c r="E418" s="16" t="s">
        <v>4891</v>
      </c>
      <c r="F418" s="17" t="s">
        <v>4892</v>
      </c>
      <c r="G418" s="17" t="s">
        <v>4893</v>
      </c>
      <c r="H418" s="16" t="s">
        <v>4894</v>
      </c>
      <c r="I418" s="16" t="s">
        <v>619</v>
      </c>
      <c r="J418" s="33">
        <v>41958</v>
      </c>
      <c r="K418" s="33">
        <v>43465</v>
      </c>
      <c r="L418" s="16" t="s">
        <v>66</v>
      </c>
      <c r="M418" s="16" t="s">
        <v>235</v>
      </c>
      <c r="N418" s="16" t="s">
        <v>236</v>
      </c>
      <c r="O418" s="16" t="s">
        <v>1482</v>
      </c>
      <c r="P418" s="16" t="s">
        <v>572</v>
      </c>
      <c r="Q418" s="16" t="s">
        <v>71</v>
      </c>
      <c r="R418" s="17" t="s">
        <v>4895</v>
      </c>
      <c r="S418" s="16" t="s">
        <v>4896</v>
      </c>
      <c r="T418" s="16" t="s">
        <v>74</v>
      </c>
      <c r="U418" s="16" t="s">
        <v>75</v>
      </c>
      <c r="V418" s="16" t="s">
        <v>4897</v>
      </c>
      <c r="W418" s="16"/>
      <c r="X418" s="16" t="s">
        <v>4898</v>
      </c>
      <c r="Y418" s="16" t="s">
        <v>78</v>
      </c>
      <c r="Z418" s="16" t="s">
        <v>1622</v>
      </c>
      <c r="AA418" s="16" t="s">
        <v>662</v>
      </c>
      <c r="AB418" s="17" t="s">
        <v>4899</v>
      </c>
      <c r="AC418" s="16" t="s">
        <v>71</v>
      </c>
      <c r="AD418" s="17" t="s">
        <v>4899</v>
      </c>
      <c r="AF418" s="17" t="s">
        <v>4899</v>
      </c>
      <c r="AG418" s="16" t="s">
        <v>899</v>
      </c>
      <c r="AH418" s="16" t="s">
        <v>4760</v>
      </c>
      <c r="AI418" s="16"/>
      <c r="AJ418" s="16"/>
      <c r="AK418" s="16"/>
      <c r="AL418" s="16" t="s">
        <v>4900</v>
      </c>
    </row>
    <row r="419" spans="1:38" x14ac:dyDescent="0.5">
      <c r="A419">
        <v>20474</v>
      </c>
      <c r="B419" s="16" t="s">
        <v>4901</v>
      </c>
      <c r="C419" s="16" t="s">
        <v>4901</v>
      </c>
      <c r="D419" s="16" t="s">
        <v>277</v>
      </c>
      <c r="E419" s="16" t="s">
        <v>4902</v>
      </c>
      <c r="F419" s="17" t="s">
        <v>4903</v>
      </c>
      <c r="H419" s="16" t="s">
        <v>4904</v>
      </c>
      <c r="I419" s="16" t="s">
        <v>1433</v>
      </c>
      <c r="J419" s="33">
        <v>41957</v>
      </c>
      <c r="K419" s="33">
        <v>43465</v>
      </c>
      <c r="L419" s="16" t="s">
        <v>66</v>
      </c>
      <c r="M419" s="16" t="s">
        <v>90</v>
      </c>
      <c r="N419" s="16" t="s">
        <v>91</v>
      </c>
      <c r="O419" s="16" t="s">
        <v>91</v>
      </c>
      <c r="P419" s="16" t="s">
        <v>572</v>
      </c>
      <c r="Q419" s="16" t="s">
        <v>71</v>
      </c>
      <c r="R419" s="17" t="s">
        <v>4905</v>
      </c>
      <c r="S419" s="16" t="s">
        <v>1435</v>
      </c>
      <c r="T419" s="16" t="s">
        <v>74</v>
      </c>
      <c r="U419" s="16" t="s">
        <v>75</v>
      </c>
      <c r="V419" s="16" t="s">
        <v>4906</v>
      </c>
      <c r="W419" s="16"/>
      <c r="X419" s="16" t="s">
        <v>4907</v>
      </c>
      <c r="Y419" s="16" t="s">
        <v>78</v>
      </c>
      <c r="Z419" s="16" t="s">
        <v>270</v>
      </c>
      <c r="AA419" s="16" t="s">
        <v>271</v>
      </c>
      <c r="AB419" s="17" t="s">
        <v>4908</v>
      </c>
      <c r="AC419" s="16" t="s">
        <v>71</v>
      </c>
      <c r="AD419" s="17" t="s">
        <v>4908</v>
      </c>
      <c r="AE419" s="17" t="s">
        <v>4909</v>
      </c>
      <c r="AG419" s="16" t="s">
        <v>1637</v>
      </c>
      <c r="AH419" s="16" t="s">
        <v>4760</v>
      </c>
      <c r="AI419" s="16"/>
      <c r="AJ419" s="16"/>
      <c r="AK419" s="16"/>
      <c r="AL419" s="16" t="s">
        <v>4910</v>
      </c>
    </row>
    <row r="420" spans="1:38" x14ac:dyDescent="0.5">
      <c r="A420">
        <v>20483</v>
      </c>
      <c r="B420" s="16" t="s">
        <v>747</v>
      </c>
      <c r="C420" s="16" t="s">
        <v>747</v>
      </c>
      <c r="D420" s="16" t="s">
        <v>4911</v>
      </c>
      <c r="E420" s="16" t="s">
        <v>4912</v>
      </c>
      <c r="F420" s="17" t="s">
        <v>4913</v>
      </c>
      <c r="H420" s="16" t="s">
        <v>4914</v>
      </c>
      <c r="I420" s="16" t="s">
        <v>4915</v>
      </c>
      <c r="J420" s="33">
        <v>41870</v>
      </c>
      <c r="K420" s="33">
        <v>43465</v>
      </c>
      <c r="L420" s="16" t="s">
        <v>66</v>
      </c>
      <c r="M420" s="16" t="s">
        <v>67</v>
      </c>
      <c r="N420" s="16" t="s">
        <v>68</v>
      </c>
      <c r="O420" s="16" t="s">
        <v>436</v>
      </c>
      <c r="P420" s="16" t="s">
        <v>572</v>
      </c>
      <c r="Q420" s="16" t="s">
        <v>71</v>
      </c>
      <c r="R420" s="17" t="s">
        <v>4916</v>
      </c>
      <c r="S420" s="16" t="s">
        <v>662</v>
      </c>
      <c r="T420" s="16" t="s">
        <v>74</v>
      </c>
      <c r="U420" s="16" t="s">
        <v>75</v>
      </c>
      <c r="V420" s="16" t="s">
        <v>4917</v>
      </c>
      <c r="W420" s="16"/>
      <c r="X420" s="16" t="s">
        <v>4918</v>
      </c>
      <c r="Y420" s="16" t="s">
        <v>78</v>
      </c>
      <c r="Z420" s="16" t="s">
        <v>666</v>
      </c>
      <c r="AA420" s="16" t="s">
        <v>667</v>
      </c>
      <c r="AB420" s="17" t="s">
        <v>4919</v>
      </c>
      <c r="AC420" s="16" t="s">
        <v>71</v>
      </c>
      <c r="AD420" s="17" t="s">
        <v>4919</v>
      </c>
      <c r="AE420" s="17" t="s">
        <v>4920</v>
      </c>
      <c r="AG420" s="16" t="s">
        <v>3785</v>
      </c>
      <c r="AH420" s="16" t="s">
        <v>579</v>
      </c>
      <c r="AI420" s="16"/>
      <c r="AJ420" s="16"/>
      <c r="AK420" s="16"/>
      <c r="AL420" s="16" t="s">
        <v>4921</v>
      </c>
    </row>
    <row r="421" spans="1:38" x14ac:dyDescent="0.5">
      <c r="A421">
        <v>20491</v>
      </c>
      <c r="B421" s="16" t="s">
        <v>2182</v>
      </c>
      <c r="C421" s="16" t="s">
        <v>2182</v>
      </c>
      <c r="D421" s="16"/>
      <c r="E421" s="16" t="s">
        <v>4641</v>
      </c>
      <c r="F421" s="17" t="s">
        <v>4922</v>
      </c>
      <c r="H421" s="16" t="s">
        <v>4923</v>
      </c>
      <c r="I421" s="16" t="s">
        <v>4924</v>
      </c>
      <c r="J421" s="33">
        <v>41890</v>
      </c>
      <c r="K421" s="33">
        <v>43465</v>
      </c>
      <c r="L421" s="16" t="s">
        <v>66</v>
      </c>
      <c r="M421" s="16" t="s">
        <v>67</v>
      </c>
      <c r="N421" s="16" t="s">
        <v>68</v>
      </c>
      <c r="O421" s="16" t="s">
        <v>436</v>
      </c>
      <c r="P421" s="16"/>
      <c r="Q421" s="16" t="s">
        <v>71</v>
      </c>
      <c r="R421" s="17" t="s">
        <v>4925</v>
      </c>
      <c r="S421" s="16" t="s">
        <v>2859</v>
      </c>
      <c r="T421" s="16" t="s">
        <v>74</v>
      </c>
      <c r="U421" s="16" t="s">
        <v>75</v>
      </c>
      <c r="V421" s="16" t="s">
        <v>4926</v>
      </c>
      <c r="W421" s="16"/>
      <c r="X421" s="16" t="s">
        <v>4927</v>
      </c>
      <c r="Y421" s="16" t="s">
        <v>78</v>
      </c>
      <c r="Z421" s="16" t="s">
        <v>132</v>
      </c>
      <c r="AA421" s="16" t="s">
        <v>133</v>
      </c>
      <c r="AB421" s="17" t="s">
        <v>4928</v>
      </c>
      <c r="AC421" s="16" t="s">
        <v>71</v>
      </c>
      <c r="AD421" s="17" t="s">
        <v>4928</v>
      </c>
      <c r="AG421" s="16" t="s">
        <v>3302</v>
      </c>
      <c r="AH421" s="16" t="s">
        <v>1017</v>
      </c>
      <c r="AI421" s="16"/>
      <c r="AJ421" s="16"/>
      <c r="AK421" s="16"/>
      <c r="AL421" s="16" t="s">
        <v>4929</v>
      </c>
    </row>
    <row r="422" spans="1:38" x14ac:dyDescent="0.5">
      <c r="A422">
        <v>20494</v>
      </c>
      <c r="B422" s="16" t="s">
        <v>411</v>
      </c>
      <c r="C422" s="16" t="s">
        <v>411</v>
      </c>
      <c r="D422" s="16"/>
      <c r="E422" s="16" t="s">
        <v>4930</v>
      </c>
      <c r="F422" s="17" t="s">
        <v>4931</v>
      </c>
      <c r="H422" s="16" t="s">
        <v>4932</v>
      </c>
      <c r="I422" s="16" t="s">
        <v>4933</v>
      </c>
      <c r="J422" s="33">
        <v>41904</v>
      </c>
      <c r="K422" s="33">
        <v>43465</v>
      </c>
      <c r="L422" s="16" t="s">
        <v>66</v>
      </c>
      <c r="M422" s="16" t="s">
        <v>67</v>
      </c>
      <c r="N422" s="16" t="s">
        <v>68</v>
      </c>
      <c r="O422" s="16" t="s">
        <v>436</v>
      </c>
      <c r="P422" s="16" t="s">
        <v>572</v>
      </c>
      <c r="Q422" s="16" t="s">
        <v>71</v>
      </c>
      <c r="R422" s="17" t="s">
        <v>4934</v>
      </c>
      <c r="S422" s="16" t="s">
        <v>4935</v>
      </c>
      <c r="T422" s="16" t="s">
        <v>74</v>
      </c>
      <c r="U422" s="16" t="s">
        <v>75</v>
      </c>
      <c r="V422" s="16" t="s">
        <v>4936</v>
      </c>
      <c r="W422" s="16" t="s">
        <v>4937</v>
      </c>
      <c r="X422" s="16" t="s">
        <v>4938</v>
      </c>
      <c r="Y422" s="16" t="s">
        <v>78</v>
      </c>
      <c r="Z422" s="16" t="s">
        <v>242</v>
      </c>
      <c r="AA422" s="16" t="s">
        <v>243</v>
      </c>
      <c r="AB422" s="17" t="s">
        <v>4939</v>
      </c>
      <c r="AC422" s="16" t="s">
        <v>71</v>
      </c>
      <c r="AD422" s="17" t="s">
        <v>4939</v>
      </c>
      <c r="AF422" s="17" t="s">
        <v>4940</v>
      </c>
      <c r="AG422" s="16" t="s">
        <v>2083</v>
      </c>
      <c r="AH422" s="16" t="s">
        <v>2297</v>
      </c>
      <c r="AI422" s="16"/>
      <c r="AJ422" s="16"/>
      <c r="AK422" s="16"/>
      <c r="AL422" s="16" t="s">
        <v>4941</v>
      </c>
    </row>
    <row r="423" spans="1:38" x14ac:dyDescent="0.5">
      <c r="A423">
        <v>20496</v>
      </c>
      <c r="B423" s="16" t="s">
        <v>353</v>
      </c>
      <c r="C423" s="16" t="s">
        <v>353</v>
      </c>
      <c r="D423" s="16"/>
      <c r="E423" s="16" t="s">
        <v>4942</v>
      </c>
      <c r="F423" s="17" t="s">
        <v>4943</v>
      </c>
      <c r="H423" s="16" t="s">
        <v>3183</v>
      </c>
      <c r="I423" s="16" t="s">
        <v>4944</v>
      </c>
      <c r="J423" s="33">
        <v>41886</v>
      </c>
      <c r="K423" s="33">
        <v>43465</v>
      </c>
      <c r="L423" s="16" t="s">
        <v>66</v>
      </c>
      <c r="M423" s="16" t="s">
        <v>67</v>
      </c>
      <c r="N423" s="16" t="s">
        <v>68</v>
      </c>
      <c r="O423" s="16" t="s">
        <v>436</v>
      </c>
      <c r="P423" s="16" t="s">
        <v>572</v>
      </c>
      <c r="Q423" s="16" t="s">
        <v>71</v>
      </c>
      <c r="R423" s="17" t="s">
        <v>4945</v>
      </c>
      <c r="S423" s="16" t="s">
        <v>4946</v>
      </c>
      <c r="T423" s="16" t="s">
        <v>74</v>
      </c>
      <c r="U423" s="16" t="s">
        <v>75</v>
      </c>
      <c r="V423" s="16" t="s">
        <v>4947</v>
      </c>
      <c r="W423" s="16"/>
      <c r="X423" s="16" t="s">
        <v>4948</v>
      </c>
      <c r="Y423" s="16" t="s">
        <v>78</v>
      </c>
      <c r="Z423" s="16" t="s">
        <v>296</v>
      </c>
      <c r="AA423" s="16" t="s">
        <v>297</v>
      </c>
      <c r="AB423" s="17" t="s">
        <v>4949</v>
      </c>
      <c r="AC423" s="16" t="s">
        <v>71</v>
      </c>
      <c r="AD423" s="17" t="s">
        <v>4949</v>
      </c>
      <c r="AF423" s="17" t="s">
        <v>4950</v>
      </c>
      <c r="AG423" s="16" t="s">
        <v>3841</v>
      </c>
      <c r="AH423" s="16" t="s">
        <v>2156</v>
      </c>
      <c r="AI423" s="16"/>
      <c r="AJ423" s="16"/>
      <c r="AK423" s="16"/>
      <c r="AL423" s="16" t="s">
        <v>4951</v>
      </c>
    </row>
    <row r="424" spans="1:38" x14ac:dyDescent="0.5">
      <c r="A424">
        <v>20497</v>
      </c>
      <c r="B424" s="16" t="s">
        <v>3090</v>
      </c>
      <c r="C424" s="16" t="s">
        <v>3396</v>
      </c>
      <c r="D424" s="16"/>
      <c r="E424" s="16" t="s">
        <v>3665</v>
      </c>
      <c r="F424" s="17" t="s">
        <v>4952</v>
      </c>
      <c r="G424" s="17" t="s">
        <v>4953</v>
      </c>
      <c r="H424" s="16" t="s">
        <v>4954</v>
      </c>
      <c r="I424" s="16" t="s">
        <v>4955</v>
      </c>
      <c r="J424" s="33">
        <v>41960</v>
      </c>
      <c r="K424" s="33">
        <v>43465</v>
      </c>
      <c r="L424" s="16" t="s">
        <v>66</v>
      </c>
      <c r="M424" s="16" t="s">
        <v>67</v>
      </c>
      <c r="N424" s="16" t="s">
        <v>68</v>
      </c>
      <c r="O424" s="16" t="s">
        <v>436</v>
      </c>
      <c r="P424" s="16"/>
      <c r="Q424" s="16" t="s">
        <v>71</v>
      </c>
      <c r="R424" s="17" t="s">
        <v>4956</v>
      </c>
      <c r="S424" s="16" t="s">
        <v>4957</v>
      </c>
      <c r="T424" s="16" t="s">
        <v>74</v>
      </c>
      <c r="U424" s="16" t="s">
        <v>75</v>
      </c>
      <c r="V424" s="16" t="s">
        <v>4958</v>
      </c>
      <c r="W424" s="16"/>
      <c r="X424" s="16" t="s">
        <v>4959</v>
      </c>
      <c r="Y424" s="16" t="s">
        <v>78</v>
      </c>
      <c r="Z424" s="16" t="s">
        <v>1622</v>
      </c>
      <c r="AA424" s="16" t="s">
        <v>662</v>
      </c>
      <c r="AB424" s="17" t="s">
        <v>4960</v>
      </c>
      <c r="AC424" s="16" t="s">
        <v>71</v>
      </c>
      <c r="AD424" s="17" t="s">
        <v>4960</v>
      </c>
      <c r="AE424" s="17" t="s">
        <v>4961</v>
      </c>
      <c r="AG424" s="16" t="s">
        <v>3841</v>
      </c>
      <c r="AH424" s="16" t="s">
        <v>2923</v>
      </c>
      <c r="AI424" s="16" t="s">
        <v>3520</v>
      </c>
      <c r="AJ424" s="16"/>
      <c r="AK424" s="16"/>
      <c r="AL424" s="16" t="s">
        <v>4962</v>
      </c>
    </row>
    <row r="425" spans="1:38" x14ac:dyDescent="0.5">
      <c r="A425">
        <v>20499</v>
      </c>
      <c r="B425" s="16" t="s">
        <v>84</v>
      </c>
      <c r="C425" s="16" t="s">
        <v>84</v>
      </c>
      <c r="D425" s="16"/>
      <c r="E425" s="16" t="s">
        <v>4963</v>
      </c>
      <c r="F425" s="17" t="s">
        <v>4964</v>
      </c>
      <c r="H425" s="16" t="s">
        <v>4965</v>
      </c>
      <c r="I425" s="16" t="s">
        <v>8615</v>
      </c>
      <c r="J425" s="33">
        <v>41879</v>
      </c>
      <c r="K425" s="33">
        <v>43465</v>
      </c>
      <c r="L425" s="16" t="s">
        <v>66</v>
      </c>
      <c r="M425" s="16" t="s">
        <v>235</v>
      </c>
      <c r="N425" s="16" t="s">
        <v>236</v>
      </c>
      <c r="O425" s="16" t="s">
        <v>237</v>
      </c>
      <c r="P425" s="16" t="s">
        <v>572</v>
      </c>
      <c r="Q425" s="16" t="s">
        <v>71</v>
      </c>
      <c r="R425" s="17" t="s">
        <v>4966</v>
      </c>
      <c r="S425" s="16" t="s">
        <v>222</v>
      </c>
      <c r="T425" s="16" t="s">
        <v>74</v>
      </c>
      <c r="U425" s="16" t="s">
        <v>75</v>
      </c>
      <c r="V425" s="16" t="s">
        <v>4967</v>
      </c>
      <c r="W425" s="16"/>
      <c r="X425" s="16" t="s">
        <v>4968</v>
      </c>
      <c r="Y425" s="16" t="s">
        <v>78</v>
      </c>
      <c r="Z425" s="16" t="s">
        <v>189</v>
      </c>
      <c r="AA425" s="16" t="s">
        <v>190</v>
      </c>
      <c r="AB425" s="17" t="s">
        <v>4969</v>
      </c>
      <c r="AC425" s="16" t="s">
        <v>71</v>
      </c>
      <c r="AD425" s="17" t="s">
        <v>4969</v>
      </c>
      <c r="AG425" s="16" t="s">
        <v>1913</v>
      </c>
      <c r="AH425" s="16" t="s">
        <v>4970</v>
      </c>
      <c r="AI425" s="16"/>
      <c r="AJ425" s="16"/>
      <c r="AK425" s="16"/>
      <c r="AL425" s="16" t="s">
        <v>4971</v>
      </c>
    </row>
    <row r="426" spans="1:38" x14ac:dyDescent="0.5">
      <c r="A426">
        <v>20501</v>
      </c>
      <c r="B426" s="16" t="s">
        <v>4972</v>
      </c>
      <c r="C426" s="16" t="s">
        <v>4972</v>
      </c>
      <c r="D426" s="16" t="s">
        <v>85</v>
      </c>
      <c r="E426" s="16" t="s">
        <v>4973</v>
      </c>
      <c r="F426" s="17" t="s">
        <v>4974</v>
      </c>
      <c r="H426" s="16" t="s">
        <v>4975</v>
      </c>
      <c r="I426" s="16" t="s">
        <v>4976</v>
      </c>
      <c r="J426" s="33">
        <v>42488</v>
      </c>
      <c r="K426" s="33">
        <v>43465</v>
      </c>
      <c r="L426" s="16" t="s">
        <v>66</v>
      </c>
      <c r="M426" s="16" t="s">
        <v>67</v>
      </c>
      <c r="N426" s="16" t="s">
        <v>68</v>
      </c>
      <c r="O426" s="16" t="s">
        <v>436</v>
      </c>
      <c r="P426" s="16" t="s">
        <v>572</v>
      </c>
      <c r="Q426" s="16" t="s">
        <v>71</v>
      </c>
      <c r="R426" s="17" t="s">
        <v>4977</v>
      </c>
      <c r="S426" s="16" t="s">
        <v>113</v>
      </c>
      <c r="T426" s="16" t="s">
        <v>74</v>
      </c>
      <c r="U426" s="16" t="s">
        <v>75</v>
      </c>
      <c r="V426" s="16" t="s">
        <v>4978</v>
      </c>
      <c r="W426" s="16" t="s">
        <v>4979</v>
      </c>
      <c r="X426" s="16" t="s">
        <v>858</v>
      </c>
      <c r="Y426" s="16" t="s">
        <v>78</v>
      </c>
      <c r="Z426" s="16" t="s">
        <v>117</v>
      </c>
      <c r="AA426" s="16" t="s">
        <v>113</v>
      </c>
      <c r="AB426" s="17" t="s">
        <v>4980</v>
      </c>
      <c r="AC426" s="16" t="s">
        <v>71</v>
      </c>
      <c r="AD426" s="17" t="s">
        <v>4980</v>
      </c>
      <c r="AG426" s="16" t="s">
        <v>4981</v>
      </c>
      <c r="AH426" s="16" t="s">
        <v>4982</v>
      </c>
      <c r="AI426" s="16" t="s">
        <v>4983</v>
      </c>
      <c r="AJ426" s="16"/>
      <c r="AK426" s="16"/>
      <c r="AL426" s="16" t="s">
        <v>4984</v>
      </c>
    </row>
    <row r="427" spans="1:38" x14ac:dyDescent="0.5">
      <c r="A427">
        <v>20502</v>
      </c>
      <c r="B427" s="16" t="s">
        <v>4985</v>
      </c>
      <c r="C427" s="16" t="s">
        <v>4985</v>
      </c>
      <c r="D427" s="16"/>
      <c r="E427" s="16" t="s">
        <v>4986</v>
      </c>
      <c r="F427" s="17" t="s">
        <v>4987</v>
      </c>
      <c r="H427" s="16" t="s">
        <v>4988</v>
      </c>
      <c r="I427" s="16" t="s">
        <v>4989</v>
      </c>
      <c r="J427" s="33">
        <v>41876</v>
      </c>
      <c r="K427" s="33">
        <v>43465</v>
      </c>
      <c r="L427" s="16" t="s">
        <v>66</v>
      </c>
      <c r="M427" s="16" t="s">
        <v>167</v>
      </c>
      <c r="N427" s="16" t="s">
        <v>110</v>
      </c>
      <c r="O427" s="16" t="s">
        <v>280</v>
      </c>
      <c r="P427" s="16" t="s">
        <v>572</v>
      </c>
      <c r="Q427" s="16" t="s">
        <v>71</v>
      </c>
      <c r="R427" s="17" t="s">
        <v>4990</v>
      </c>
      <c r="S427" s="16" t="s">
        <v>359</v>
      </c>
      <c r="T427" s="16" t="s">
        <v>74</v>
      </c>
      <c r="U427" s="16" t="s">
        <v>75</v>
      </c>
      <c r="V427" s="16" t="s">
        <v>4991</v>
      </c>
      <c r="W427" s="16"/>
      <c r="X427" s="16" t="s">
        <v>4992</v>
      </c>
      <c r="Y427" s="16" t="s">
        <v>78</v>
      </c>
      <c r="Z427" s="16" t="s">
        <v>242</v>
      </c>
      <c r="AA427" s="16" t="s">
        <v>243</v>
      </c>
      <c r="AB427" s="17" t="s">
        <v>4993</v>
      </c>
      <c r="AC427" s="16" t="s">
        <v>71</v>
      </c>
      <c r="AD427" s="17" t="s">
        <v>4993</v>
      </c>
      <c r="AE427" s="17" t="s">
        <v>4994</v>
      </c>
      <c r="AF427" s="17" t="s">
        <v>4994</v>
      </c>
      <c r="AG427" s="16" t="s">
        <v>1784</v>
      </c>
      <c r="AH427" s="16" t="s">
        <v>4062</v>
      </c>
      <c r="AI427" s="16"/>
      <c r="AJ427" s="16"/>
      <c r="AK427" s="16"/>
      <c r="AL427" s="16" t="s">
        <v>4995</v>
      </c>
    </row>
    <row r="428" spans="1:38" x14ac:dyDescent="0.5">
      <c r="A428">
        <v>20525</v>
      </c>
      <c r="B428" s="16" t="s">
        <v>4996</v>
      </c>
      <c r="C428" s="16" t="s">
        <v>4996</v>
      </c>
      <c r="D428" s="16"/>
      <c r="E428" s="16" t="s">
        <v>4997</v>
      </c>
      <c r="F428" s="17" t="s">
        <v>4998</v>
      </c>
      <c r="H428" s="16" t="s">
        <v>4999</v>
      </c>
      <c r="I428" s="16" t="s">
        <v>5000</v>
      </c>
      <c r="J428" s="33">
        <v>41929</v>
      </c>
      <c r="K428" s="33">
        <v>43465</v>
      </c>
      <c r="L428" s="16" t="s">
        <v>66</v>
      </c>
      <c r="M428" s="16" t="s">
        <v>67</v>
      </c>
      <c r="N428" s="16" t="s">
        <v>68</v>
      </c>
      <c r="O428" s="16" t="s">
        <v>436</v>
      </c>
      <c r="P428" s="16" t="s">
        <v>572</v>
      </c>
      <c r="Q428" s="16" t="s">
        <v>71</v>
      </c>
      <c r="R428" s="17" t="s">
        <v>5001</v>
      </c>
      <c r="S428" s="16" t="s">
        <v>5002</v>
      </c>
      <c r="T428" s="16" t="s">
        <v>74</v>
      </c>
      <c r="U428" s="16" t="s">
        <v>75</v>
      </c>
      <c r="V428" s="16" t="s">
        <v>5003</v>
      </c>
      <c r="W428" s="16"/>
      <c r="X428" s="16" t="s">
        <v>5004</v>
      </c>
      <c r="Y428" s="16" t="s">
        <v>78</v>
      </c>
      <c r="Z428" s="16" t="s">
        <v>492</v>
      </c>
      <c r="AA428" s="16" t="s">
        <v>493</v>
      </c>
      <c r="AB428" s="17" t="s">
        <v>5005</v>
      </c>
      <c r="AC428" s="16" t="s">
        <v>71</v>
      </c>
      <c r="AD428" s="17" t="s">
        <v>5005</v>
      </c>
      <c r="AF428" s="17" t="s">
        <v>5006</v>
      </c>
      <c r="AG428" s="16" t="s">
        <v>4467</v>
      </c>
      <c r="AH428" s="16" t="s">
        <v>1003</v>
      </c>
      <c r="AI428" s="16"/>
      <c r="AJ428" s="16"/>
      <c r="AK428" s="16"/>
      <c r="AL428" s="16" t="s">
        <v>5007</v>
      </c>
    </row>
    <row r="429" spans="1:38" x14ac:dyDescent="0.5">
      <c r="A429">
        <v>20555</v>
      </c>
      <c r="B429" s="16" t="s">
        <v>2182</v>
      </c>
      <c r="C429" s="16" t="s">
        <v>2182</v>
      </c>
      <c r="D429" s="16"/>
      <c r="E429" s="16" t="s">
        <v>5008</v>
      </c>
      <c r="F429" s="17" t="s">
        <v>5009</v>
      </c>
      <c r="G429" s="17" t="s">
        <v>5010</v>
      </c>
      <c r="H429" s="16" t="s">
        <v>5011</v>
      </c>
      <c r="I429" s="16" t="s">
        <v>5012</v>
      </c>
      <c r="J429" s="33">
        <v>41960</v>
      </c>
      <c r="K429" s="33">
        <v>43465</v>
      </c>
      <c r="L429" s="16" t="s">
        <v>66</v>
      </c>
      <c r="M429" s="16" t="s">
        <v>67</v>
      </c>
      <c r="N429" s="16" t="s">
        <v>68</v>
      </c>
      <c r="O429" s="16" t="s">
        <v>436</v>
      </c>
      <c r="P429" s="16" t="s">
        <v>572</v>
      </c>
      <c r="Q429" s="16" t="s">
        <v>71</v>
      </c>
      <c r="R429" s="17" t="s">
        <v>5013</v>
      </c>
      <c r="S429" s="16" t="s">
        <v>3073</v>
      </c>
      <c r="T429" s="16" t="s">
        <v>74</v>
      </c>
      <c r="U429" s="16" t="s">
        <v>75</v>
      </c>
      <c r="V429" s="16" t="s">
        <v>5014</v>
      </c>
      <c r="W429" s="16"/>
      <c r="X429" s="16" t="s">
        <v>5015</v>
      </c>
      <c r="Y429" s="16" t="s">
        <v>78</v>
      </c>
      <c r="Z429" s="16" t="s">
        <v>2165</v>
      </c>
      <c r="AA429" s="16" t="s">
        <v>2166</v>
      </c>
      <c r="AB429" s="17" t="s">
        <v>5016</v>
      </c>
      <c r="AC429" s="16" t="s">
        <v>71</v>
      </c>
      <c r="AD429" s="17" t="s">
        <v>5016</v>
      </c>
      <c r="AE429" s="17" t="s">
        <v>5017</v>
      </c>
      <c r="AG429" s="16" t="s">
        <v>5018</v>
      </c>
      <c r="AH429" s="16" t="s">
        <v>1003</v>
      </c>
      <c r="AI429" s="16"/>
      <c r="AJ429" s="16"/>
      <c r="AK429" s="16"/>
      <c r="AL429" s="16" t="s">
        <v>5019</v>
      </c>
    </row>
    <row r="430" spans="1:38" x14ac:dyDescent="0.5">
      <c r="A430">
        <v>20556</v>
      </c>
      <c r="B430" s="16" t="s">
        <v>2395</v>
      </c>
      <c r="C430" s="16" t="s">
        <v>2395</v>
      </c>
      <c r="D430" s="16"/>
      <c r="E430" s="16" t="s">
        <v>5020</v>
      </c>
      <c r="F430" s="17" t="s">
        <v>5021</v>
      </c>
      <c r="H430" s="16" t="s">
        <v>5022</v>
      </c>
      <c r="I430" s="16" t="s">
        <v>5023</v>
      </c>
      <c r="J430" s="33">
        <v>41975</v>
      </c>
      <c r="K430" s="33">
        <v>43465</v>
      </c>
      <c r="L430" s="16" t="s">
        <v>66</v>
      </c>
      <c r="M430" s="16" t="s">
        <v>67</v>
      </c>
      <c r="N430" s="16" t="s">
        <v>68</v>
      </c>
      <c r="O430" s="16" t="s">
        <v>436</v>
      </c>
      <c r="P430" s="16" t="s">
        <v>572</v>
      </c>
      <c r="Q430" s="16" t="s">
        <v>71</v>
      </c>
      <c r="R430" s="17" t="s">
        <v>5024</v>
      </c>
      <c r="S430" s="16" t="s">
        <v>2415</v>
      </c>
      <c r="T430" s="16" t="s">
        <v>4146</v>
      </c>
      <c r="U430" s="16" t="s">
        <v>4147</v>
      </c>
      <c r="V430" s="16" t="s">
        <v>5025</v>
      </c>
      <c r="W430" s="16"/>
      <c r="X430" s="16" t="s">
        <v>5026</v>
      </c>
      <c r="Y430" s="16" t="s">
        <v>4151</v>
      </c>
      <c r="Z430" s="16"/>
      <c r="AA430" s="16"/>
      <c r="AB430" s="17" t="s">
        <v>5027</v>
      </c>
      <c r="AC430" s="16" t="s">
        <v>71</v>
      </c>
      <c r="AD430" s="17" t="s">
        <v>5027</v>
      </c>
      <c r="AE430" s="17" t="s">
        <v>5028</v>
      </c>
      <c r="AG430" s="16" t="s">
        <v>5029</v>
      </c>
      <c r="AH430" s="16"/>
      <c r="AI430" s="16"/>
      <c r="AJ430" s="16"/>
      <c r="AK430" s="16"/>
      <c r="AL430" s="16" t="s">
        <v>5030</v>
      </c>
    </row>
    <row r="431" spans="1:38" x14ac:dyDescent="0.5">
      <c r="A431">
        <v>20558</v>
      </c>
      <c r="B431" s="16" t="s">
        <v>5031</v>
      </c>
      <c r="C431" s="16" t="s">
        <v>5031</v>
      </c>
      <c r="D431" s="16"/>
      <c r="E431" s="16" t="s">
        <v>2338</v>
      </c>
      <c r="F431" s="17" t="s">
        <v>5032</v>
      </c>
      <c r="H431" s="16" t="s">
        <v>5033</v>
      </c>
      <c r="I431" s="16" t="s">
        <v>5034</v>
      </c>
      <c r="J431" s="33">
        <v>41960</v>
      </c>
      <c r="K431" s="33">
        <v>43465</v>
      </c>
      <c r="L431" s="16" t="s">
        <v>66</v>
      </c>
      <c r="M431" s="16" t="s">
        <v>67</v>
      </c>
      <c r="N431" s="16" t="s">
        <v>68</v>
      </c>
      <c r="O431" s="16" t="s">
        <v>436</v>
      </c>
      <c r="P431" s="16"/>
      <c r="Q431" s="16" t="s">
        <v>71</v>
      </c>
      <c r="R431" s="17" t="s">
        <v>5035</v>
      </c>
      <c r="S431" s="16" t="s">
        <v>5036</v>
      </c>
      <c r="T431" s="16" t="s">
        <v>74</v>
      </c>
      <c r="U431" s="16" t="s">
        <v>75</v>
      </c>
      <c r="V431" s="16" t="s">
        <v>5037</v>
      </c>
      <c r="W431" s="16"/>
      <c r="X431" s="16" t="s">
        <v>4012</v>
      </c>
      <c r="Y431" s="16" t="s">
        <v>78</v>
      </c>
      <c r="Z431" s="16" t="s">
        <v>883</v>
      </c>
      <c r="AA431" s="16" t="s">
        <v>884</v>
      </c>
      <c r="AB431" s="17" t="s">
        <v>8616</v>
      </c>
      <c r="AC431" s="16" t="s">
        <v>71</v>
      </c>
      <c r="AD431" s="17" t="s">
        <v>8616</v>
      </c>
      <c r="AE431" s="17" t="s">
        <v>8617</v>
      </c>
      <c r="AG431" s="16" t="s">
        <v>1502</v>
      </c>
      <c r="AH431" s="16" t="s">
        <v>5038</v>
      </c>
      <c r="AI431" s="16"/>
      <c r="AJ431" s="16"/>
      <c r="AK431" s="16"/>
      <c r="AL431" s="16" t="s">
        <v>5039</v>
      </c>
    </row>
    <row r="432" spans="1:38" x14ac:dyDescent="0.5">
      <c r="A432">
        <v>20559</v>
      </c>
      <c r="B432" s="16" t="s">
        <v>1150</v>
      </c>
      <c r="C432" s="16" t="s">
        <v>1150</v>
      </c>
      <c r="D432" s="16"/>
      <c r="E432" s="16" t="s">
        <v>5040</v>
      </c>
      <c r="F432" s="17" t="s">
        <v>5041</v>
      </c>
      <c r="H432" s="16" t="s">
        <v>5042</v>
      </c>
      <c r="I432" s="16" t="s">
        <v>5043</v>
      </c>
      <c r="J432" s="33">
        <v>41960</v>
      </c>
      <c r="K432" s="33">
        <v>43465</v>
      </c>
      <c r="L432" s="16" t="s">
        <v>66</v>
      </c>
      <c r="M432" s="16" t="s">
        <v>67</v>
      </c>
      <c r="N432" s="16" t="s">
        <v>68</v>
      </c>
      <c r="O432" s="16" t="s">
        <v>436</v>
      </c>
      <c r="P432" s="16" t="s">
        <v>572</v>
      </c>
      <c r="Q432" s="16" t="s">
        <v>71</v>
      </c>
      <c r="R432" s="17" t="s">
        <v>5044</v>
      </c>
      <c r="S432" s="16" t="s">
        <v>359</v>
      </c>
      <c r="T432" s="16" t="s">
        <v>74</v>
      </c>
      <c r="U432" s="16" t="s">
        <v>75</v>
      </c>
      <c r="V432" s="16" t="s">
        <v>5045</v>
      </c>
      <c r="W432" s="16"/>
      <c r="X432" s="16" t="s">
        <v>5046</v>
      </c>
      <c r="Y432" s="16" t="s">
        <v>78</v>
      </c>
      <c r="Z432" s="16" t="s">
        <v>242</v>
      </c>
      <c r="AA432" s="16" t="s">
        <v>243</v>
      </c>
      <c r="AB432" s="17" t="s">
        <v>5047</v>
      </c>
      <c r="AC432" s="16" t="s">
        <v>71</v>
      </c>
      <c r="AD432" s="17" t="s">
        <v>5047</v>
      </c>
      <c r="AG432" s="16" t="s">
        <v>2923</v>
      </c>
      <c r="AH432" s="16" t="s">
        <v>2156</v>
      </c>
      <c r="AI432" s="16"/>
      <c r="AJ432" s="16"/>
      <c r="AK432" s="16"/>
      <c r="AL432" s="16" t="s">
        <v>5048</v>
      </c>
    </row>
    <row r="433" spans="1:38" x14ac:dyDescent="0.5">
      <c r="A433">
        <v>20560</v>
      </c>
      <c r="B433" s="16" t="s">
        <v>5049</v>
      </c>
      <c r="C433" s="16" t="s">
        <v>5049</v>
      </c>
      <c r="D433" s="16"/>
      <c r="E433" s="16" t="s">
        <v>5050</v>
      </c>
      <c r="F433" s="17" t="s">
        <v>5051</v>
      </c>
      <c r="H433" s="16" t="s">
        <v>456</v>
      </c>
      <c r="I433" s="16" t="s">
        <v>5052</v>
      </c>
      <c r="J433" s="33">
        <v>41962</v>
      </c>
      <c r="K433" s="33">
        <v>43465</v>
      </c>
      <c r="L433" s="16" t="s">
        <v>66</v>
      </c>
      <c r="M433" s="16" t="s">
        <v>67</v>
      </c>
      <c r="N433" s="16" t="s">
        <v>68</v>
      </c>
      <c r="O433" s="16" t="s">
        <v>436</v>
      </c>
      <c r="P433" s="16" t="s">
        <v>3116</v>
      </c>
      <c r="Q433" s="16" t="s">
        <v>71</v>
      </c>
      <c r="R433" s="17" t="s">
        <v>5053</v>
      </c>
      <c r="S433" s="16" t="s">
        <v>5054</v>
      </c>
      <c r="T433" s="16" t="s">
        <v>74</v>
      </c>
      <c r="U433" s="16" t="s">
        <v>75</v>
      </c>
      <c r="V433" s="16" t="s">
        <v>5055</v>
      </c>
      <c r="W433" s="16"/>
      <c r="X433" s="16" t="s">
        <v>5056</v>
      </c>
      <c r="Y433" s="16" t="s">
        <v>78</v>
      </c>
      <c r="Z433" s="16" t="s">
        <v>883</v>
      </c>
      <c r="AA433" s="16" t="s">
        <v>884</v>
      </c>
      <c r="AB433" s="17" t="s">
        <v>5057</v>
      </c>
      <c r="AC433" s="16" t="s">
        <v>966</v>
      </c>
      <c r="AF433" s="17" t="s">
        <v>5057</v>
      </c>
      <c r="AG433" s="16" t="s">
        <v>2156</v>
      </c>
      <c r="AH433" s="16" t="s">
        <v>2093</v>
      </c>
      <c r="AI433" s="16"/>
      <c r="AJ433" s="16"/>
      <c r="AK433" s="16"/>
      <c r="AL433" s="16" t="s">
        <v>5058</v>
      </c>
    </row>
    <row r="434" spans="1:38" x14ac:dyDescent="0.5">
      <c r="A434">
        <v>20563</v>
      </c>
      <c r="B434" s="16" t="s">
        <v>1777</v>
      </c>
      <c r="C434" s="16" t="s">
        <v>1777</v>
      </c>
      <c r="D434" s="16"/>
      <c r="E434" s="16" t="s">
        <v>5059</v>
      </c>
      <c r="F434" s="17" t="s">
        <v>5060</v>
      </c>
      <c r="H434" s="16" t="s">
        <v>5061</v>
      </c>
      <c r="I434" s="16" t="s">
        <v>5062</v>
      </c>
      <c r="J434" s="33">
        <v>42026</v>
      </c>
      <c r="K434" s="33">
        <v>43465</v>
      </c>
      <c r="L434" s="16" t="s">
        <v>66</v>
      </c>
      <c r="M434" s="16" t="s">
        <v>67</v>
      </c>
      <c r="N434" s="16" t="s">
        <v>68</v>
      </c>
      <c r="O434" s="16" t="s">
        <v>436</v>
      </c>
      <c r="P434" s="16" t="s">
        <v>572</v>
      </c>
      <c r="Q434" s="16" t="s">
        <v>71</v>
      </c>
      <c r="R434" s="17" t="s">
        <v>5063</v>
      </c>
      <c r="S434" s="16" t="s">
        <v>4397</v>
      </c>
      <c r="T434" s="16" t="s">
        <v>74</v>
      </c>
      <c r="U434" s="16" t="s">
        <v>75</v>
      </c>
      <c r="V434" s="16" t="s">
        <v>5064</v>
      </c>
      <c r="W434" s="16" t="s">
        <v>1981</v>
      </c>
      <c r="X434" s="16" t="s">
        <v>5065</v>
      </c>
      <c r="Y434" s="16" t="s">
        <v>78</v>
      </c>
      <c r="Z434" s="16" t="s">
        <v>270</v>
      </c>
      <c r="AA434" s="16" t="s">
        <v>271</v>
      </c>
      <c r="AB434" s="17" t="s">
        <v>5066</v>
      </c>
      <c r="AC434" s="16" t="s">
        <v>71</v>
      </c>
      <c r="AD434" s="17" t="s">
        <v>5066</v>
      </c>
      <c r="AG434" s="16" t="s">
        <v>4063</v>
      </c>
      <c r="AH434" s="16" t="s">
        <v>781</v>
      </c>
      <c r="AI434" s="16"/>
      <c r="AJ434" s="16"/>
      <c r="AK434" s="16"/>
      <c r="AL434" s="16" t="s">
        <v>5067</v>
      </c>
    </row>
    <row r="435" spans="1:38" x14ac:dyDescent="0.5">
      <c r="A435">
        <v>20565</v>
      </c>
      <c r="B435" s="16" t="s">
        <v>5068</v>
      </c>
      <c r="C435" s="16" t="s">
        <v>5068</v>
      </c>
      <c r="D435" s="16" t="s">
        <v>5069</v>
      </c>
      <c r="E435" s="16" t="s">
        <v>5070</v>
      </c>
      <c r="F435" s="17" t="s">
        <v>5071</v>
      </c>
      <c r="G435" s="17" t="s">
        <v>5072</v>
      </c>
      <c r="H435" s="16" t="s">
        <v>5073</v>
      </c>
      <c r="I435" s="16" t="s">
        <v>5074</v>
      </c>
      <c r="J435" s="33">
        <v>41988</v>
      </c>
      <c r="K435" s="33">
        <v>43465</v>
      </c>
      <c r="L435" s="16" t="s">
        <v>66</v>
      </c>
      <c r="M435" s="16" t="s">
        <v>90</v>
      </c>
      <c r="N435" s="16" t="s">
        <v>91</v>
      </c>
      <c r="O435" s="16" t="s">
        <v>91</v>
      </c>
      <c r="P435" s="16" t="s">
        <v>572</v>
      </c>
      <c r="Q435" s="16" t="s">
        <v>71</v>
      </c>
      <c r="R435" s="17" t="s">
        <v>5075</v>
      </c>
      <c r="S435" s="16" t="s">
        <v>5076</v>
      </c>
      <c r="T435" s="16" t="s">
        <v>74</v>
      </c>
      <c r="U435" s="16" t="s">
        <v>75</v>
      </c>
      <c r="V435" s="16" t="s">
        <v>5077</v>
      </c>
      <c r="W435" s="16" t="s">
        <v>5078</v>
      </c>
      <c r="X435" s="16" t="s">
        <v>5079</v>
      </c>
      <c r="Y435" s="16" t="s">
        <v>78</v>
      </c>
      <c r="Z435" s="16" t="s">
        <v>5080</v>
      </c>
      <c r="AA435" s="16" t="s">
        <v>5081</v>
      </c>
      <c r="AB435" s="17" t="s">
        <v>5082</v>
      </c>
      <c r="AC435" s="16" t="s">
        <v>71</v>
      </c>
      <c r="AD435" s="17" t="s">
        <v>5082</v>
      </c>
      <c r="AG435" s="16" t="s">
        <v>2493</v>
      </c>
      <c r="AH435" s="16" t="s">
        <v>1076</v>
      </c>
      <c r="AI435" s="16"/>
      <c r="AJ435" s="16"/>
      <c r="AK435" s="16"/>
      <c r="AL435" s="16" t="s">
        <v>5083</v>
      </c>
    </row>
    <row r="436" spans="1:38" x14ac:dyDescent="0.5">
      <c r="A436">
        <v>20566</v>
      </c>
      <c r="B436" s="16" t="s">
        <v>1323</v>
      </c>
      <c r="C436" s="16" t="s">
        <v>1323</v>
      </c>
      <c r="D436" s="16" t="s">
        <v>533</v>
      </c>
      <c r="E436" s="16" t="s">
        <v>5084</v>
      </c>
      <c r="F436" s="17" t="s">
        <v>5085</v>
      </c>
      <c r="G436" s="17" t="s">
        <v>5086</v>
      </c>
      <c r="H436" s="16" t="s">
        <v>4894</v>
      </c>
      <c r="I436" s="16" t="s">
        <v>5087</v>
      </c>
      <c r="J436" s="33">
        <v>41976</v>
      </c>
      <c r="K436" s="33">
        <v>43465</v>
      </c>
      <c r="L436" s="16" t="s">
        <v>66</v>
      </c>
      <c r="M436" s="16" t="s">
        <v>67</v>
      </c>
      <c r="N436" s="16" t="s">
        <v>68</v>
      </c>
      <c r="O436" s="16" t="s">
        <v>280</v>
      </c>
      <c r="P436" s="16" t="s">
        <v>572</v>
      </c>
      <c r="Q436" s="16" t="s">
        <v>71</v>
      </c>
      <c r="R436" s="17" t="s">
        <v>5088</v>
      </c>
      <c r="S436" s="16" t="s">
        <v>113</v>
      </c>
      <c r="T436" s="16" t="s">
        <v>74</v>
      </c>
      <c r="U436" s="16" t="s">
        <v>75</v>
      </c>
      <c r="V436" s="16" t="s">
        <v>5089</v>
      </c>
      <c r="W436" s="16" t="s">
        <v>5090</v>
      </c>
      <c r="X436" s="16" t="s">
        <v>5091</v>
      </c>
      <c r="Y436" s="16" t="s">
        <v>78</v>
      </c>
      <c r="Z436" s="16" t="s">
        <v>117</v>
      </c>
      <c r="AA436" s="16" t="s">
        <v>113</v>
      </c>
      <c r="AB436" s="17" t="s">
        <v>5092</v>
      </c>
      <c r="AC436" s="16" t="s">
        <v>71</v>
      </c>
      <c r="AD436" s="17" t="s">
        <v>5092</v>
      </c>
      <c r="AG436" s="16" t="s">
        <v>5093</v>
      </c>
      <c r="AH436" s="16" t="s">
        <v>5094</v>
      </c>
      <c r="AI436" s="16" t="s">
        <v>3373</v>
      </c>
      <c r="AJ436" s="16"/>
      <c r="AK436" s="16"/>
      <c r="AL436" s="16" t="s">
        <v>5095</v>
      </c>
    </row>
    <row r="437" spans="1:38" x14ac:dyDescent="0.5">
      <c r="A437">
        <v>20569</v>
      </c>
      <c r="B437" s="16" t="s">
        <v>178</v>
      </c>
      <c r="C437" s="16" t="s">
        <v>178</v>
      </c>
      <c r="D437" s="16" t="s">
        <v>123</v>
      </c>
      <c r="E437" s="16" t="s">
        <v>5096</v>
      </c>
      <c r="F437" s="17" t="s">
        <v>5097</v>
      </c>
      <c r="H437" s="16" t="s">
        <v>5098</v>
      </c>
      <c r="I437" s="16" t="s">
        <v>8618</v>
      </c>
      <c r="J437" s="33">
        <v>42047</v>
      </c>
      <c r="K437" s="33">
        <v>43465</v>
      </c>
      <c r="L437" s="16" t="s">
        <v>66</v>
      </c>
      <c r="M437" s="16" t="s">
        <v>235</v>
      </c>
      <c r="N437" s="16" t="s">
        <v>236</v>
      </c>
      <c r="O437" s="16" t="s">
        <v>237</v>
      </c>
      <c r="P437" s="16" t="s">
        <v>572</v>
      </c>
      <c r="Q437" s="16" t="s">
        <v>71</v>
      </c>
      <c r="R437" s="17" t="s">
        <v>5099</v>
      </c>
      <c r="S437" s="16" t="s">
        <v>3548</v>
      </c>
      <c r="T437" s="16" t="s">
        <v>74</v>
      </c>
      <c r="U437" s="16" t="s">
        <v>75</v>
      </c>
      <c r="V437" s="16" t="s">
        <v>5100</v>
      </c>
      <c r="W437" s="16"/>
      <c r="X437" s="16" t="s">
        <v>3550</v>
      </c>
      <c r="Y437" s="16" t="s">
        <v>78</v>
      </c>
      <c r="Z437" s="16" t="s">
        <v>963</v>
      </c>
      <c r="AA437" s="16" t="s">
        <v>964</v>
      </c>
      <c r="AB437" s="17" t="s">
        <v>5101</v>
      </c>
      <c r="AC437" s="16" t="s">
        <v>71</v>
      </c>
      <c r="AD437" s="17" t="s">
        <v>5101</v>
      </c>
      <c r="AE437" s="17" t="s">
        <v>5102</v>
      </c>
      <c r="AF437" s="17" t="s">
        <v>5103</v>
      </c>
      <c r="AG437" s="16" t="s">
        <v>3225</v>
      </c>
      <c r="AH437" s="16" t="s">
        <v>1059</v>
      </c>
      <c r="AI437" s="16"/>
      <c r="AJ437" s="16"/>
      <c r="AK437" s="16"/>
      <c r="AL437" s="16" t="s">
        <v>5104</v>
      </c>
    </row>
    <row r="438" spans="1:38" x14ac:dyDescent="0.5">
      <c r="A438">
        <v>20611</v>
      </c>
      <c r="B438" s="16" t="s">
        <v>5106</v>
      </c>
      <c r="C438" s="16" t="s">
        <v>5106</v>
      </c>
      <c r="D438" s="16"/>
      <c r="E438" s="16" t="s">
        <v>5107</v>
      </c>
      <c r="F438" s="17" t="s">
        <v>5108</v>
      </c>
      <c r="H438" s="16" t="s">
        <v>4932</v>
      </c>
      <c r="I438" s="16" t="s">
        <v>5109</v>
      </c>
      <c r="J438" s="33">
        <v>42842</v>
      </c>
      <c r="K438" s="33">
        <v>43465</v>
      </c>
      <c r="L438" s="16" t="s">
        <v>66</v>
      </c>
      <c r="M438" s="16" t="s">
        <v>67</v>
      </c>
      <c r="N438" s="16" t="s">
        <v>68</v>
      </c>
      <c r="O438" s="16" t="s">
        <v>436</v>
      </c>
      <c r="P438" s="16" t="s">
        <v>572</v>
      </c>
      <c r="Q438" s="16" t="s">
        <v>71</v>
      </c>
      <c r="R438" s="17" t="s">
        <v>5110</v>
      </c>
      <c r="S438" s="16" t="s">
        <v>113</v>
      </c>
      <c r="T438" s="16" t="s">
        <v>74</v>
      </c>
      <c r="U438" s="16" t="s">
        <v>75</v>
      </c>
      <c r="V438" s="16" t="s">
        <v>5111</v>
      </c>
      <c r="W438" s="16"/>
      <c r="X438" s="16" t="s">
        <v>5112</v>
      </c>
      <c r="Y438" s="16" t="s">
        <v>78</v>
      </c>
      <c r="Z438" s="16" t="s">
        <v>117</v>
      </c>
      <c r="AA438" s="16" t="s">
        <v>113</v>
      </c>
      <c r="AB438" s="17" t="s">
        <v>5113</v>
      </c>
      <c r="AC438" s="16" t="s">
        <v>71</v>
      </c>
      <c r="AD438" s="17" t="s">
        <v>5113</v>
      </c>
      <c r="AF438" s="17" t="s">
        <v>5114</v>
      </c>
      <c r="AG438" s="16" t="s">
        <v>1003</v>
      </c>
      <c r="AH438" s="16" t="s">
        <v>579</v>
      </c>
      <c r="AI438" s="16"/>
      <c r="AJ438" s="16"/>
      <c r="AK438" s="16"/>
      <c r="AL438" s="16" t="s">
        <v>456</v>
      </c>
    </row>
    <row r="439" spans="1:38" x14ac:dyDescent="0.5">
      <c r="A439">
        <v>20622</v>
      </c>
      <c r="B439" s="16" t="s">
        <v>1613</v>
      </c>
      <c r="C439" s="16" t="s">
        <v>1613</v>
      </c>
      <c r="D439" s="16"/>
      <c r="E439" s="16" t="s">
        <v>5115</v>
      </c>
      <c r="F439" s="17" t="s">
        <v>5116</v>
      </c>
      <c r="H439" s="16" t="s">
        <v>5117</v>
      </c>
      <c r="I439" s="16" t="s">
        <v>5118</v>
      </c>
      <c r="J439" s="33">
        <v>42066</v>
      </c>
      <c r="K439" s="33">
        <v>43465</v>
      </c>
      <c r="L439" s="16" t="s">
        <v>66</v>
      </c>
      <c r="M439" s="16" t="s">
        <v>67</v>
      </c>
      <c r="N439" s="16" t="s">
        <v>68</v>
      </c>
      <c r="O439" s="16" t="s">
        <v>69</v>
      </c>
      <c r="P439" s="16" t="s">
        <v>572</v>
      </c>
      <c r="Q439" s="16" t="s">
        <v>71</v>
      </c>
      <c r="R439" s="17" t="s">
        <v>5119</v>
      </c>
      <c r="S439" s="16" t="s">
        <v>5120</v>
      </c>
      <c r="T439" s="16" t="s">
        <v>74</v>
      </c>
      <c r="U439" s="16" t="s">
        <v>75</v>
      </c>
      <c r="V439" s="16" t="s">
        <v>5121</v>
      </c>
      <c r="W439" s="16"/>
      <c r="X439" s="16" t="s">
        <v>5122</v>
      </c>
      <c r="Y439" s="16" t="s">
        <v>78</v>
      </c>
      <c r="Z439" s="16" t="s">
        <v>242</v>
      </c>
      <c r="AA439" s="16" t="s">
        <v>243</v>
      </c>
      <c r="AB439" s="17" t="s">
        <v>5123</v>
      </c>
      <c r="AC439" s="16" t="s">
        <v>71</v>
      </c>
      <c r="AD439" s="17" t="s">
        <v>5123</v>
      </c>
      <c r="AG439" s="16" t="s">
        <v>5124</v>
      </c>
      <c r="AH439" s="16" t="s">
        <v>5125</v>
      </c>
      <c r="AI439" s="16" t="s">
        <v>1059</v>
      </c>
      <c r="AJ439" s="16"/>
      <c r="AK439" s="16"/>
      <c r="AL439" s="16"/>
    </row>
    <row r="440" spans="1:38" x14ac:dyDescent="0.5">
      <c r="A440">
        <v>20631</v>
      </c>
      <c r="B440" s="16" t="s">
        <v>5126</v>
      </c>
      <c r="C440" s="16" t="s">
        <v>5126</v>
      </c>
      <c r="D440" s="16"/>
      <c r="E440" s="16" t="s">
        <v>5127</v>
      </c>
      <c r="F440" s="17" t="s">
        <v>5128</v>
      </c>
      <c r="H440" s="16" t="s">
        <v>5129</v>
      </c>
      <c r="I440" s="16" t="s">
        <v>5130</v>
      </c>
      <c r="J440" s="33">
        <v>43216</v>
      </c>
      <c r="K440" s="33">
        <v>43581</v>
      </c>
      <c r="L440" s="16" t="s">
        <v>66</v>
      </c>
      <c r="M440" s="16" t="s">
        <v>67</v>
      </c>
      <c r="N440" s="16" t="s">
        <v>68</v>
      </c>
      <c r="O440" s="16" t="s">
        <v>436</v>
      </c>
      <c r="P440" s="16"/>
      <c r="Q440" s="16" t="s">
        <v>71</v>
      </c>
      <c r="R440" s="17" t="s">
        <v>5131</v>
      </c>
      <c r="S440" s="16" t="s">
        <v>5132</v>
      </c>
      <c r="T440" s="16" t="s">
        <v>5133</v>
      </c>
      <c r="U440" s="16" t="s">
        <v>5134</v>
      </c>
      <c r="V440" s="16" t="s">
        <v>5135</v>
      </c>
      <c r="W440" s="16"/>
      <c r="X440" s="16" t="s">
        <v>5136</v>
      </c>
      <c r="Y440" s="16"/>
      <c r="Z440" s="16"/>
      <c r="AA440" s="16"/>
      <c r="AC440" s="16"/>
      <c r="AD440" s="17" t="s">
        <v>5137</v>
      </c>
      <c r="AG440" s="16" t="s">
        <v>5138</v>
      </c>
      <c r="AH440" s="16" t="s">
        <v>1345</v>
      </c>
      <c r="AI440" s="16"/>
      <c r="AJ440" s="16"/>
      <c r="AK440" s="16"/>
      <c r="AL440" s="16"/>
    </row>
    <row r="441" spans="1:38" x14ac:dyDescent="0.5">
      <c r="A441">
        <v>20634</v>
      </c>
      <c r="B441" s="16" t="s">
        <v>5139</v>
      </c>
      <c r="C441" s="16" t="s">
        <v>5139</v>
      </c>
      <c r="D441" s="16"/>
      <c r="E441" s="16" t="s">
        <v>5140</v>
      </c>
      <c r="F441" s="17" t="s">
        <v>5141</v>
      </c>
      <c r="G441" s="17" t="s">
        <v>5142</v>
      </c>
      <c r="H441" s="16" t="s">
        <v>5143</v>
      </c>
      <c r="I441" s="16" t="s">
        <v>5144</v>
      </c>
      <c r="J441" s="33">
        <v>42040</v>
      </c>
      <c r="K441" s="33">
        <v>43465</v>
      </c>
      <c r="L441" s="16" t="s">
        <v>66</v>
      </c>
      <c r="M441" s="16" t="s">
        <v>67</v>
      </c>
      <c r="N441" s="16" t="s">
        <v>68</v>
      </c>
      <c r="O441" s="16" t="s">
        <v>436</v>
      </c>
      <c r="P441" s="16" t="s">
        <v>572</v>
      </c>
      <c r="Q441" s="16" t="s">
        <v>71</v>
      </c>
      <c r="R441" s="17" t="s">
        <v>5145</v>
      </c>
      <c r="S441" s="16" t="s">
        <v>5132</v>
      </c>
      <c r="T441" s="16" t="s">
        <v>5133</v>
      </c>
      <c r="U441" s="16" t="s">
        <v>5134</v>
      </c>
      <c r="V441" s="16" t="s">
        <v>5146</v>
      </c>
      <c r="W441" s="16"/>
      <c r="X441" s="16" t="s">
        <v>5147</v>
      </c>
      <c r="Y441" s="16"/>
      <c r="Z441" s="16"/>
      <c r="AA441" s="16"/>
      <c r="AB441" s="17" t="s">
        <v>5148</v>
      </c>
      <c r="AC441" s="16" t="s">
        <v>71</v>
      </c>
      <c r="AD441" s="17" t="s">
        <v>5148</v>
      </c>
      <c r="AE441" s="17" t="s">
        <v>5149</v>
      </c>
      <c r="AF441" s="17" t="s">
        <v>5150</v>
      </c>
      <c r="AG441" s="16" t="s">
        <v>5151</v>
      </c>
      <c r="AH441" s="16" t="s">
        <v>5152</v>
      </c>
      <c r="AI441" s="16" t="s">
        <v>579</v>
      </c>
      <c r="AJ441" s="16"/>
      <c r="AK441" s="16"/>
      <c r="AL441" s="16" t="s">
        <v>5153</v>
      </c>
    </row>
    <row r="442" spans="1:38" x14ac:dyDescent="0.5">
      <c r="A442">
        <v>20635</v>
      </c>
      <c r="B442" s="16" t="s">
        <v>2158</v>
      </c>
      <c r="C442" s="16" t="s">
        <v>2158</v>
      </c>
      <c r="D442" s="16"/>
      <c r="E442" s="16" t="s">
        <v>5154</v>
      </c>
      <c r="F442" s="17" t="s">
        <v>5155</v>
      </c>
      <c r="H442" s="16" t="s">
        <v>4431</v>
      </c>
      <c r="I442" s="16" t="s">
        <v>5156</v>
      </c>
      <c r="J442" s="33">
        <v>42067</v>
      </c>
      <c r="K442" s="33">
        <v>43465</v>
      </c>
      <c r="L442" s="16" t="s">
        <v>66</v>
      </c>
      <c r="M442" s="16" t="s">
        <v>67</v>
      </c>
      <c r="N442" s="16" t="s">
        <v>68</v>
      </c>
      <c r="O442" s="16" t="s">
        <v>436</v>
      </c>
      <c r="P442" s="16" t="s">
        <v>572</v>
      </c>
      <c r="Q442" s="16" t="s">
        <v>71</v>
      </c>
      <c r="R442" s="17" t="s">
        <v>5157</v>
      </c>
      <c r="S442" s="16" t="s">
        <v>5158</v>
      </c>
      <c r="T442" s="16" t="s">
        <v>5133</v>
      </c>
      <c r="U442" s="16" t="s">
        <v>5134</v>
      </c>
      <c r="V442" s="16" t="s">
        <v>5159</v>
      </c>
      <c r="W442" s="16"/>
      <c r="X442" s="16" t="s">
        <v>5160</v>
      </c>
      <c r="Y442" s="16" t="s">
        <v>1307</v>
      </c>
      <c r="Z442" s="16"/>
      <c r="AA442" s="16"/>
      <c r="AB442" s="17" t="s">
        <v>5161</v>
      </c>
      <c r="AC442" s="16" t="s">
        <v>71</v>
      </c>
      <c r="AD442" s="17" t="s">
        <v>5161</v>
      </c>
      <c r="AE442" s="17" t="s">
        <v>5162</v>
      </c>
      <c r="AG442" s="16" t="s">
        <v>2297</v>
      </c>
      <c r="AH442" s="16" t="s">
        <v>5151</v>
      </c>
      <c r="AI442" s="16"/>
      <c r="AJ442" s="16"/>
      <c r="AK442" s="16"/>
      <c r="AL442" s="16" t="s">
        <v>5163</v>
      </c>
    </row>
    <row r="443" spans="1:38" x14ac:dyDescent="0.5">
      <c r="A443">
        <v>20686</v>
      </c>
      <c r="B443" s="16" t="s">
        <v>1297</v>
      </c>
      <c r="C443" s="16" t="s">
        <v>1297</v>
      </c>
      <c r="D443" s="16"/>
      <c r="E443" s="16" t="s">
        <v>5166</v>
      </c>
      <c r="F443" s="17" t="s">
        <v>5167</v>
      </c>
      <c r="G443" s="17" t="s">
        <v>5168</v>
      </c>
      <c r="H443" s="16" t="s">
        <v>5169</v>
      </c>
      <c r="I443" s="16" t="s">
        <v>5170</v>
      </c>
      <c r="J443" s="33">
        <v>42040</v>
      </c>
      <c r="K443" s="33">
        <v>43465</v>
      </c>
      <c r="L443" s="16" t="s">
        <v>66</v>
      </c>
      <c r="M443" s="16" t="s">
        <v>90</v>
      </c>
      <c r="N443" s="16" t="s">
        <v>91</v>
      </c>
      <c r="O443" s="16" t="s">
        <v>91</v>
      </c>
      <c r="P443" s="16" t="s">
        <v>572</v>
      </c>
      <c r="Q443" s="16" t="s">
        <v>71</v>
      </c>
      <c r="R443" s="17" t="s">
        <v>5171</v>
      </c>
      <c r="S443" s="16" t="s">
        <v>5054</v>
      </c>
      <c r="T443" s="16" t="s">
        <v>74</v>
      </c>
      <c r="U443" s="16" t="s">
        <v>75</v>
      </c>
      <c r="V443" s="16" t="s">
        <v>5172</v>
      </c>
      <c r="W443" s="16"/>
      <c r="X443" s="16" t="s">
        <v>5173</v>
      </c>
      <c r="Y443" s="16" t="s">
        <v>78</v>
      </c>
      <c r="Z443" s="16" t="s">
        <v>883</v>
      </c>
      <c r="AA443" s="16" t="s">
        <v>884</v>
      </c>
      <c r="AB443" s="17" t="s">
        <v>5174</v>
      </c>
      <c r="AC443" s="16" t="s">
        <v>71</v>
      </c>
      <c r="AD443" s="17" t="s">
        <v>5174</v>
      </c>
      <c r="AE443" s="17" t="s">
        <v>5175</v>
      </c>
      <c r="AG443" s="16" t="s">
        <v>1913</v>
      </c>
      <c r="AH443" s="16" t="s">
        <v>1017</v>
      </c>
      <c r="AI443" s="16" t="s">
        <v>1030</v>
      </c>
      <c r="AJ443" s="16" t="s">
        <v>1637</v>
      </c>
      <c r="AK443" s="16"/>
      <c r="AL443" s="16" t="s">
        <v>5176</v>
      </c>
    </row>
    <row r="444" spans="1:38" x14ac:dyDescent="0.5">
      <c r="A444">
        <v>20687</v>
      </c>
      <c r="B444" s="16" t="s">
        <v>5177</v>
      </c>
      <c r="C444" s="16" t="s">
        <v>5177</v>
      </c>
      <c r="D444" s="16"/>
      <c r="E444" s="16" t="s">
        <v>5178</v>
      </c>
      <c r="F444" s="17" t="s">
        <v>5179</v>
      </c>
      <c r="H444" s="16" t="s">
        <v>5180</v>
      </c>
      <c r="I444" s="16" t="s">
        <v>5181</v>
      </c>
      <c r="J444" s="33">
        <v>42041</v>
      </c>
      <c r="K444" s="33">
        <v>43465</v>
      </c>
      <c r="L444" s="16" t="s">
        <v>66</v>
      </c>
      <c r="M444" s="16" t="s">
        <v>90</v>
      </c>
      <c r="N444" s="16" t="s">
        <v>91</v>
      </c>
      <c r="O444" s="16" t="s">
        <v>91</v>
      </c>
      <c r="P444" s="16" t="s">
        <v>572</v>
      </c>
      <c r="Q444" s="16" t="s">
        <v>71</v>
      </c>
      <c r="R444" s="17" t="s">
        <v>5182</v>
      </c>
      <c r="S444" s="16" t="s">
        <v>5183</v>
      </c>
      <c r="T444" s="16" t="s">
        <v>5184</v>
      </c>
      <c r="U444" s="16" t="s">
        <v>5185</v>
      </c>
      <c r="V444" s="16" t="s">
        <v>5186</v>
      </c>
      <c r="W444" s="16"/>
      <c r="X444" s="16" t="s">
        <v>5187</v>
      </c>
      <c r="Y444" s="16" t="s">
        <v>744</v>
      </c>
      <c r="Z444" s="16"/>
      <c r="AA444" s="16"/>
      <c r="AB444" s="17" t="s">
        <v>5188</v>
      </c>
      <c r="AC444" s="16" t="s">
        <v>71</v>
      </c>
      <c r="AD444" s="17" t="s">
        <v>5188</v>
      </c>
      <c r="AE444" s="17" t="s">
        <v>5189</v>
      </c>
      <c r="AG444" s="16" t="s">
        <v>1850</v>
      </c>
      <c r="AH444" s="16" t="s">
        <v>3136</v>
      </c>
      <c r="AI444" s="16"/>
      <c r="AJ444" s="16"/>
      <c r="AK444" s="16"/>
      <c r="AL444" s="16"/>
    </row>
    <row r="445" spans="1:38" x14ac:dyDescent="0.5">
      <c r="A445">
        <v>20689</v>
      </c>
      <c r="B445" s="16" t="s">
        <v>5190</v>
      </c>
      <c r="C445" s="16" t="s">
        <v>5190</v>
      </c>
      <c r="D445" s="16"/>
      <c r="E445" s="16" t="s">
        <v>5191</v>
      </c>
      <c r="F445" s="17" t="s">
        <v>5192</v>
      </c>
      <c r="G445" s="17" t="s">
        <v>5193</v>
      </c>
      <c r="H445" s="16" t="s">
        <v>5194</v>
      </c>
      <c r="I445" s="16" t="s">
        <v>5195</v>
      </c>
      <c r="J445" s="33">
        <v>42058</v>
      </c>
      <c r="K445" s="33">
        <v>43465</v>
      </c>
      <c r="L445" s="16" t="s">
        <v>66</v>
      </c>
      <c r="M445" s="16" t="s">
        <v>235</v>
      </c>
      <c r="N445" s="16" t="s">
        <v>236</v>
      </c>
      <c r="O445" s="16" t="s">
        <v>237</v>
      </c>
      <c r="P445" s="16" t="s">
        <v>572</v>
      </c>
      <c r="Q445" s="16" t="s">
        <v>71</v>
      </c>
      <c r="R445" s="17" t="s">
        <v>5196</v>
      </c>
      <c r="S445" s="16" t="s">
        <v>5197</v>
      </c>
      <c r="T445" s="16" t="s">
        <v>2137</v>
      </c>
      <c r="U445" s="16" t="s">
        <v>2138</v>
      </c>
      <c r="V445" s="16" t="s">
        <v>5198</v>
      </c>
      <c r="W445" s="16"/>
      <c r="X445" s="16" t="s">
        <v>5199</v>
      </c>
      <c r="Y445" s="16" t="s">
        <v>744</v>
      </c>
      <c r="Z445" s="16"/>
      <c r="AA445" s="16"/>
      <c r="AB445" s="17" t="s">
        <v>5200</v>
      </c>
      <c r="AC445" s="16" t="s">
        <v>71</v>
      </c>
      <c r="AD445" s="17" t="s">
        <v>5200</v>
      </c>
      <c r="AG445" s="16" t="s">
        <v>2297</v>
      </c>
      <c r="AH445" s="16" t="s">
        <v>579</v>
      </c>
      <c r="AI445" s="16"/>
      <c r="AJ445" s="16"/>
      <c r="AK445" s="16"/>
      <c r="AL445" s="16" t="s">
        <v>5201</v>
      </c>
    </row>
    <row r="446" spans="1:38" x14ac:dyDescent="0.5">
      <c r="A446">
        <v>20690</v>
      </c>
      <c r="B446" s="16" t="s">
        <v>5202</v>
      </c>
      <c r="C446" s="16" t="s">
        <v>5202</v>
      </c>
      <c r="D446" s="16"/>
      <c r="E446" s="16" t="s">
        <v>5203</v>
      </c>
      <c r="F446" s="17" t="s">
        <v>5204</v>
      </c>
      <c r="H446" s="16" t="s">
        <v>5205</v>
      </c>
      <c r="I446" s="16" t="s">
        <v>5206</v>
      </c>
      <c r="J446" s="33">
        <v>42060</v>
      </c>
      <c r="K446" s="33">
        <v>43465</v>
      </c>
      <c r="L446" s="16" t="s">
        <v>66</v>
      </c>
      <c r="M446" s="16" t="s">
        <v>67</v>
      </c>
      <c r="N446" s="16" t="s">
        <v>68</v>
      </c>
      <c r="O446" s="16" t="s">
        <v>436</v>
      </c>
      <c r="P446" s="16" t="s">
        <v>572</v>
      </c>
      <c r="Q446" s="16" t="s">
        <v>71</v>
      </c>
      <c r="R446" s="17" t="s">
        <v>5207</v>
      </c>
      <c r="S446" s="16" t="s">
        <v>5208</v>
      </c>
      <c r="T446" s="16" t="s">
        <v>74</v>
      </c>
      <c r="U446" s="16" t="s">
        <v>75</v>
      </c>
      <c r="V446" s="16" t="s">
        <v>5209</v>
      </c>
      <c r="W446" s="16"/>
      <c r="X446" s="16" t="s">
        <v>5210</v>
      </c>
      <c r="Y446" s="16" t="s">
        <v>78</v>
      </c>
      <c r="Z446" s="16" t="s">
        <v>599</v>
      </c>
      <c r="AA446" s="16" t="s">
        <v>600</v>
      </c>
      <c r="AB446" s="17" t="s">
        <v>5211</v>
      </c>
      <c r="AC446" s="16" t="s">
        <v>71</v>
      </c>
      <c r="AD446" s="17" t="s">
        <v>5211</v>
      </c>
      <c r="AF446" s="17" t="s">
        <v>5212</v>
      </c>
      <c r="AG446" s="16" t="s">
        <v>5213</v>
      </c>
      <c r="AH446" s="16" t="s">
        <v>4320</v>
      </c>
      <c r="AI446" s="16" t="s">
        <v>578</v>
      </c>
      <c r="AJ446" s="16"/>
      <c r="AK446" s="16"/>
      <c r="AL446" s="16" t="s">
        <v>5214</v>
      </c>
    </row>
    <row r="447" spans="1:38" x14ac:dyDescent="0.5">
      <c r="A447">
        <v>20691</v>
      </c>
      <c r="B447" s="16" t="s">
        <v>5215</v>
      </c>
      <c r="C447" s="16" t="s">
        <v>5215</v>
      </c>
      <c r="D447" s="16" t="s">
        <v>485</v>
      </c>
      <c r="E447" s="16" t="s">
        <v>5216</v>
      </c>
      <c r="F447" s="17" t="s">
        <v>5217</v>
      </c>
      <c r="H447" s="16" t="s">
        <v>5218</v>
      </c>
      <c r="I447" s="16" t="s">
        <v>5219</v>
      </c>
      <c r="J447" s="33">
        <v>42096</v>
      </c>
      <c r="K447" s="33">
        <v>43465</v>
      </c>
      <c r="L447" s="16" t="s">
        <v>66</v>
      </c>
      <c r="M447" s="16" t="s">
        <v>235</v>
      </c>
      <c r="N447" s="16" t="s">
        <v>236</v>
      </c>
      <c r="O447" s="16" t="s">
        <v>237</v>
      </c>
      <c r="P447" s="16" t="s">
        <v>572</v>
      </c>
      <c r="Q447" s="16" t="s">
        <v>71</v>
      </c>
      <c r="R447" s="17" t="s">
        <v>5220</v>
      </c>
      <c r="S447" s="16" t="s">
        <v>1084</v>
      </c>
      <c r="T447" s="16" t="s">
        <v>74</v>
      </c>
      <c r="U447" s="16" t="s">
        <v>75</v>
      </c>
      <c r="V447" s="16" t="s">
        <v>5221</v>
      </c>
      <c r="W447" s="16"/>
      <c r="X447" s="16" t="s">
        <v>5222</v>
      </c>
      <c r="Y447" s="16" t="s">
        <v>78</v>
      </c>
      <c r="Z447" s="16" t="s">
        <v>635</v>
      </c>
      <c r="AA447" s="16" t="s">
        <v>636</v>
      </c>
      <c r="AB447" s="17" t="s">
        <v>5223</v>
      </c>
      <c r="AC447" s="16" t="s">
        <v>71</v>
      </c>
      <c r="AD447" s="17" t="s">
        <v>5223</v>
      </c>
      <c r="AF447" s="17" t="s">
        <v>5224</v>
      </c>
      <c r="AG447" s="16" t="s">
        <v>2747</v>
      </c>
      <c r="AH447" s="16" t="s">
        <v>1017</v>
      </c>
      <c r="AI447" s="16" t="s">
        <v>1720</v>
      </c>
      <c r="AJ447" s="16"/>
      <c r="AK447" s="16"/>
      <c r="AL447" s="16" t="s">
        <v>5225</v>
      </c>
    </row>
    <row r="448" spans="1:38" x14ac:dyDescent="0.5">
      <c r="A448">
        <v>20796</v>
      </c>
      <c r="B448" s="16" t="s">
        <v>5226</v>
      </c>
      <c r="C448" s="16" t="s">
        <v>5226</v>
      </c>
      <c r="D448" s="16"/>
      <c r="E448" s="16" t="s">
        <v>5227</v>
      </c>
      <c r="F448" s="17" t="s">
        <v>5228</v>
      </c>
      <c r="H448" s="16" t="s">
        <v>5229</v>
      </c>
      <c r="I448" s="16" t="s">
        <v>5230</v>
      </c>
      <c r="J448" s="33">
        <v>42830</v>
      </c>
      <c r="K448" s="33">
        <v>43465</v>
      </c>
      <c r="L448" s="16" t="s">
        <v>66</v>
      </c>
      <c r="M448" s="16" t="s">
        <v>67</v>
      </c>
      <c r="N448" s="16" t="s">
        <v>68</v>
      </c>
      <c r="O448" s="16" t="s">
        <v>436</v>
      </c>
      <c r="P448" s="16" t="s">
        <v>572</v>
      </c>
      <c r="Q448" s="16" t="s">
        <v>71</v>
      </c>
      <c r="R448" s="17" t="s">
        <v>5231</v>
      </c>
      <c r="S448" s="16" t="s">
        <v>1979</v>
      </c>
      <c r="T448" s="16" t="s">
        <v>74</v>
      </c>
      <c r="U448" s="16" t="s">
        <v>75</v>
      </c>
      <c r="V448" s="16" t="s">
        <v>5232</v>
      </c>
      <c r="W448" s="16"/>
      <c r="X448" s="16" t="s">
        <v>5233</v>
      </c>
      <c r="Y448" s="16" t="s">
        <v>78</v>
      </c>
      <c r="Z448" s="16" t="s">
        <v>1983</v>
      </c>
      <c r="AA448" s="16" t="s">
        <v>1984</v>
      </c>
      <c r="AB448" s="17" t="s">
        <v>5234</v>
      </c>
      <c r="AC448" s="16" t="s">
        <v>71</v>
      </c>
      <c r="AD448" s="17" t="s">
        <v>5234</v>
      </c>
      <c r="AF448" s="17" t="s">
        <v>5235</v>
      </c>
      <c r="AG448" s="16" t="s">
        <v>1233</v>
      </c>
      <c r="AH448" s="16" t="s">
        <v>3373</v>
      </c>
      <c r="AI448" s="16"/>
      <c r="AJ448" s="16"/>
      <c r="AK448" s="16"/>
      <c r="AL448" s="16" t="s">
        <v>456</v>
      </c>
    </row>
    <row r="449" spans="1:38" x14ac:dyDescent="0.5">
      <c r="A449">
        <v>20801</v>
      </c>
      <c r="B449" s="16" t="s">
        <v>3853</v>
      </c>
      <c r="C449" s="16" t="s">
        <v>3853</v>
      </c>
      <c r="D449" s="16"/>
      <c r="E449" s="16" t="s">
        <v>5236</v>
      </c>
      <c r="F449" s="17" t="s">
        <v>5237</v>
      </c>
      <c r="G449" s="17" t="s">
        <v>5238</v>
      </c>
      <c r="H449" s="16" t="s">
        <v>5239</v>
      </c>
      <c r="I449" s="16" t="s">
        <v>5240</v>
      </c>
      <c r="J449" s="33">
        <v>42720</v>
      </c>
      <c r="K449" s="33">
        <v>43465</v>
      </c>
      <c r="L449" s="16" t="s">
        <v>66</v>
      </c>
      <c r="M449" s="16" t="s">
        <v>67</v>
      </c>
      <c r="N449" s="16" t="s">
        <v>68</v>
      </c>
      <c r="O449" s="16" t="s">
        <v>436</v>
      </c>
      <c r="P449" s="16" t="s">
        <v>572</v>
      </c>
      <c r="Q449" s="16" t="s">
        <v>71</v>
      </c>
      <c r="R449" s="17" t="s">
        <v>5241</v>
      </c>
      <c r="S449" s="16" t="s">
        <v>5242</v>
      </c>
      <c r="T449" s="16" t="s">
        <v>242</v>
      </c>
      <c r="U449" s="16" t="s">
        <v>1633</v>
      </c>
      <c r="V449" s="16" t="s">
        <v>5243</v>
      </c>
      <c r="W449" s="16"/>
      <c r="X449" s="16" t="s">
        <v>5244</v>
      </c>
      <c r="Y449" s="16" t="s">
        <v>1633</v>
      </c>
      <c r="Z449" s="16" t="s">
        <v>1750</v>
      </c>
      <c r="AA449" s="16" t="s">
        <v>1751</v>
      </c>
      <c r="AB449" s="17" t="s">
        <v>5245</v>
      </c>
      <c r="AC449" s="16" t="s">
        <v>71</v>
      </c>
      <c r="AD449" s="17" t="s">
        <v>5245</v>
      </c>
      <c r="AF449" s="17" t="s">
        <v>5246</v>
      </c>
      <c r="AG449" s="16" t="s">
        <v>2817</v>
      </c>
      <c r="AH449" s="16" t="s">
        <v>5247</v>
      </c>
      <c r="AI449" s="16"/>
      <c r="AJ449" s="16"/>
      <c r="AK449" s="16"/>
      <c r="AL449" s="16" t="s">
        <v>5248</v>
      </c>
    </row>
    <row r="450" spans="1:38" x14ac:dyDescent="0.5">
      <c r="A450">
        <v>20831</v>
      </c>
      <c r="B450" s="16" t="s">
        <v>626</v>
      </c>
      <c r="C450" s="16" t="s">
        <v>626</v>
      </c>
      <c r="D450" s="16"/>
      <c r="E450" s="16" t="s">
        <v>5249</v>
      </c>
      <c r="F450" s="17" t="s">
        <v>5250</v>
      </c>
      <c r="H450" s="16" t="s">
        <v>5251</v>
      </c>
      <c r="I450" s="16" t="s">
        <v>5252</v>
      </c>
      <c r="J450" s="33">
        <v>43228</v>
      </c>
      <c r="K450" s="33">
        <v>43593</v>
      </c>
      <c r="L450" s="16" t="s">
        <v>66</v>
      </c>
      <c r="M450" s="16" t="s">
        <v>67</v>
      </c>
      <c r="N450" s="16" t="s">
        <v>68</v>
      </c>
      <c r="O450" s="16" t="s">
        <v>436</v>
      </c>
      <c r="P450" s="16"/>
      <c r="Q450" s="16" t="s">
        <v>71</v>
      </c>
      <c r="R450" s="17" t="s">
        <v>5253</v>
      </c>
      <c r="S450" s="16" t="s">
        <v>5254</v>
      </c>
      <c r="T450" s="16" t="s">
        <v>242</v>
      </c>
      <c r="U450" s="16" t="s">
        <v>1633</v>
      </c>
      <c r="V450" s="16" t="s">
        <v>5255</v>
      </c>
      <c r="W450" s="16"/>
      <c r="X450" s="16" t="s">
        <v>5256</v>
      </c>
      <c r="Y450" s="16" t="s">
        <v>1633</v>
      </c>
      <c r="Z450" s="16" t="s">
        <v>1750</v>
      </c>
      <c r="AA450" s="16" t="s">
        <v>1751</v>
      </c>
      <c r="AB450" s="17" t="s">
        <v>5257</v>
      </c>
      <c r="AC450" s="16" t="s">
        <v>71</v>
      </c>
      <c r="AD450" s="17" t="s">
        <v>5257</v>
      </c>
      <c r="AG450" s="16" t="s">
        <v>2290</v>
      </c>
      <c r="AH450" s="16" t="s">
        <v>4062</v>
      </c>
      <c r="AI450" s="16"/>
      <c r="AJ450" s="16"/>
      <c r="AK450" s="16"/>
      <c r="AL450" s="16" t="s">
        <v>5258</v>
      </c>
    </row>
    <row r="451" spans="1:38" x14ac:dyDescent="0.5">
      <c r="A451">
        <v>20832</v>
      </c>
      <c r="B451" s="16" t="s">
        <v>1639</v>
      </c>
      <c r="C451" s="16" t="s">
        <v>1639</v>
      </c>
      <c r="D451" s="16"/>
      <c r="E451" s="16" t="s">
        <v>5259</v>
      </c>
      <c r="F451" s="17" t="s">
        <v>5260</v>
      </c>
      <c r="H451" s="16" t="s">
        <v>1759</v>
      </c>
      <c r="I451" s="16" t="s">
        <v>5261</v>
      </c>
      <c r="J451" s="33">
        <v>42286</v>
      </c>
      <c r="K451" s="33">
        <v>43465</v>
      </c>
      <c r="L451" s="16" t="s">
        <v>66</v>
      </c>
      <c r="M451" s="16" t="s">
        <v>67</v>
      </c>
      <c r="N451" s="16" t="s">
        <v>68</v>
      </c>
      <c r="O451" s="16" t="s">
        <v>436</v>
      </c>
      <c r="P451" s="16"/>
      <c r="Q451" s="16" t="s">
        <v>71</v>
      </c>
      <c r="R451" s="17" t="s">
        <v>5262</v>
      </c>
      <c r="S451" s="16" t="s">
        <v>359</v>
      </c>
      <c r="T451" s="16" t="s">
        <v>74</v>
      </c>
      <c r="U451" s="16" t="s">
        <v>75</v>
      </c>
      <c r="V451" s="16" t="s">
        <v>5263</v>
      </c>
      <c r="W451" s="16" t="s">
        <v>5264</v>
      </c>
      <c r="X451" s="16" t="s">
        <v>5265</v>
      </c>
      <c r="Y451" s="16" t="s">
        <v>78</v>
      </c>
      <c r="Z451" s="16" t="s">
        <v>242</v>
      </c>
      <c r="AA451" s="16" t="s">
        <v>243</v>
      </c>
      <c r="AB451" s="17" t="s">
        <v>5266</v>
      </c>
      <c r="AC451" s="16" t="s">
        <v>71</v>
      </c>
      <c r="AD451" s="17" t="s">
        <v>5266</v>
      </c>
      <c r="AF451" s="17" t="s">
        <v>5267</v>
      </c>
      <c r="AG451" s="16" t="s">
        <v>1524</v>
      </c>
      <c r="AH451" s="16" t="s">
        <v>5268</v>
      </c>
      <c r="AI451" s="16"/>
      <c r="AJ451" s="16"/>
      <c r="AK451" s="16"/>
      <c r="AL451" s="16" t="s">
        <v>5269</v>
      </c>
    </row>
    <row r="452" spans="1:38" x14ac:dyDescent="0.5">
      <c r="A452">
        <v>20835</v>
      </c>
      <c r="B452" s="16" t="s">
        <v>5270</v>
      </c>
      <c r="C452" s="16" t="s">
        <v>5270</v>
      </c>
      <c r="D452" s="16"/>
      <c r="E452" s="16" t="s">
        <v>5271</v>
      </c>
      <c r="F452" s="17" t="s">
        <v>5272</v>
      </c>
      <c r="G452" s="17" t="s">
        <v>5273</v>
      </c>
      <c r="H452" s="16" t="s">
        <v>5274</v>
      </c>
      <c r="I452" s="16" t="s">
        <v>5275</v>
      </c>
      <c r="J452" s="33">
        <v>42118</v>
      </c>
      <c r="K452" s="33">
        <v>43465</v>
      </c>
      <c r="L452" s="16" t="s">
        <v>66</v>
      </c>
      <c r="M452" s="16" t="s">
        <v>67</v>
      </c>
      <c r="N452" s="16" t="s">
        <v>68</v>
      </c>
      <c r="O452" s="16" t="s">
        <v>436</v>
      </c>
      <c r="P452" s="16" t="s">
        <v>572</v>
      </c>
      <c r="Q452" s="16" t="s">
        <v>71</v>
      </c>
      <c r="R452" s="17" t="s">
        <v>5276</v>
      </c>
      <c r="S452" s="16" t="s">
        <v>222</v>
      </c>
      <c r="T452" s="16" t="s">
        <v>74</v>
      </c>
      <c r="U452" s="16" t="s">
        <v>75</v>
      </c>
      <c r="V452" s="16" t="s">
        <v>5277</v>
      </c>
      <c r="W452" s="16"/>
      <c r="X452" s="16" t="s">
        <v>2153</v>
      </c>
      <c r="Y452" s="16" t="s">
        <v>78</v>
      </c>
      <c r="Z452" s="16" t="s">
        <v>189</v>
      </c>
      <c r="AA452" s="16" t="s">
        <v>190</v>
      </c>
      <c r="AB452" s="17" t="s">
        <v>5278</v>
      </c>
      <c r="AC452" s="16" t="s">
        <v>71</v>
      </c>
      <c r="AD452" s="17" t="s">
        <v>5278</v>
      </c>
      <c r="AF452" s="17" t="s">
        <v>5279</v>
      </c>
      <c r="AG452" s="16" t="s">
        <v>1030</v>
      </c>
      <c r="AH452" s="16" t="s">
        <v>2552</v>
      </c>
      <c r="AI452" s="16"/>
      <c r="AJ452" s="16"/>
      <c r="AK452" s="16"/>
      <c r="AL452" s="16" t="s">
        <v>5280</v>
      </c>
    </row>
    <row r="453" spans="1:38" x14ac:dyDescent="0.5">
      <c r="A453">
        <v>20837</v>
      </c>
      <c r="B453" s="16" t="s">
        <v>5281</v>
      </c>
      <c r="C453" s="16" t="s">
        <v>5281</v>
      </c>
      <c r="D453" s="16"/>
      <c r="E453" s="16" t="s">
        <v>5282</v>
      </c>
      <c r="F453" s="17" t="s">
        <v>5283</v>
      </c>
      <c r="H453" s="16" t="s">
        <v>5284</v>
      </c>
      <c r="I453" s="16" t="s">
        <v>5285</v>
      </c>
      <c r="J453" s="33">
        <v>42129</v>
      </c>
      <c r="K453" s="33">
        <v>43465</v>
      </c>
      <c r="L453" s="16" t="s">
        <v>66</v>
      </c>
      <c r="M453" s="16" t="s">
        <v>67</v>
      </c>
      <c r="N453" s="16" t="s">
        <v>68</v>
      </c>
      <c r="O453" s="16" t="s">
        <v>436</v>
      </c>
      <c r="P453" s="16" t="s">
        <v>572</v>
      </c>
      <c r="Q453" s="16" t="s">
        <v>71</v>
      </c>
      <c r="R453" s="17" t="s">
        <v>5286</v>
      </c>
      <c r="S453" s="16" t="s">
        <v>5287</v>
      </c>
      <c r="T453" s="16" t="s">
        <v>74</v>
      </c>
      <c r="U453" s="16" t="s">
        <v>75</v>
      </c>
      <c r="V453" s="16" t="s">
        <v>5288</v>
      </c>
      <c r="W453" s="16"/>
      <c r="X453" s="16" t="s">
        <v>5289</v>
      </c>
      <c r="Y453" s="16" t="s">
        <v>78</v>
      </c>
      <c r="Z453" s="16" t="s">
        <v>296</v>
      </c>
      <c r="AA453" s="16" t="s">
        <v>297</v>
      </c>
      <c r="AB453" s="17" t="s">
        <v>5290</v>
      </c>
      <c r="AC453" s="16" t="s">
        <v>71</v>
      </c>
      <c r="AD453" s="17" t="s">
        <v>5290</v>
      </c>
      <c r="AG453" s="16" t="s">
        <v>1673</v>
      </c>
      <c r="AH453" s="16" t="s">
        <v>579</v>
      </c>
      <c r="AI453" s="16"/>
      <c r="AJ453" s="16"/>
      <c r="AK453" s="16"/>
      <c r="AL453" s="16" t="s">
        <v>5291</v>
      </c>
    </row>
    <row r="454" spans="1:38" x14ac:dyDescent="0.5">
      <c r="A454">
        <v>20838</v>
      </c>
      <c r="B454" s="16" t="s">
        <v>1391</v>
      </c>
      <c r="C454" s="16" t="s">
        <v>1391</v>
      </c>
      <c r="D454" s="16"/>
      <c r="E454" s="16" t="s">
        <v>5292</v>
      </c>
      <c r="F454" s="17" t="s">
        <v>5293</v>
      </c>
      <c r="H454" s="16" t="s">
        <v>5294</v>
      </c>
      <c r="I454" s="16" t="s">
        <v>5295</v>
      </c>
      <c r="J454" s="33">
        <v>42235</v>
      </c>
      <c r="K454" s="33">
        <v>43465</v>
      </c>
      <c r="L454" s="16" t="s">
        <v>66</v>
      </c>
      <c r="M454" s="16" t="s">
        <v>67</v>
      </c>
      <c r="N454" s="16" t="s">
        <v>68</v>
      </c>
      <c r="O454" s="16" t="s">
        <v>436</v>
      </c>
      <c r="P454" s="16" t="s">
        <v>572</v>
      </c>
      <c r="Q454" s="16" t="s">
        <v>71</v>
      </c>
      <c r="R454" s="17" t="s">
        <v>5296</v>
      </c>
      <c r="S454" s="16" t="s">
        <v>5297</v>
      </c>
      <c r="T454" s="16" t="s">
        <v>74</v>
      </c>
      <c r="U454" s="16" t="s">
        <v>75</v>
      </c>
      <c r="V454" s="16" t="s">
        <v>5298</v>
      </c>
      <c r="W454" s="16"/>
      <c r="X454" s="16" t="s">
        <v>5299</v>
      </c>
      <c r="Y454" s="16" t="s">
        <v>78</v>
      </c>
      <c r="Z454" s="16" t="s">
        <v>242</v>
      </c>
      <c r="AA454" s="16" t="s">
        <v>243</v>
      </c>
      <c r="AB454" s="17" t="s">
        <v>5300</v>
      </c>
      <c r="AC454" s="16" t="s">
        <v>71</v>
      </c>
      <c r="AD454" s="17" t="s">
        <v>5300</v>
      </c>
      <c r="AE454" s="17" t="s">
        <v>5301</v>
      </c>
      <c r="AG454" s="16" t="s">
        <v>781</v>
      </c>
      <c r="AH454" s="16" t="s">
        <v>1884</v>
      </c>
      <c r="AI454" s="16"/>
      <c r="AJ454" s="16"/>
      <c r="AK454" s="16"/>
      <c r="AL454" s="16" t="s">
        <v>5302</v>
      </c>
    </row>
    <row r="455" spans="1:38" x14ac:dyDescent="0.5">
      <c r="A455">
        <v>20841</v>
      </c>
      <c r="B455" s="16" t="s">
        <v>5303</v>
      </c>
      <c r="C455" s="16" t="s">
        <v>5303</v>
      </c>
      <c r="D455" s="16"/>
      <c r="E455" s="16" t="s">
        <v>5304</v>
      </c>
      <c r="F455" s="17" t="s">
        <v>5305</v>
      </c>
      <c r="H455" s="16" t="s">
        <v>5306</v>
      </c>
      <c r="I455" s="16" t="s">
        <v>5307</v>
      </c>
      <c r="J455" s="33">
        <v>42237</v>
      </c>
      <c r="K455" s="33">
        <v>43465</v>
      </c>
      <c r="L455" s="16" t="s">
        <v>66</v>
      </c>
      <c r="M455" s="16" t="s">
        <v>90</v>
      </c>
      <c r="N455" s="16" t="s">
        <v>91</v>
      </c>
      <c r="O455" s="16" t="s">
        <v>91</v>
      </c>
      <c r="P455" s="16" t="s">
        <v>572</v>
      </c>
      <c r="Q455" s="16" t="s">
        <v>71</v>
      </c>
      <c r="R455" s="17" t="s">
        <v>5308</v>
      </c>
      <c r="S455" s="16" t="s">
        <v>5297</v>
      </c>
      <c r="T455" s="16" t="s">
        <v>74</v>
      </c>
      <c r="U455" s="16" t="s">
        <v>75</v>
      </c>
      <c r="V455" s="16" t="s">
        <v>5307</v>
      </c>
      <c r="W455" s="16" t="s">
        <v>5309</v>
      </c>
      <c r="X455" s="16" t="s">
        <v>5310</v>
      </c>
      <c r="Y455" s="16" t="s">
        <v>78</v>
      </c>
      <c r="Z455" s="16" t="s">
        <v>242</v>
      </c>
      <c r="AA455" s="16" t="s">
        <v>243</v>
      </c>
      <c r="AB455" s="17" t="s">
        <v>5311</v>
      </c>
      <c r="AC455" s="16" t="s">
        <v>71</v>
      </c>
      <c r="AD455" s="17" t="s">
        <v>5311</v>
      </c>
      <c r="AF455" s="17" t="s">
        <v>5312</v>
      </c>
      <c r="AG455" s="16" t="s">
        <v>5313</v>
      </c>
      <c r="AH455" s="16" t="s">
        <v>780</v>
      </c>
      <c r="AI455" s="16"/>
      <c r="AJ455" s="16"/>
      <c r="AK455" s="16"/>
      <c r="AL455" s="16" t="s">
        <v>5314</v>
      </c>
    </row>
    <row r="456" spans="1:38" x14ac:dyDescent="0.5">
      <c r="A456">
        <v>20842</v>
      </c>
      <c r="B456" s="16" t="s">
        <v>5315</v>
      </c>
      <c r="C456" s="16" t="s">
        <v>5315</v>
      </c>
      <c r="D456" s="16"/>
      <c r="E456" s="16" t="s">
        <v>5316</v>
      </c>
      <c r="F456" s="17" t="s">
        <v>5317</v>
      </c>
      <c r="H456" s="16" t="s">
        <v>5318</v>
      </c>
      <c r="I456" s="16" t="s">
        <v>8619</v>
      </c>
      <c r="J456" s="33">
        <v>42139</v>
      </c>
      <c r="K456" s="33">
        <v>43465</v>
      </c>
      <c r="L456" s="16" t="s">
        <v>66</v>
      </c>
      <c r="M456" s="16" t="s">
        <v>90</v>
      </c>
      <c r="N456" s="16" t="s">
        <v>91</v>
      </c>
      <c r="O456" s="16" t="s">
        <v>91</v>
      </c>
      <c r="P456" s="16" t="s">
        <v>572</v>
      </c>
      <c r="Q456" s="16" t="s">
        <v>71</v>
      </c>
      <c r="R456" s="17" t="s">
        <v>5319</v>
      </c>
      <c r="S456" s="16" t="s">
        <v>5320</v>
      </c>
      <c r="T456" s="16" t="s">
        <v>74</v>
      </c>
      <c r="U456" s="16" t="s">
        <v>75</v>
      </c>
      <c r="V456" s="16" t="s">
        <v>5321</v>
      </c>
      <c r="W456" s="16"/>
      <c r="X456" s="16" t="s">
        <v>5322</v>
      </c>
      <c r="Y456" s="16" t="s">
        <v>78</v>
      </c>
      <c r="Z456" s="16" t="s">
        <v>1924</v>
      </c>
      <c r="AA456" s="16" t="s">
        <v>1925</v>
      </c>
      <c r="AB456" s="17" t="s">
        <v>5323</v>
      </c>
      <c r="AC456" s="16" t="s">
        <v>71</v>
      </c>
      <c r="AD456" s="17" t="s">
        <v>5323</v>
      </c>
      <c r="AE456" s="17" t="s">
        <v>5324</v>
      </c>
      <c r="AG456" s="16" t="s">
        <v>4760</v>
      </c>
      <c r="AH456" s="16" t="s">
        <v>899</v>
      </c>
      <c r="AI456" s="16"/>
      <c r="AJ456" s="16"/>
      <c r="AK456" s="16"/>
      <c r="AL456" s="16" t="s">
        <v>5325</v>
      </c>
    </row>
    <row r="457" spans="1:38" x14ac:dyDescent="0.5">
      <c r="A457">
        <v>20844</v>
      </c>
      <c r="B457" s="16" t="s">
        <v>5326</v>
      </c>
      <c r="C457" s="16" t="s">
        <v>5326</v>
      </c>
      <c r="D457" s="16"/>
      <c r="E457" s="16" t="s">
        <v>5327</v>
      </c>
      <c r="F457" s="17" t="s">
        <v>5328</v>
      </c>
      <c r="H457" s="16" t="s">
        <v>5329</v>
      </c>
      <c r="I457" s="16" t="s">
        <v>2352</v>
      </c>
      <c r="J457" s="33">
        <v>42122</v>
      </c>
      <c r="K457" s="33">
        <v>43465</v>
      </c>
      <c r="L457" s="16" t="s">
        <v>66</v>
      </c>
      <c r="M457" s="16" t="s">
        <v>235</v>
      </c>
      <c r="N457" s="16" t="s">
        <v>236</v>
      </c>
      <c r="O457" s="16" t="s">
        <v>237</v>
      </c>
      <c r="P457" s="16" t="s">
        <v>572</v>
      </c>
      <c r="Q457" s="16" t="s">
        <v>71</v>
      </c>
      <c r="R457" s="17" t="s">
        <v>5330</v>
      </c>
      <c r="S457" s="16" t="s">
        <v>662</v>
      </c>
      <c r="T457" s="16" t="s">
        <v>74</v>
      </c>
      <c r="U457" s="16" t="s">
        <v>75</v>
      </c>
      <c r="V457" s="16" t="s">
        <v>5331</v>
      </c>
      <c r="W457" s="16"/>
      <c r="X457" s="16" t="s">
        <v>5332</v>
      </c>
      <c r="Y457" s="16" t="s">
        <v>78</v>
      </c>
      <c r="Z457" s="16" t="s">
        <v>666</v>
      </c>
      <c r="AA457" s="16" t="s">
        <v>667</v>
      </c>
      <c r="AB457" s="17" t="s">
        <v>5333</v>
      </c>
      <c r="AC457" s="16" t="s">
        <v>71</v>
      </c>
      <c r="AD457" s="17" t="s">
        <v>5333</v>
      </c>
      <c r="AF457" s="17" t="s">
        <v>5334</v>
      </c>
      <c r="AG457" s="16" t="s">
        <v>1285</v>
      </c>
      <c r="AH457" s="16" t="s">
        <v>1784</v>
      </c>
      <c r="AI457" s="16"/>
      <c r="AJ457" s="16"/>
      <c r="AK457" s="16"/>
      <c r="AL457" s="16" t="s">
        <v>5335</v>
      </c>
    </row>
    <row r="458" spans="1:38" x14ac:dyDescent="0.5">
      <c r="A458">
        <v>20845</v>
      </c>
      <c r="B458" s="16" t="s">
        <v>5336</v>
      </c>
      <c r="C458" s="16" t="s">
        <v>5336</v>
      </c>
      <c r="D458" s="16"/>
      <c r="E458" s="16" t="s">
        <v>5337</v>
      </c>
      <c r="F458" s="17" t="s">
        <v>5338</v>
      </c>
      <c r="G458" s="17" t="s">
        <v>5339</v>
      </c>
      <c r="H458" s="16" t="s">
        <v>5340</v>
      </c>
      <c r="I458" s="16" t="s">
        <v>5341</v>
      </c>
      <c r="J458" s="33">
        <v>42118</v>
      </c>
      <c r="K458" s="33">
        <v>43465</v>
      </c>
      <c r="L458" s="16" t="s">
        <v>66</v>
      </c>
      <c r="M458" s="16" t="s">
        <v>67</v>
      </c>
      <c r="N458" s="16" t="s">
        <v>68</v>
      </c>
      <c r="O458" s="16" t="s">
        <v>436</v>
      </c>
      <c r="P458" s="16" t="s">
        <v>572</v>
      </c>
      <c r="Q458" s="16" t="s">
        <v>71</v>
      </c>
      <c r="R458" s="17" t="s">
        <v>5342</v>
      </c>
      <c r="S458" s="16" t="s">
        <v>5343</v>
      </c>
      <c r="T458" s="16" t="s">
        <v>740</v>
      </c>
      <c r="U458" s="16" t="s">
        <v>741</v>
      </c>
      <c r="V458" s="16" t="s">
        <v>5344</v>
      </c>
      <c r="W458" s="16"/>
      <c r="X458" s="16" t="s">
        <v>5345</v>
      </c>
      <c r="Y458" s="16" t="s">
        <v>744</v>
      </c>
      <c r="Z458" s="16"/>
      <c r="AA458" s="16"/>
      <c r="AB458" s="17" t="s">
        <v>5346</v>
      </c>
      <c r="AC458" s="16" t="s">
        <v>71</v>
      </c>
      <c r="AD458" s="17" t="s">
        <v>5346</v>
      </c>
      <c r="AF458" s="17" t="s">
        <v>5347</v>
      </c>
      <c r="AG458" s="16" t="s">
        <v>4063</v>
      </c>
      <c r="AH458" s="16" t="s">
        <v>3225</v>
      </c>
      <c r="AI458" s="16"/>
      <c r="AJ458" s="16"/>
      <c r="AK458" s="16"/>
      <c r="AL458" s="16" t="s">
        <v>5348</v>
      </c>
    </row>
    <row r="459" spans="1:38" x14ac:dyDescent="0.5">
      <c r="A459">
        <v>20869</v>
      </c>
      <c r="B459" s="16" t="s">
        <v>5349</v>
      </c>
      <c r="C459" s="16" t="s">
        <v>5349</v>
      </c>
      <c r="D459" s="16"/>
      <c r="E459" s="16" t="s">
        <v>5350</v>
      </c>
      <c r="F459" s="17" t="s">
        <v>8620</v>
      </c>
      <c r="H459" s="16" t="s">
        <v>2328</v>
      </c>
      <c r="I459" s="16" t="s">
        <v>8621</v>
      </c>
      <c r="J459" s="33">
        <v>42382</v>
      </c>
      <c r="K459" s="33">
        <v>43465</v>
      </c>
      <c r="L459" s="16" t="s">
        <v>66</v>
      </c>
      <c r="M459" s="16" t="s">
        <v>67</v>
      </c>
      <c r="N459" s="16" t="s">
        <v>68</v>
      </c>
      <c r="O459" s="16" t="s">
        <v>4047</v>
      </c>
      <c r="P459" s="16" t="s">
        <v>4047</v>
      </c>
      <c r="Q459" s="16" t="s">
        <v>71</v>
      </c>
      <c r="R459" s="17" t="s">
        <v>5351</v>
      </c>
      <c r="S459" s="16" t="s">
        <v>5352</v>
      </c>
      <c r="T459" s="16" t="s">
        <v>2596</v>
      </c>
      <c r="U459" s="16" t="s">
        <v>2597</v>
      </c>
      <c r="V459" s="16" t="s">
        <v>5353</v>
      </c>
      <c r="W459" s="16" t="s">
        <v>5354</v>
      </c>
      <c r="X459" s="16" t="s">
        <v>5355</v>
      </c>
      <c r="Y459" s="16" t="s">
        <v>744</v>
      </c>
      <c r="Z459" s="16"/>
      <c r="AA459" s="16"/>
      <c r="AB459" s="17" t="s">
        <v>8622</v>
      </c>
      <c r="AC459" s="16" t="s">
        <v>71</v>
      </c>
      <c r="AD459" s="17" t="s">
        <v>8622</v>
      </c>
      <c r="AE459" s="17" t="s">
        <v>5356</v>
      </c>
      <c r="AG459" s="16" t="s">
        <v>5357</v>
      </c>
      <c r="AH459" s="16" t="s">
        <v>2632</v>
      </c>
      <c r="AI459" s="16"/>
      <c r="AJ459" s="16"/>
      <c r="AK459" s="16"/>
      <c r="AL459" s="16" t="s">
        <v>5358</v>
      </c>
    </row>
    <row r="460" spans="1:38" x14ac:dyDescent="0.5">
      <c r="A460">
        <v>20886</v>
      </c>
      <c r="B460" s="16" t="s">
        <v>5359</v>
      </c>
      <c r="C460" s="16" t="s">
        <v>5359</v>
      </c>
      <c r="D460" s="16"/>
      <c r="E460" s="16" t="s">
        <v>5360</v>
      </c>
      <c r="F460" s="17" t="s">
        <v>5361</v>
      </c>
      <c r="G460" s="17" t="s">
        <v>5362</v>
      </c>
      <c r="H460" s="16" t="s">
        <v>2039</v>
      </c>
      <c r="I460" s="16" t="s">
        <v>8623</v>
      </c>
      <c r="J460" s="33">
        <v>42916</v>
      </c>
      <c r="K460" s="33">
        <v>43465</v>
      </c>
      <c r="L460" s="16" t="s">
        <v>66</v>
      </c>
      <c r="M460" s="16" t="s">
        <v>67</v>
      </c>
      <c r="N460" s="16" t="s">
        <v>68</v>
      </c>
      <c r="O460" s="16" t="s">
        <v>436</v>
      </c>
      <c r="P460" s="16" t="s">
        <v>572</v>
      </c>
      <c r="Q460" s="16" t="s">
        <v>71</v>
      </c>
      <c r="R460" s="17" t="s">
        <v>5363</v>
      </c>
      <c r="S460" s="16" t="s">
        <v>5364</v>
      </c>
      <c r="T460" s="16" t="s">
        <v>74</v>
      </c>
      <c r="U460" s="16" t="s">
        <v>75</v>
      </c>
      <c r="V460" s="16" t="s">
        <v>5365</v>
      </c>
      <c r="W460" s="16"/>
      <c r="X460" s="16" t="s">
        <v>5366</v>
      </c>
      <c r="Y460" s="16" t="s">
        <v>78</v>
      </c>
      <c r="Z460" s="16" t="s">
        <v>172</v>
      </c>
      <c r="AA460" s="16" t="s">
        <v>173</v>
      </c>
      <c r="AB460" s="17" t="s">
        <v>5367</v>
      </c>
      <c r="AC460" s="16" t="s">
        <v>71</v>
      </c>
      <c r="AD460" s="17" t="s">
        <v>5367</v>
      </c>
      <c r="AE460" s="17" t="s">
        <v>5368</v>
      </c>
      <c r="AG460" s="16" t="s">
        <v>1245</v>
      </c>
      <c r="AH460" s="16" t="s">
        <v>5369</v>
      </c>
      <c r="AI460" s="16"/>
      <c r="AJ460" s="16"/>
      <c r="AK460" s="16"/>
      <c r="AL460" s="16" t="s">
        <v>5370</v>
      </c>
    </row>
    <row r="461" spans="1:38" x14ac:dyDescent="0.5">
      <c r="A461">
        <v>20891</v>
      </c>
      <c r="B461" s="16" t="s">
        <v>2635</v>
      </c>
      <c r="C461" s="16" t="s">
        <v>2635</v>
      </c>
      <c r="D461" s="16"/>
      <c r="E461" s="16" t="s">
        <v>5371</v>
      </c>
      <c r="F461" s="17" t="s">
        <v>5372</v>
      </c>
      <c r="G461" s="17" t="s">
        <v>5373</v>
      </c>
      <c r="H461" s="16" t="s">
        <v>445</v>
      </c>
      <c r="I461" s="16" t="s">
        <v>7014</v>
      </c>
      <c r="J461" s="33">
        <v>42212</v>
      </c>
      <c r="K461" s="33">
        <v>43465</v>
      </c>
      <c r="L461" s="16" t="s">
        <v>66</v>
      </c>
      <c r="M461" s="16" t="s">
        <v>67</v>
      </c>
      <c r="N461" s="16" t="s">
        <v>68</v>
      </c>
      <c r="O461" s="16" t="s">
        <v>1109</v>
      </c>
      <c r="P461" s="16" t="s">
        <v>2947</v>
      </c>
      <c r="Q461" s="16" t="s">
        <v>71</v>
      </c>
      <c r="R461" s="17" t="s">
        <v>5374</v>
      </c>
      <c r="S461" s="16" t="s">
        <v>359</v>
      </c>
      <c r="T461" s="16" t="s">
        <v>74</v>
      </c>
      <c r="U461" s="16" t="s">
        <v>75</v>
      </c>
      <c r="V461" s="16" t="s">
        <v>5375</v>
      </c>
      <c r="W461" s="16" t="s">
        <v>5376</v>
      </c>
      <c r="X461" s="16" t="s">
        <v>5377</v>
      </c>
      <c r="Y461" s="16" t="s">
        <v>78</v>
      </c>
      <c r="Z461" s="16" t="s">
        <v>242</v>
      </c>
      <c r="AA461" s="16" t="s">
        <v>243</v>
      </c>
      <c r="AB461" s="17" t="s">
        <v>5378</v>
      </c>
      <c r="AC461" s="16" t="s">
        <v>71</v>
      </c>
      <c r="AD461" s="17" t="s">
        <v>5378</v>
      </c>
      <c r="AE461" s="17" t="s">
        <v>5379</v>
      </c>
      <c r="AF461" s="17" t="s">
        <v>5380</v>
      </c>
      <c r="AG461" s="16" t="s">
        <v>3540</v>
      </c>
      <c r="AH461" s="16" t="s">
        <v>5381</v>
      </c>
      <c r="AI461" s="16"/>
      <c r="AJ461" s="16"/>
      <c r="AK461" s="16"/>
      <c r="AL461" s="16" t="s">
        <v>5248</v>
      </c>
    </row>
    <row r="462" spans="1:38" x14ac:dyDescent="0.5">
      <c r="A462">
        <v>20893</v>
      </c>
      <c r="B462" s="16" t="s">
        <v>4349</v>
      </c>
      <c r="C462" s="16" t="s">
        <v>4349</v>
      </c>
      <c r="D462" s="16" t="s">
        <v>581</v>
      </c>
      <c r="E462" s="16" t="s">
        <v>5382</v>
      </c>
      <c r="F462" s="17" t="s">
        <v>5383</v>
      </c>
      <c r="H462" s="16" t="s">
        <v>5384</v>
      </c>
      <c r="I462" s="16" t="s">
        <v>5385</v>
      </c>
      <c r="J462" s="33">
        <v>42193</v>
      </c>
      <c r="K462" s="33">
        <v>43465</v>
      </c>
      <c r="L462" s="16" t="s">
        <v>66</v>
      </c>
      <c r="M462" s="16" t="s">
        <v>67</v>
      </c>
      <c r="N462" s="16" t="s">
        <v>68</v>
      </c>
      <c r="O462" s="16" t="s">
        <v>436</v>
      </c>
      <c r="P462" s="16" t="s">
        <v>572</v>
      </c>
      <c r="Q462" s="16" t="s">
        <v>71</v>
      </c>
      <c r="R462" s="17" t="s">
        <v>5386</v>
      </c>
      <c r="S462" s="16" t="s">
        <v>662</v>
      </c>
      <c r="T462" s="16" t="s">
        <v>74</v>
      </c>
      <c r="U462" s="16" t="s">
        <v>75</v>
      </c>
      <c r="V462" s="16" t="s">
        <v>5387</v>
      </c>
      <c r="W462" s="16"/>
      <c r="X462" s="16" t="s">
        <v>1183</v>
      </c>
      <c r="Y462" s="16" t="s">
        <v>78</v>
      </c>
      <c r="Z462" s="16" t="s">
        <v>666</v>
      </c>
      <c r="AA462" s="16" t="s">
        <v>667</v>
      </c>
      <c r="AB462" s="17" t="s">
        <v>5388</v>
      </c>
      <c r="AC462" s="16" t="s">
        <v>71</v>
      </c>
      <c r="AD462" s="17" t="s">
        <v>5388</v>
      </c>
      <c r="AE462" s="17" t="s">
        <v>5389</v>
      </c>
      <c r="AF462" s="17" t="s">
        <v>5390</v>
      </c>
      <c r="AG462" s="16" t="s">
        <v>2552</v>
      </c>
      <c r="AH462" s="16" t="s">
        <v>2297</v>
      </c>
      <c r="AI462" s="16"/>
      <c r="AJ462" s="16"/>
      <c r="AK462" s="16"/>
      <c r="AL462" s="16" t="s">
        <v>5391</v>
      </c>
    </row>
    <row r="463" spans="1:38" x14ac:dyDescent="0.5">
      <c r="A463">
        <v>20895</v>
      </c>
      <c r="B463" s="16" t="s">
        <v>1504</v>
      </c>
      <c r="C463" s="16" t="s">
        <v>1504</v>
      </c>
      <c r="D463" s="16"/>
      <c r="E463" s="16" t="s">
        <v>5392</v>
      </c>
      <c r="F463" s="17" t="s">
        <v>5393</v>
      </c>
      <c r="H463" s="16" t="s">
        <v>5394</v>
      </c>
      <c r="I463" s="16" t="s">
        <v>5395</v>
      </c>
      <c r="J463" s="33">
        <v>42184</v>
      </c>
      <c r="K463" s="33">
        <v>43465</v>
      </c>
      <c r="L463" s="16" t="s">
        <v>66</v>
      </c>
      <c r="M463" s="16" t="s">
        <v>67</v>
      </c>
      <c r="N463" s="16" t="s">
        <v>68</v>
      </c>
      <c r="O463" s="16" t="s">
        <v>436</v>
      </c>
      <c r="P463" s="16" t="s">
        <v>572</v>
      </c>
      <c r="Q463" s="16" t="s">
        <v>71</v>
      </c>
      <c r="R463" s="17" t="s">
        <v>5396</v>
      </c>
      <c r="S463" s="16" t="s">
        <v>752</v>
      </c>
      <c r="T463" s="16" t="s">
        <v>74</v>
      </c>
      <c r="U463" s="16" t="s">
        <v>75</v>
      </c>
      <c r="V463" s="16" t="s">
        <v>5397</v>
      </c>
      <c r="W463" s="16"/>
      <c r="X463" s="16" t="s">
        <v>5398</v>
      </c>
      <c r="Y463" s="16" t="s">
        <v>78</v>
      </c>
      <c r="Z463" s="16" t="s">
        <v>132</v>
      </c>
      <c r="AA463" s="16" t="s">
        <v>133</v>
      </c>
      <c r="AB463" s="17" t="s">
        <v>5399</v>
      </c>
      <c r="AC463" s="16" t="s">
        <v>71</v>
      </c>
      <c r="AD463" s="17" t="s">
        <v>5399</v>
      </c>
      <c r="AE463" s="17" t="s">
        <v>5400</v>
      </c>
      <c r="AG463" s="16" t="s">
        <v>2094</v>
      </c>
      <c r="AH463" s="16" t="s">
        <v>1285</v>
      </c>
      <c r="AI463" s="16"/>
      <c r="AJ463" s="16"/>
      <c r="AK463" s="16"/>
      <c r="AL463" s="16" t="s">
        <v>5401</v>
      </c>
    </row>
    <row r="464" spans="1:38" x14ac:dyDescent="0.5">
      <c r="A464">
        <v>20897</v>
      </c>
      <c r="B464" s="16" t="s">
        <v>420</v>
      </c>
      <c r="C464" s="16" t="s">
        <v>420</v>
      </c>
      <c r="D464" s="16"/>
      <c r="E464" s="16" t="s">
        <v>5402</v>
      </c>
      <c r="F464" s="17" t="s">
        <v>5403</v>
      </c>
      <c r="G464" s="17" t="s">
        <v>5404</v>
      </c>
      <c r="H464" s="16" t="s">
        <v>5405</v>
      </c>
      <c r="I464" s="16" t="s">
        <v>5406</v>
      </c>
      <c r="J464" s="33">
        <v>42192</v>
      </c>
      <c r="K464" s="33">
        <v>43465</v>
      </c>
      <c r="L464" s="16" t="s">
        <v>66</v>
      </c>
      <c r="M464" s="16" t="s">
        <v>67</v>
      </c>
      <c r="N464" s="16" t="s">
        <v>68</v>
      </c>
      <c r="O464" s="16" t="s">
        <v>436</v>
      </c>
      <c r="P464" s="16" t="s">
        <v>572</v>
      </c>
      <c r="Q464" s="16" t="s">
        <v>71</v>
      </c>
      <c r="R464" s="17" t="s">
        <v>5407</v>
      </c>
      <c r="S464" s="16" t="s">
        <v>662</v>
      </c>
      <c r="T464" s="16" t="s">
        <v>74</v>
      </c>
      <c r="U464" s="16" t="s">
        <v>75</v>
      </c>
      <c r="V464" s="16" t="s">
        <v>5408</v>
      </c>
      <c r="W464" s="16"/>
      <c r="X464" s="16" t="s">
        <v>1183</v>
      </c>
      <c r="Y464" s="16" t="s">
        <v>78</v>
      </c>
      <c r="Z464" s="16" t="s">
        <v>666</v>
      </c>
      <c r="AA464" s="16" t="s">
        <v>667</v>
      </c>
      <c r="AB464" s="17" t="s">
        <v>5409</v>
      </c>
      <c r="AC464" s="16" t="s">
        <v>71</v>
      </c>
      <c r="AD464" s="17" t="s">
        <v>5409</v>
      </c>
      <c r="AF464" s="17" t="s">
        <v>5410</v>
      </c>
      <c r="AG464" s="16" t="s">
        <v>3540</v>
      </c>
      <c r="AH464" s="16" t="s">
        <v>2434</v>
      </c>
      <c r="AI464" s="16"/>
      <c r="AJ464" s="16"/>
      <c r="AK464" s="16"/>
      <c r="AL464" s="16" t="s">
        <v>5411</v>
      </c>
    </row>
    <row r="465" spans="1:38" x14ac:dyDescent="0.5">
      <c r="A465">
        <v>20899</v>
      </c>
      <c r="B465" s="16" t="s">
        <v>326</v>
      </c>
      <c r="C465" s="16" t="s">
        <v>326</v>
      </c>
      <c r="D465" s="16"/>
      <c r="E465" s="16" t="s">
        <v>5412</v>
      </c>
      <c r="F465" s="17" t="s">
        <v>5413</v>
      </c>
      <c r="G465" s="17" t="s">
        <v>5414</v>
      </c>
      <c r="H465" s="16" t="s">
        <v>5415</v>
      </c>
      <c r="I465" s="16" t="s">
        <v>5416</v>
      </c>
      <c r="J465" s="33">
        <v>42185</v>
      </c>
      <c r="K465" s="33">
        <v>43465</v>
      </c>
      <c r="L465" s="16" t="s">
        <v>66</v>
      </c>
      <c r="M465" s="16" t="s">
        <v>67</v>
      </c>
      <c r="N465" s="16" t="s">
        <v>68</v>
      </c>
      <c r="O465" s="16" t="s">
        <v>436</v>
      </c>
      <c r="P465" s="16" t="s">
        <v>572</v>
      </c>
      <c r="Q465" s="16" t="s">
        <v>71</v>
      </c>
      <c r="R465" s="17" t="s">
        <v>5417</v>
      </c>
      <c r="S465" s="16" t="s">
        <v>1165</v>
      </c>
      <c r="T465" s="16" t="s">
        <v>740</v>
      </c>
      <c r="U465" s="16" t="s">
        <v>741</v>
      </c>
      <c r="V465" s="16" t="s">
        <v>5418</v>
      </c>
      <c r="W465" s="16"/>
      <c r="X465" s="16" t="s">
        <v>5419</v>
      </c>
      <c r="Y465" s="16" t="s">
        <v>744</v>
      </c>
      <c r="Z465" s="16"/>
      <c r="AA465" s="16"/>
      <c r="AB465" s="17" t="s">
        <v>5420</v>
      </c>
      <c r="AC465" s="16" t="s">
        <v>71</v>
      </c>
      <c r="AD465" s="17" t="s">
        <v>5420</v>
      </c>
      <c r="AG465" s="16" t="s">
        <v>2457</v>
      </c>
      <c r="AH465" s="16"/>
      <c r="AI465" s="16"/>
      <c r="AJ465" s="16"/>
      <c r="AK465" s="16"/>
      <c r="AL465" s="16" t="s">
        <v>5421</v>
      </c>
    </row>
    <row r="466" spans="1:38" x14ac:dyDescent="0.5">
      <c r="A466">
        <v>20902</v>
      </c>
      <c r="B466" s="16" t="s">
        <v>229</v>
      </c>
      <c r="C466" s="16" t="s">
        <v>229</v>
      </c>
      <c r="D466" s="16"/>
      <c r="E466" s="16" t="s">
        <v>5422</v>
      </c>
      <c r="F466" s="17" t="s">
        <v>5423</v>
      </c>
      <c r="H466" s="16" t="s">
        <v>5424</v>
      </c>
      <c r="I466" s="16" t="s">
        <v>5425</v>
      </c>
      <c r="J466" s="33">
        <v>42185</v>
      </c>
      <c r="K466" s="33">
        <v>43465</v>
      </c>
      <c r="L466" s="16" t="s">
        <v>66</v>
      </c>
      <c r="M466" s="16" t="s">
        <v>67</v>
      </c>
      <c r="N466" s="16" t="s">
        <v>68</v>
      </c>
      <c r="O466" s="16" t="s">
        <v>436</v>
      </c>
      <c r="P466" s="16" t="s">
        <v>572</v>
      </c>
      <c r="Q466" s="16" t="s">
        <v>71</v>
      </c>
      <c r="R466" s="17" t="s">
        <v>5426</v>
      </c>
      <c r="S466" s="16" t="s">
        <v>459</v>
      </c>
      <c r="T466" s="16" t="s">
        <v>74</v>
      </c>
      <c r="U466" s="16" t="s">
        <v>75</v>
      </c>
      <c r="V466" s="16" t="s">
        <v>5427</v>
      </c>
      <c r="W466" s="16"/>
      <c r="X466" s="16" t="s">
        <v>5428</v>
      </c>
      <c r="Y466" s="16" t="s">
        <v>78</v>
      </c>
      <c r="Z466" s="16" t="s">
        <v>242</v>
      </c>
      <c r="AA466" s="16" t="s">
        <v>243</v>
      </c>
      <c r="AB466" s="17" t="s">
        <v>5429</v>
      </c>
      <c r="AC466" s="16" t="s">
        <v>71</v>
      </c>
      <c r="AD466" s="17" t="s">
        <v>5429</v>
      </c>
      <c r="AG466" s="16" t="s">
        <v>2434</v>
      </c>
      <c r="AH466" s="16" t="s">
        <v>653</v>
      </c>
      <c r="AI466" s="16"/>
      <c r="AJ466" s="16"/>
      <c r="AK466" s="16"/>
      <c r="AL466" s="16" t="s">
        <v>5430</v>
      </c>
    </row>
    <row r="467" spans="1:38" x14ac:dyDescent="0.5">
      <c r="A467">
        <v>20904</v>
      </c>
      <c r="B467" s="16" t="s">
        <v>5431</v>
      </c>
      <c r="C467" s="16" t="s">
        <v>5431</v>
      </c>
      <c r="D467" s="16"/>
      <c r="E467" s="16" t="s">
        <v>5432</v>
      </c>
      <c r="F467" s="17" t="s">
        <v>5433</v>
      </c>
      <c r="G467" s="17" t="s">
        <v>5434</v>
      </c>
      <c r="H467" s="16" t="s">
        <v>5435</v>
      </c>
      <c r="I467" s="16" t="s">
        <v>5436</v>
      </c>
      <c r="J467" s="33">
        <v>42193</v>
      </c>
      <c r="K467" s="33">
        <v>43465</v>
      </c>
      <c r="L467" s="16" t="s">
        <v>66</v>
      </c>
      <c r="M467" s="16" t="s">
        <v>67</v>
      </c>
      <c r="N467" s="16" t="s">
        <v>68</v>
      </c>
      <c r="O467" s="16" t="s">
        <v>436</v>
      </c>
      <c r="P467" s="16" t="s">
        <v>572</v>
      </c>
      <c r="Q467" s="16" t="s">
        <v>71</v>
      </c>
      <c r="R467" s="17" t="s">
        <v>5437</v>
      </c>
      <c r="S467" s="16" t="s">
        <v>1165</v>
      </c>
      <c r="T467" s="16" t="s">
        <v>740</v>
      </c>
      <c r="U467" s="16" t="s">
        <v>741</v>
      </c>
      <c r="V467" s="16" t="s">
        <v>5438</v>
      </c>
      <c r="W467" s="16" t="s">
        <v>5439</v>
      </c>
      <c r="X467" s="16" t="s">
        <v>5440</v>
      </c>
      <c r="Y467" s="16" t="s">
        <v>744</v>
      </c>
      <c r="Z467" s="16"/>
      <c r="AA467" s="16"/>
      <c r="AB467" s="17" t="s">
        <v>5441</v>
      </c>
      <c r="AC467" s="16" t="s">
        <v>71</v>
      </c>
      <c r="AD467" s="17" t="s">
        <v>5441</v>
      </c>
      <c r="AE467" s="17" t="s">
        <v>5442</v>
      </c>
      <c r="AF467" s="17" t="s">
        <v>5443</v>
      </c>
      <c r="AG467" s="16" t="s">
        <v>2457</v>
      </c>
      <c r="AH467" s="16" t="s">
        <v>2632</v>
      </c>
      <c r="AI467" s="16"/>
      <c r="AJ467" s="16"/>
      <c r="AK467" s="16"/>
      <c r="AL467" s="16" t="s">
        <v>5444</v>
      </c>
    </row>
    <row r="468" spans="1:38" x14ac:dyDescent="0.5">
      <c r="A468">
        <v>20906</v>
      </c>
      <c r="B468" s="16" t="s">
        <v>5445</v>
      </c>
      <c r="C468" s="16" t="s">
        <v>5445</v>
      </c>
      <c r="D468" s="16"/>
      <c r="E468" s="16" t="s">
        <v>5446</v>
      </c>
      <c r="F468" s="17" t="s">
        <v>5447</v>
      </c>
      <c r="G468" s="17" t="s">
        <v>5448</v>
      </c>
      <c r="H468" s="16" t="s">
        <v>5449</v>
      </c>
      <c r="I468" s="16" t="s">
        <v>5450</v>
      </c>
      <c r="J468" s="33">
        <v>42186</v>
      </c>
      <c r="K468" s="33">
        <v>43465</v>
      </c>
      <c r="L468" s="16" t="s">
        <v>66</v>
      </c>
      <c r="M468" s="16" t="s">
        <v>167</v>
      </c>
      <c r="N468" s="16" t="s">
        <v>110</v>
      </c>
      <c r="O468" s="16" t="s">
        <v>280</v>
      </c>
      <c r="P468" s="16" t="s">
        <v>572</v>
      </c>
      <c r="Q468" s="16" t="s">
        <v>71</v>
      </c>
      <c r="R468" s="17" t="s">
        <v>5451</v>
      </c>
      <c r="S468" s="16" t="s">
        <v>1165</v>
      </c>
      <c r="T468" s="16" t="s">
        <v>740</v>
      </c>
      <c r="U468" s="16" t="s">
        <v>741</v>
      </c>
      <c r="V468" s="16" t="s">
        <v>5452</v>
      </c>
      <c r="W468" s="16" t="s">
        <v>777</v>
      </c>
      <c r="X468" s="16" t="s">
        <v>5453</v>
      </c>
      <c r="Y468" s="16" t="s">
        <v>744</v>
      </c>
      <c r="Z468" s="16"/>
      <c r="AA468" s="16"/>
      <c r="AB468" s="17" t="s">
        <v>5454</v>
      </c>
      <c r="AC468" s="16" t="s">
        <v>71</v>
      </c>
      <c r="AD468" s="17" t="s">
        <v>5454</v>
      </c>
      <c r="AF468" s="17" t="s">
        <v>5455</v>
      </c>
      <c r="AG468" s="16" t="s">
        <v>5456</v>
      </c>
      <c r="AH468" s="16" t="s">
        <v>2457</v>
      </c>
      <c r="AI468" s="16"/>
      <c r="AJ468" s="16"/>
      <c r="AK468" s="16"/>
      <c r="AL468" s="16"/>
    </row>
    <row r="469" spans="1:38" x14ac:dyDescent="0.5">
      <c r="A469">
        <v>20908</v>
      </c>
      <c r="B469" s="16" t="s">
        <v>340</v>
      </c>
      <c r="C469" s="16" t="s">
        <v>340</v>
      </c>
      <c r="D469" s="16"/>
      <c r="E469" s="16" t="s">
        <v>5457</v>
      </c>
      <c r="F469" s="17" t="s">
        <v>5458</v>
      </c>
      <c r="H469" s="16" t="s">
        <v>5459</v>
      </c>
      <c r="I469" s="16" t="s">
        <v>5460</v>
      </c>
      <c r="J469" s="33">
        <v>42186</v>
      </c>
      <c r="K469" s="33">
        <v>43465</v>
      </c>
      <c r="L469" s="16" t="s">
        <v>66</v>
      </c>
      <c r="M469" s="16" t="s">
        <v>167</v>
      </c>
      <c r="N469" s="16" t="s">
        <v>110</v>
      </c>
      <c r="O469" s="16" t="s">
        <v>280</v>
      </c>
      <c r="P469" s="16" t="s">
        <v>572</v>
      </c>
      <c r="Q469" s="16" t="s">
        <v>71</v>
      </c>
      <c r="R469" s="17" t="s">
        <v>5461</v>
      </c>
      <c r="S469" s="16" t="s">
        <v>662</v>
      </c>
      <c r="T469" s="16" t="s">
        <v>74</v>
      </c>
      <c r="U469" s="16" t="s">
        <v>75</v>
      </c>
      <c r="V469" s="16" t="s">
        <v>5462</v>
      </c>
      <c r="W469" s="16" t="s">
        <v>5463</v>
      </c>
      <c r="X469" s="16" t="s">
        <v>3975</v>
      </c>
      <c r="Y469" s="16" t="s">
        <v>78</v>
      </c>
      <c r="Z469" s="16" t="s">
        <v>666</v>
      </c>
      <c r="AA469" s="16" t="s">
        <v>667</v>
      </c>
      <c r="AB469" s="17" t="s">
        <v>5464</v>
      </c>
      <c r="AC469" s="16" t="s">
        <v>71</v>
      </c>
      <c r="AD469" s="17" t="s">
        <v>5464</v>
      </c>
      <c r="AG469" s="16" t="s">
        <v>2156</v>
      </c>
      <c r="AH469" s="16" t="s">
        <v>2434</v>
      </c>
      <c r="AI469" s="16"/>
      <c r="AJ469" s="16"/>
      <c r="AK469" s="16"/>
      <c r="AL469" s="16" t="s">
        <v>5465</v>
      </c>
    </row>
    <row r="470" spans="1:38" x14ac:dyDescent="0.5">
      <c r="A470">
        <v>20910</v>
      </c>
      <c r="B470" s="16" t="s">
        <v>4370</v>
      </c>
      <c r="C470" s="16" t="s">
        <v>4370</v>
      </c>
      <c r="D470" s="16"/>
      <c r="E470" s="16" t="s">
        <v>5466</v>
      </c>
      <c r="F470" s="17" t="s">
        <v>5467</v>
      </c>
      <c r="H470" s="16" t="s">
        <v>5468</v>
      </c>
      <c r="I470" s="16" t="s">
        <v>2728</v>
      </c>
      <c r="J470" s="33">
        <v>42186</v>
      </c>
      <c r="K470" s="33">
        <v>43465</v>
      </c>
      <c r="L470" s="16" t="s">
        <v>66</v>
      </c>
      <c r="M470" s="16" t="s">
        <v>235</v>
      </c>
      <c r="N470" s="16" t="s">
        <v>236</v>
      </c>
      <c r="O470" s="16" t="s">
        <v>237</v>
      </c>
      <c r="P470" s="16" t="s">
        <v>572</v>
      </c>
      <c r="Q470" s="16" t="s">
        <v>71</v>
      </c>
      <c r="R470" s="17" t="s">
        <v>5469</v>
      </c>
      <c r="S470" s="16" t="s">
        <v>662</v>
      </c>
      <c r="T470" s="16" t="s">
        <v>74</v>
      </c>
      <c r="U470" s="16" t="s">
        <v>75</v>
      </c>
      <c r="V470" s="16" t="s">
        <v>5470</v>
      </c>
      <c r="W470" s="16" t="s">
        <v>5471</v>
      </c>
      <c r="X470" s="16" t="s">
        <v>5472</v>
      </c>
      <c r="Y470" s="16" t="s">
        <v>78</v>
      </c>
      <c r="Z470" s="16" t="s">
        <v>666</v>
      </c>
      <c r="AA470" s="16" t="s">
        <v>667</v>
      </c>
      <c r="AB470" s="17" t="s">
        <v>5473</v>
      </c>
      <c r="AC470" s="16" t="s">
        <v>71</v>
      </c>
      <c r="AD470" s="17" t="s">
        <v>5473</v>
      </c>
      <c r="AG470" s="16" t="s">
        <v>5474</v>
      </c>
      <c r="AH470" s="16" t="s">
        <v>2818</v>
      </c>
      <c r="AI470" s="16"/>
      <c r="AJ470" s="16"/>
      <c r="AK470" s="16"/>
      <c r="AL470" s="16" t="s">
        <v>5475</v>
      </c>
    </row>
    <row r="471" spans="1:38" x14ac:dyDescent="0.5">
      <c r="A471">
        <v>20912</v>
      </c>
      <c r="B471" s="16" t="s">
        <v>397</v>
      </c>
      <c r="C471" s="16" t="s">
        <v>397</v>
      </c>
      <c r="D471" s="16"/>
      <c r="E471" s="16" t="s">
        <v>5476</v>
      </c>
      <c r="F471" s="17" t="s">
        <v>5477</v>
      </c>
      <c r="H471" s="16" t="s">
        <v>5478</v>
      </c>
      <c r="I471" s="16" t="s">
        <v>5479</v>
      </c>
      <c r="J471" s="33">
        <v>42641</v>
      </c>
      <c r="K471" s="33">
        <v>43465</v>
      </c>
      <c r="L471" s="16" t="s">
        <v>66</v>
      </c>
      <c r="M471" s="16" t="s">
        <v>167</v>
      </c>
      <c r="N471" s="16" t="s">
        <v>110</v>
      </c>
      <c r="O471" s="16" t="s">
        <v>280</v>
      </c>
      <c r="P471" s="16" t="s">
        <v>572</v>
      </c>
      <c r="Q471" s="16" t="s">
        <v>71</v>
      </c>
      <c r="R471" s="17" t="s">
        <v>5480</v>
      </c>
      <c r="S471" s="16" t="s">
        <v>662</v>
      </c>
      <c r="T471" s="16" t="s">
        <v>74</v>
      </c>
      <c r="U471" s="16" t="s">
        <v>75</v>
      </c>
      <c r="V471" s="16" t="s">
        <v>5481</v>
      </c>
      <c r="W471" s="16"/>
      <c r="X471" s="16" t="s">
        <v>5482</v>
      </c>
      <c r="Y471" s="16" t="s">
        <v>78</v>
      </c>
      <c r="Z471" s="16" t="s">
        <v>666</v>
      </c>
      <c r="AA471" s="16" t="s">
        <v>667</v>
      </c>
      <c r="AB471" s="17" t="s">
        <v>5483</v>
      </c>
      <c r="AC471" s="16" t="s">
        <v>71</v>
      </c>
      <c r="AD471" s="17" t="s">
        <v>5483</v>
      </c>
      <c r="AE471" s="17" t="s">
        <v>5484</v>
      </c>
      <c r="AG471" s="16" t="s">
        <v>3136</v>
      </c>
      <c r="AH471" s="16" t="s">
        <v>1030</v>
      </c>
      <c r="AI471" s="16"/>
      <c r="AJ471" s="16"/>
      <c r="AK471" s="16"/>
      <c r="AL471" s="16" t="s">
        <v>5485</v>
      </c>
    </row>
    <row r="472" spans="1:38" x14ac:dyDescent="0.5">
      <c r="A472">
        <v>20952</v>
      </c>
      <c r="B472" s="16" t="s">
        <v>5486</v>
      </c>
      <c r="C472" s="16" t="s">
        <v>5486</v>
      </c>
      <c r="D472" s="16"/>
      <c r="E472" s="16" t="s">
        <v>5487</v>
      </c>
      <c r="F472" s="17" t="s">
        <v>5488</v>
      </c>
      <c r="H472" s="16" t="s">
        <v>5489</v>
      </c>
      <c r="I472" s="16" t="s">
        <v>1945</v>
      </c>
      <c r="J472" s="33">
        <v>42242</v>
      </c>
      <c r="K472" s="33">
        <v>43465</v>
      </c>
      <c r="L472" s="16" t="s">
        <v>66</v>
      </c>
      <c r="M472" s="16" t="s">
        <v>67</v>
      </c>
      <c r="N472" s="16" t="s">
        <v>68</v>
      </c>
      <c r="O472" s="16" t="s">
        <v>436</v>
      </c>
      <c r="P472" s="16" t="s">
        <v>572</v>
      </c>
      <c r="Q472" s="16" t="s">
        <v>71</v>
      </c>
      <c r="R472" s="17" t="s">
        <v>5490</v>
      </c>
      <c r="S472" s="16" t="s">
        <v>359</v>
      </c>
      <c r="T472" s="16" t="s">
        <v>74</v>
      </c>
      <c r="U472" s="16" t="s">
        <v>75</v>
      </c>
      <c r="V472" s="16" t="s">
        <v>1947</v>
      </c>
      <c r="W472" s="16" t="s">
        <v>5491</v>
      </c>
      <c r="X472" s="16" t="s">
        <v>1670</v>
      </c>
      <c r="Y472" s="16" t="s">
        <v>78</v>
      </c>
      <c r="Z472" s="16" t="s">
        <v>242</v>
      </c>
      <c r="AA472" s="16" t="s">
        <v>243</v>
      </c>
      <c r="AB472" s="17" t="s">
        <v>5492</v>
      </c>
      <c r="AC472" s="16" t="s">
        <v>71</v>
      </c>
      <c r="AD472" s="17" t="s">
        <v>5492</v>
      </c>
      <c r="AE472" s="17" t="s">
        <v>5492</v>
      </c>
      <c r="AF472" s="17" t="s">
        <v>5493</v>
      </c>
      <c r="AG472" s="16" t="s">
        <v>2108</v>
      </c>
      <c r="AH472" s="16" t="s">
        <v>653</v>
      </c>
      <c r="AI472" s="16"/>
      <c r="AJ472" s="16"/>
      <c r="AK472" s="16"/>
      <c r="AL472" s="16" t="s">
        <v>5494</v>
      </c>
    </row>
    <row r="473" spans="1:38" x14ac:dyDescent="0.5">
      <c r="A473">
        <v>20955</v>
      </c>
      <c r="B473" s="16" t="s">
        <v>1639</v>
      </c>
      <c r="C473" s="16" t="s">
        <v>1639</v>
      </c>
      <c r="D473" s="16"/>
      <c r="E473" s="16" t="s">
        <v>5495</v>
      </c>
      <c r="F473" s="17" t="s">
        <v>5496</v>
      </c>
      <c r="H473" s="16" t="s">
        <v>5497</v>
      </c>
      <c r="I473" s="16" t="s">
        <v>5498</v>
      </c>
      <c r="J473" s="33">
        <v>42248</v>
      </c>
      <c r="K473" s="33">
        <v>43465</v>
      </c>
      <c r="L473" s="16" t="s">
        <v>66</v>
      </c>
      <c r="M473" s="16" t="s">
        <v>67</v>
      </c>
      <c r="N473" s="16" t="s">
        <v>68</v>
      </c>
      <c r="O473" s="16" t="s">
        <v>436</v>
      </c>
      <c r="P473" s="16" t="s">
        <v>572</v>
      </c>
      <c r="Q473" s="16" t="s">
        <v>71</v>
      </c>
      <c r="R473" s="17" t="s">
        <v>5499</v>
      </c>
      <c r="S473" s="16" t="s">
        <v>5500</v>
      </c>
      <c r="T473" s="16" t="s">
        <v>74</v>
      </c>
      <c r="U473" s="16" t="s">
        <v>75</v>
      </c>
      <c r="V473" s="16" t="s">
        <v>5501</v>
      </c>
      <c r="W473" s="16"/>
      <c r="X473" s="16" t="s">
        <v>5502</v>
      </c>
      <c r="Y473" s="16" t="s">
        <v>78</v>
      </c>
      <c r="Z473" s="16" t="s">
        <v>117</v>
      </c>
      <c r="AA473" s="16" t="s">
        <v>113</v>
      </c>
      <c r="AB473" s="17" t="s">
        <v>5503</v>
      </c>
      <c r="AC473" s="16" t="s">
        <v>71</v>
      </c>
      <c r="AD473" s="17" t="s">
        <v>5503</v>
      </c>
      <c r="AG473" s="16" t="s">
        <v>579</v>
      </c>
      <c r="AH473" s="16" t="s">
        <v>1784</v>
      </c>
      <c r="AI473" s="16"/>
      <c r="AJ473" s="16"/>
      <c r="AK473" s="16"/>
      <c r="AL473" s="16" t="s">
        <v>5504</v>
      </c>
    </row>
    <row r="474" spans="1:38" x14ac:dyDescent="0.5">
      <c r="A474">
        <v>20957</v>
      </c>
      <c r="B474" s="16" t="s">
        <v>4675</v>
      </c>
      <c r="C474" s="16" t="s">
        <v>4675</v>
      </c>
      <c r="D474" s="16"/>
      <c r="E474" s="16" t="s">
        <v>5505</v>
      </c>
      <c r="F474" s="17" t="s">
        <v>5506</v>
      </c>
      <c r="H474" s="16" t="s">
        <v>3379</v>
      </c>
      <c r="I474" s="16" t="s">
        <v>5507</v>
      </c>
      <c r="J474" s="33">
        <v>42836</v>
      </c>
      <c r="K474" s="33">
        <v>43465</v>
      </c>
      <c r="L474" s="16" t="s">
        <v>66</v>
      </c>
      <c r="M474" s="16" t="s">
        <v>67</v>
      </c>
      <c r="N474" s="16" t="s">
        <v>68</v>
      </c>
      <c r="O474" s="16" t="s">
        <v>436</v>
      </c>
      <c r="P474" s="16" t="s">
        <v>572</v>
      </c>
      <c r="Q474" s="16" t="s">
        <v>71</v>
      </c>
      <c r="R474" s="17" t="s">
        <v>5508</v>
      </c>
      <c r="S474" s="16" t="s">
        <v>113</v>
      </c>
      <c r="T474" s="16" t="s">
        <v>74</v>
      </c>
      <c r="U474" s="16" t="s">
        <v>75</v>
      </c>
      <c r="V474" s="16" t="s">
        <v>5509</v>
      </c>
      <c r="W474" s="16"/>
      <c r="X474" s="16" t="s">
        <v>3340</v>
      </c>
      <c r="Y474" s="16" t="s">
        <v>78</v>
      </c>
      <c r="Z474" s="16" t="s">
        <v>117</v>
      </c>
      <c r="AA474" s="16" t="s">
        <v>113</v>
      </c>
      <c r="AB474" s="17" t="s">
        <v>5510</v>
      </c>
      <c r="AC474" s="16" t="s">
        <v>71</v>
      </c>
      <c r="AD474" s="17" t="s">
        <v>5510</v>
      </c>
      <c r="AG474" s="16" t="s">
        <v>5511</v>
      </c>
      <c r="AH474" s="16" t="s">
        <v>3136</v>
      </c>
      <c r="AI474" s="16"/>
      <c r="AJ474" s="16"/>
      <c r="AK474" s="16"/>
      <c r="AL474" s="16" t="s">
        <v>5512</v>
      </c>
    </row>
    <row r="475" spans="1:38" x14ac:dyDescent="0.5">
      <c r="A475">
        <v>20958</v>
      </c>
      <c r="B475" s="16" t="s">
        <v>1888</v>
      </c>
      <c r="C475" s="16" t="s">
        <v>1888</v>
      </c>
      <c r="D475" s="16"/>
      <c r="E475" s="16" t="s">
        <v>5513</v>
      </c>
      <c r="F475" s="17" t="s">
        <v>5514</v>
      </c>
      <c r="G475" s="17" t="s">
        <v>5515</v>
      </c>
      <c r="H475" s="16" t="s">
        <v>2400</v>
      </c>
      <c r="I475" s="16"/>
      <c r="J475" s="33">
        <v>42250</v>
      </c>
      <c r="K475" s="33">
        <v>43465</v>
      </c>
      <c r="L475" s="16" t="s">
        <v>66</v>
      </c>
      <c r="M475" s="16" t="s">
        <v>67</v>
      </c>
      <c r="N475" s="16" t="s">
        <v>68</v>
      </c>
      <c r="O475" s="16" t="s">
        <v>253</v>
      </c>
      <c r="P475" s="16" t="s">
        <v>3116</v>
      </c>
      <c r="Q475" s="16" t="s">
        <v>71</v>
      </c>
      <c r="R475" s="17" t="s">
        <v>5516</v>
      </c>
      <c r="S475" s="16" t="s">
        <v>1460</v>
      </c>
      <c r="T475" s="16" t="s">
        <v>74</v>
      </c>
      <c r="U475" s="16" t="s">
        <v>75</v>
      </c>
      <c r="V475" s="16" t="s">
        <v>2813</v>
      </c>
      <c r="W475" s="16"/>
      <c r="X475" s="16" t="s">
        <v>2815</v>
      </c>
      <c r="Y475" s="16" t="s">
        <v>78</v>
      </c>
      <c r="Z475" s="16" t="s">
        <v>242</v>
      </c>
      <c r="AA475" s="16" t="s">
        <v>243</v>
      </c>
      <c r="AB475" s="17" t="s">
        <v>5517</v>
      </c>
      <c r="AC475" s="16" t="s">
        <v>71</v>
      </c>
      <c r="AD475" s="17" t="s">
        <v>5517</v>
      </c>
      <c r="AE475" s="17" t="s">
        <v>5518</v>
      </c>
      <c r="AG475" s="16" t="s">
        <v>1259</v>
      </c>
      <c r="AH475" s="16" t="s">
        <v>2290</v>
      </c>
      <c r="AI475" s="16"/>
      <c r="AJ475" s="16"/>
      <c r="AK475" s="16"/>
      <c r="AL475" s="16" t="s">
        <v>5519</v>
      </c>
    </row>
    <row r="476" spans="1:38" x14ac:dyDescent="0.5">
      <c r="A476">
        <v>20962</v>
      </c>
      <c r="B476" s="16" t="s">
        <v>5521</v>
      </c>
      <c r="C476" s="16" t="s">
        <v>5521</v>
      </c>
      <c r="D476" s="16"/>
      <c r="E476" s="16" t="s">
        <v>5522</v>
      </c>
      <c r="F476" s="17" t="s">
        <v>5523</v>
      </c>
      <c r="H476" s="16" t="s">
        <v>5524</v>
      </c>
      <c r="I476" s="16" t="s">
        <v>5525</v>
      </c>
      <c r="J476" s="33">
        <v>42250</v>
      </c>
      <c r="K476" s="33">
        <v>43465</v>
      </c>
      <c r="L476" s="16" t="s">
        <v>66</v>
      </c>
      <c r="M476" s="16" t="s">
        <v>67</v>
      </c>
      <c r="N476" s="16" t="s">
        <v>68</v>
      </c>
      <c r="O476" s="16" t="s">
        <v>436</v>
      </c>
      <c r="P476" s="16" t="s">
        <v>572</v>
      </c>
      <c r="Q476" s="16" t="s">
        <v>71</v>
      </c>
      <c r="R476" s="17" t="s">
        <v>5526</v>
      </c>
      <c r="S476" s="16" t="s">
        <v>3911</v>
      </c>
      <c r="T476" s="16" t="s">
        <v>74</v>
      </c>
      <c r="U476" s="16" t="s">
        <v>75</v>
      </c>
      <c r="V476" s="16" t="s">
        <v>5527</v>
      </c>
      <c r="W476" s="16"/>
      <c r="X476" s="16" t="s">
        <v>5528</v>
      </c>
      <c r="Y476" s="16" t="s">
        <v>78</v>
      </c>
      <c r="Z476" s="16" t="s">
        <v>132</v>
      </c>
      <c r="AA476" s="16" t="s">
        <v>133</v>
      </c>
      <c r="AB476" s="17" t="s">
        <v>5529</v>
      </c>
      <c r="AC476" s="16" t="s">
        <v>71</v>
      </c>
      <c r="AD476" s="17" t="s">
        <v>5529</v>
      </c>
      <c r="AG476" s="16" t="s">
        <v>4870</v>
      </c>
      <c r="AH476" s="16"/>
      <c r="AI476" s="16"/>
      <c r="AJ476" s="16"/>
      <c r="AK476" s="16"/>
      <c r="AL476" s="16" t="s">
        <v>5530</v>
      </c>
    </row>
    <row r="477" spans="1:38" x14ac:dyDescent="0.5">
      <c r="A477">
        <v>20964</v>
      </c>
      <c r="B477" s="16" t="s">
        <v>5531</v>
      </c>
      <c r="C477" s="16" t="s">
        <v>5531</v>
      </c>
      <c r="D477" s="16"/>
      <c r="E477" s="16" t="s">
        <v>5532</v>
      </c>
      <c r="F477" s="17" t="s">
        <v>5533</v>
      </c>
      <c r="H477" s="16" t="s">
        <v>5534</v>
      </c>
      <c r="I477" s="16" t="s">
        <v>5535</v>
      </c>
      <c r="J477" s="33">
        <v>42251</v>
      </c>
      <c r="K477" s="33">
        <v>43465</v>
      </c>
      <c r="L477" s="16" t="s">
        <v>66</v>
      </c>
      <c r="M477" s="16" t="s">
        <v>67</v>
      </c>
      <c r="N477" s="16" t="s">
        <v>68</v>
      </c>
      <c r="O477" s="16" t="s">
        <v>436</v>
      </c>
      <c r="P477" s="16" t="s">
        <v>572</v>
      </c>
      <c r="Q477" s="16" t="s">
        <v>71</v>
      </c>
      <c r="R477" s="17" t="s">
        <v>5536</v>
      </c>
      <c r="S477" s="16" t="s">
        <v>5352</v>
      </c>
      <c r="T477" s="16" t="s">
        <v>2596</v>
      </c>
      <c r="U477" s="16" t="s">
        <v>2597</v>
      </c>
      <c r="V477" s="16" t="s">
        <v>5537</v>
      </c>
      <c r="W477" s="16"/>
      <c r="X477" s="16" t="s">
        <v>5538</v>
      </c>
      <c r="Y477" s="16" t="s">
        <v>744</v>
      </c>
      <c r="Z477" s="16"/>
      <c r="AA477" s="16"/>
      <c r="AB477" s="17" t="s">
        <v>5539</v>
      </c>
      <c r="AC477" s="16" t="s">
        <v>71</v>
      </c>
      <c r="AD477" s="17" t="s">
        <v>5539</v>
      </c>
      <c r="AE477" s="17" t="s">
        <v>5540</v>
      </c>
      <c r="AG477" s="16" t="s">
        <v>1938</v>
      </c>
      <c r="AH477" s="16" t="s">
        <v>3941</v>
      </c>
      <c r="AI477" s="16"/>
      <c r="AJ477" s="16"/>
      <c r="AK477" s="16"/>
      <c r="AL477" s="16" t="s">
        <v>5541</v>
      </c>
    </row>
    <row r="478" spans="1:38" x14ac:dyDescent="0.5">
      <c r="A478">
        <v>20967</v>
      </c>
      <c r="B478" s="16" t="s">
        <v>5542</v>
      </c>
      <c r="C478" s="16" t="s">
        <v>5542</v>
      </c>
      <c r="D478" s="16"/>
      <c r="E478" s="16" t="s">
        <v>5543</v>
      </c>
      <c r="F478" s="17" t="s">
        <v>5544</v>
      </c>
      <c r="H478" s="16" t="s">
        <v>5545</v>
      </c>
      <c r="I478" s="16" t="s">
        <v>5546</v>
      </c>
      <c r="J478" s="33">
        <v>42258</v>
      </c>
      <c r="K478" s="33">
        <v>43465</v>
      </c>
      <c r="L478" s="16" t="s">
        <v>66</v>
      </c>
      <c r="M478" s="16" t="s">
        <v>67</v>
      </c>
      <c r="N478" s="16" t="s">
        <v>68</v>
      </c>
      <c r="O478" s="16" t="s">
        <v>436</v>
      </c>
      <c r="P478" s="16" t="s">
        <v>572</v>
      </c>
      <c r="Q478" s="16" t="s">
        <v>71</v>
      </c>
      <c r="R478" s="17" t="s">
        <v>5547</v>
      </c>
      <c r="S478" s="16" t="s">
        <v>3597</v>
      </c>
      <c r="T478" s="16" t="s">
        <v>1411</v>
      </c>
      <c r="U478" s="16" t="s">
        <v>1412</v>
      </c>
      <c r="V478" s="16" t="s">
        <v>5548</v>
      </c>
      <c r="W478" s="16"/>
      <c r="X478" s="16" t="s">
        <v>5549</v>
      </c>
      <c r="Y478" s="16" t="s">
        <v>744</v>
      </c>
      <c r="Z478" s="16"/>
      <c r="AA478" s="16"/>
      <c r="AB478" s="17" t="s">
        <v>5550</v>
      </c>
      <c r="AC478" s="16" t="s">
        <v>71</v>
      </c>
      <c r="AD478" s="17" t="s">
        <v>5550</v>
      </c>
      <c r="AG478" s="16" t="s">
        <v>5268</v>
      </c>
      <c r="AH478" s="16" t="s">
        <v>4810</v>
      </c>
      <c r="AI478" s="16"/>
      <c r="AJ478" s="16"/>
      <c r="AK478" s="16"/>
      <c r="AL478" s="16" t="s">
        <v>5551</v>
      </c>
    </row>
    <row r="479" spans="1:38" x14ac:dyDescent="0.5">
      <c r="A479">
        <v>20968</v>
      </c>
      <c r="B479" s="16" t="s">
        <v>5552</v>
      </c>
      <c r="C479" s="16" t="s">
        <v>5552</v>
      </c>
      <c r="D479" s="16"/>
      <c r="E479" s="16" t="s">
        <v>5553</v>
      </c>
      <c r="F479" s="17" t="s">
        <v>5554</v>
      </c>
      <c r="H479" s="16" t="s">
        <v>3993</v>
      </c>
      <c r="I479" s="16" t="s">
        <v>5555</v>
      </c>
      <c r="J479" s="33">
        <v>42256</v>
      </c>
      <c r="K479" s="33">
        <v>43465</v>
      </c>
      <c r="L479" s="16" t="s">
        <v>66</v>
      </c>
      <c r="M479" s="16" t="s">
        <v>67</v>
      </c>
      <c r="N479" s="16" t="s">
        <v>68</v>
      </c>
      <c r="O479" s="16" t="s">
        <v>436</v>
      </c>
      <c r="P479" s="16" t="s">
        <v>572</v>
      </c>
      <c r="Q479" s="16" t="s">
        <v>71</v>
      </c>
      <c r="R479" s="17" t="s">
        <v>5556</v>
      </c>
      <c r="S479" s="16" t="s">
        <v>5557</v>
      </c>
      <c r="T479" s="16" t="s">
        <v>74</v>
      </c>
      <c r="U479" s="16" t="s">
        <v>75</v>
      </c>
      <c r="V479" s="16" t="s">
        <v>5558</v>
      </c>
      <c r="W479" s="16"/>
      <c r="X479" s="16" t="s">
        <v>5559</v>
      </c>
      <c r="Y479" s="16" t="s">
        <v>78</v>
      </c>
      <c r="Z479" s="16" t="s">
        <v>242</v>
      </c>
      <c r="AA479" s="16" t="s">
        <v>243</v>
      </c>
      <c r="AB479" s="17" t="s">
        <v>5560</v>
      </c>
      <c r="AC479" s="16" t="s">
        <v>71</v>
      </c>
      <c r="AD479" s="17" t="s">
        <v>5560</v>
      </c>
      <c r="AG479" s="16" t="s">
        <v>872</v>
      </c>
      <c r="AH479" s="16" t="s">
        <v>1784</v>
      </c>
      <c r="AI479" s="16"/>
      <c r="AJ479" s="16"/>
      <c r="AK479" s="16"/>
      <c r="AL479" s="16" t="s">
        <v>5561</v>
      </c>
    </row>
    <row r="480" spans="1:38" x14ac:dyDescent="0.5">
      <c r="A480">
        <v>20969</v>
      </c>
      <c r="B480" s="16" t="s">
        <v>3409</v>
      </c>
      <c r="C480" s="16" t="s">
        <v>3409</v>
      </c>
      <c r="D480" s="16"/>
      <c r="E480" s="16" t="s">
        <v>5562</v>
      </c>
      <c r="F480" s="17" t="s">
        <v>5563</v>
      </c>
      <c r="H480" s="16" t="s">
        <v>1429</v>
      </c>
      <c r="I480" s="16" t="s">
        <v>5564</v>
      </c>
      <c r="J480" s="33">
        <v>42296</v>
      </c>
      <c r="K480" s="33">
        <v>43465</v>
      </c>
      <c r="L480" s="16" t="s">
        <v>66</v>
      </c>
      <c r="M480" s="16" t="s">
        <v>67</v>
      </c>
      <c r="N480" s="16" t="s">
        <v>68</v>
      </c>
      <c r="O480" s="16" t="s">
        <v>436</v>
      </c>
      <c r="P480" s="16" t="s">
        <v>572</v>
      </c>
      <c r="Q480" s="16" t="s">
        <v>71</v>
      </c>
      <c r="R480" s="17" t="s">
        <v>5565</v>
      </c>
      <c r="S480" s="16" t="s">
        <v>1022</v>
      </c>
      <c r="T480" s="16" t="s">
        <v>74</v>
      </c>
      <c r="U480" s="16" t="s">
        <v>75</v>
      </c>
      <c r="V480" s="16" t="s">
        <v>5566</v>
      </c>
      <c r="W480" s="16"/>
      <c r="X480" s="16" t="s">
        <v>5567</v>
      </c>
      <c r="Y480" s="16" t="s">
        <v>78</v>
      </c>
      <c r="Z480" s="16" t="s">
        <v>132</v>
      </c>
      <c r="AA480" s="16" t="s">
        <v>133</v>
      </c>
      <c r="AB480" s="17" t="s">
        <v>5568</v>
      </c>
      <c r="AC480" s="16" t="s">
        <v>71</v>
      </c>
      <c r="AD480" s="17" t="s">
        <v>5568</v>
      </c>
      <c r="AG480" s="16" t="s">
        <v>1285</v>
      </c>
      <c r="AH480" s="16" t="s">
        <v>2094</v>
      </c>
      <c r="AI480" s="16"/>
      <c r="AJ480" s="16"/>
      <c r="AK480" s="16"/>
      <c r="AL480" s="16" t="s">
        <v>5569</v>
      </c>
    </row>
    <row r="481" spans="1:38" x14ac:dyDescent="0.5">
      <c r="A481">
        <v>20970</v>
      </c>
      <c r="B481" s="16" t="s">
        <v>5570</v>
      </c>
      <c r="C481" s="16" t="s">
        <v>5570</v>
      </c>
      <c r="D481" s="16"/>
      <c r="E481" s="16" t="s">
        <v>5571</v>
      </c>
      <c r="F481" s="17" t="s">
        <v>5572</v>
      </c>
      <c r="H481" s="16" t="s">
        <v>5573</v>
      </c>
      <c r="I481" s="16" t="s">
        <v>5574</v>
      </c>
      <c r="J481" s="33">
        <v>42248</v>
      </c>
      <c r="K481" s="33">
        <v>43465</v>
      </c>
      <c r="L481" s="16" t="s">
        <v>66</v>
      </c>
      <c r="M481" s="16" t="s">
        <v>167</v>
      </c>
      <c r="N481" s="16" t="s">
        <v>110</v>
      </c>
      <c r="O481" s="16" t="s">
        <v>280</v>
      </c>
      <c r="P481" s="16" t="s">
        <v>572</v>
      </c>
      <c r="Q481" s="16" t="s">
        <v>71</v>
      </c>
      <c r="R481" s="17" t="s">
        <v>5575</v>
      </c>
      <c r="S481" s="16" t="s">
        <v>2511</v>
      </c>
      <c r="T481" s="16" t="s">
        <v>599</v>
      </c>
      <c r="U481" s="16" t="s">
        <v>2512</v>
      </c>
      <c r="V481" s="16" t="s">
        <v>5576</v>
      </c>
      <c r="W481" s="16"/>
      <c r="X481" s="16" t="s">
        <v>5577</v>
      </c>
      <c r="Y481" s="16" t="s">
        <v>2515</v>
      </c>
      <c r="Z481" s="16"/>
      <c r="AA481" s="16"/>
      <c r="AB481" s="17" t="s">
        <v>5578</v>
      </c>
      <c r="AC481" s="16" t="s">
        <v>71</v>
      </c>
      <c r="AD481" s="17" t="s">
        <v>5578</v>
      </c>
      <c r="AE481" s="17" t="s">
        <v>5578</v>
      </c>
      <c r="AF481" s="17" t="s">
        <v>5579</v>
      </c>
      <c r="AG481" s="16" t="s">
        <v>5268</v>
      </c>
      <c r="AH481" s="16" t="s">
        <v>2021</v>
      </c>
      <c r="AI481" s="16"/>
      <c r="AJ481" s="16"/>
      <c r="AK481" s="16"/>
      <c r="AL481" s="16" t="s">
        <v>5580</v>
      </c>
    </row>
    <row r="482" spans="1:38" x14ac:dyDescent="0.5">
      <c r="A482">
        <v>20971</v>
      </c>
      <c r="B482" s="16" t="s">
        <v>1150</v>
      </c>
      <c r="C482" s="16" t="s">
        <v>1150</v>
      </c>
      <c r="D482" s="16"/>
      <c r="E482" s="16" t="s">
        <v>1800</v>
      </c>
      <c r="F482" s="17" t="s">
        <v>5581</v>
      </c>
      <c r="H482" s="16" t="s">
        <v>5582</v>
      </c>
      <c r="I482" s="16" t="s">
        <v>8624</v>
      </c>
      <c r="J482" s="33">
        <v>42251</v>
      </c>
      <c r="K482" s="33">
        <v>43465</v>
      </c>
      <c r="L482" s="16" t="s">
        <v>66</v>
      </c>
      <c r="M482" s="16" t="s">
        <v>235</v>
      </c>
      <c r="N482" s="16" t="s">
        <v>236</v>
      </c>
      <c r="O482" s="16" t="s">
        <v>237</v>
      </c>
      <c r="P482" s="16"/>
      <c r="Q482" s="16" t="s">
        <v>71</v>
      </c>
      <c r="R482" s="17" t="s">
        <v>5583</v>
      </c>
      <c r="S482" s="16" t="s">
        <v>1165</v>
      </c>
      <c r="T482" s="16" t="s">
        <v>740</v>
      </c>
      <c r="U482" s="16" t="s">
        <v>741</v>
      </c>
      <c r="V482" s="16" t="s">
        <v>5584</v>
      </c>
      <c r="W482" s="16" t="s">
        <v>5585</v>
      </c>
      <c r="X482" s="16" t="s">
        <v>5586</v>
      </c>
      <c r="Y482" s="16" t="s">
        <v>744</v>
      </c>
      <c r="Z482" s="16"/>
      <c r="AA482" s="16"/>
      <c r="AB482" s="17" t="s">
        <v>5587</v>
      </c>
      <c r="AC482" s="16" t="s">
        <v>71</v>
      </c>
      <c r="AD482" s="17" t="s">
        <v>5587</v>
      </c>
      <c r="AG482" s="16" t="s">
        <v>5588</v>
      </c>
      <c r="AH482" s="16" t="s">
        <v>3373</v>
      </c>
      <c r="AI482" s="16"/>
      <c r="AJ482" s="16"/>
      <c r="AK482" s="16"/>
      <c r="AL482" s="16" t="s">
        <v>5589</v>
      </c>
    </row>
    <row r="483" spans="1:38" x14ac:dyDescent="0.5">
      <c r="A483">
        <v>20972</v>
      </c>
      <c r="B483" s="16" t="s">
        <v>5590</v>
      </c>
      <c r="C483" s="16" t="s">
        <v>5590</v>
      </c>
      <c r="D483" s="16"/>
      <c r="E483" s="16" t="s">
        <v>5591</v>
      </c>
      <c r="F483" s="17" t="s">
        <v>5592</v>
      </c>
      <c r="H483" s="16" t="s">
        <v>5593</v>
      </c>
      <c r="I483" s="16" t="s">
        <v>5594</v>
      </c>
      <c r="J483" s="33">
        <v>42254</v>
      </c>
      <c r="K483" s="33">
        <v>43465</v>
      </c>
      <c r="L483" s="16" t="s">
        <v>66</v>
      </c>
      <c r="M483" s="16" t="s">
        <v>90</v>
      </c>
      <c r="N483" s="16" t="s">
        <v>91</v>
      </c>
      <c r="O483" s="16" t="s">
        <v>91</v>
      </c>
      <c r="P483" s="16" t="s">
        <v>572</v>
      </c>
      <c r="Q483" s="16" t="s">
        <v>71</v>
      </c>
      <c r="R483" s="17" t="s">
        <v>5595</v>
      </c>
      <c r="S483" s="16" t="s">
        <v>5596</v>
      </c>
      <c r="T483" s="16" t="s">
        <v>4588</v>
      </c>
      <c r="U483" s="16" t="s">
        <v>4589</v>
      </c>
      <c r="V483" s="16" t="s">
        <v>5597</v>
      </c>
      <c r="W483" s="16"/>
      <c r="X483" s="16" t="s">
        <v>5598</v>
      </c>
      <c r="Y483" s="16" t="s">
        <v>744</v>
      </c>
      <c r="Z483" s="16"/>
      <c r="AA483" s="16"/>
      <c r="AB483" s="17" t="s">
        <v>5599</v>
      </c>
      <c r="AC483" s="16" t="s">
        <v>71</v>
      </c>
      <c r="AD483" s="17" t="s">
        <v>5599</v>
      </c>
      <c r="AE483" s="17" t="s">
        <v>5600</v>
      </c>
      <c r="AG483" s="16" t="s">
        <v>4983</v>
      </c>
      <c r="AH483" s="16"/>
      <c r="AI483" s="16"/>
      <c r="AJ483" s="16"/>
      <c r="AK483" s="16"/>
      <c r="AL483" s="16" t="s">
        <v>5601</v>
      </c>
    </row>
    <row r="484" spans="1:38" x14ac:dyDescent="0.5">
      <c r="A484">
        <v>20973</v>
      </c>
      <c r="B484" s="16" t="s">
        <v>5602</v>
      </c>
      <c r="C484" s="16" t="s">
        <v>5603</v>
      </c>
      <c r="D484" s="16" t="s">
        <v>5604</v>
      </c>
      <c r="E484" s="16" t="s">
        <v>5605</v>
      </c>
      <c r="F484" s="17" t="s">
        <v>5606</v>
      </c>
      <c r="H484" s="16" t="s">
        <v>5607</v>
      </c>
      <c r="I484" s="16" t="s">
        <v>5608</v>
      </c>
      <c r="J484" s="33">
        <v>42248</v>
      </c>
      <c r="K484" s="33">
        <v>43465</v>
      </c>
      <c r="L484" s="16" t="s">
        <v>66</v>
      </c>
      <c r="M484" s="16" t="s">
        <v>90</v>
      </c>
      <c r="N484" s="16" t="s">
        <v>91</v>
      </c>
      <c r="O484" s="16" t="s">
        <v>91</v>
      </c>
      <c r="P484" s="16" t="s">
        <v>572</v>
      </c>
      <c r="Q484" s="16" t="s">
        <v>71</v>
      </c>
      <c r="R484" s="17" t="s">
        <v>5609</v>
      </c>
      <c r="S484" s="16" t="s">
        <v>5610</v>
      </c>
      <c r="T484" s="16" t="s">
        <v>2596</v>
      </c>
      <c r="U484" s="16" t="s">
        <v>2597</v>
      </c>
      <c r="V484" s="16" t="s">
        <v>5611</v>
      </c>
      <c r="W484" s="16"/>
      <c r="X484" s="16" t="s">
        <v>5612</v>
      </c>
      <c r="Y484" s="16" t="s">
        <v>744</v>
      </c>
      <c r="Z484" s="16"/>
      <c r="AA484" s="16"/>
      <c r="AB484" s="17" t="s">
        <v>5613</v>
      </c>
      <c r="AC484" s="16" t="s">
        <v>71</v>
      </c>
      <c r="AD484" s="17" t="s">
        <v>5613</v>
      </c>
      <c r="AG484" s="16" t="s">
        <v>4983</v>
      </c>
      <c r="AH484" s="16"/>
      <c r="AI484" s="16"/>
      <c r="AJ484" s="16"/>
      <c r="AK484" s="16"/>
      <c r="AL484" s="16" t="s">
        <v>5614</v>
      </c>
    </row>
    <row r="485" spans="1:38" x14ac:dyDescent="0.5">
      <c r="A485">
        <v>20974</v>
      </c>
      <c r="B485" s="16" t="s">
        <v>5615</v>
      </c>
      <c r="C485" s="16" t="s">
        <v>5615</v>
      </c>
      <c r="D485" s="16"/>
      <c r="E485" s="16" t="s">
        <v>5616</v>
      </c>
      <c r="F485" s="17" t="s">
        <v>5617</v>
      </c>
      <c r="H485" s="16" t="s">
        <v>5618</v>
      </c>
      <c r="I485" s="16" t="s">
        <v>5619</v>
      </c>
      <c r="J485" s="33">
        <v>42249</v>
      </c>
      <c r="K485" s="33">
        <v>43465</v>
      </c>
      <c r="L485" s="16" t="s">
        <v>66</v>
      </c>
      <c r="M485" s="16" t="s">
        <v>90</v>
      </c>
      <c r="N485" s="16" t="s">
        <v>91</v>
      </c>
      <c r="O485" s="16" t="s">
        <v>91</v>
      </c>
      <c r="P485" s="16" t="s">
        <v>572</v>
      </c>
      <c r="Q485" s="16" t="s">
        <v>71</v>
      </c>
      <c r="R485" s="17" t="s">
        <v>5620</v>
      </c>
      <c r="S485" s="16" t="s">
        <v>5621</v>
      </c>
      <c r="T485" s="16" t="s">
        <v>5622</v>
      </c>
      <c r="U485" s="16" t="s">
        <v>5623</v>
      </c>
      <c r="V485" s="16" t="s">
        <v>5624</v>
      </c>
      <c r="W485" s="16"/>
      <c r="X485" s="16" t="s">
        <v>5625</v>
      </c>
      <c r="Y485" s="16" t="s">
        <v>744</v>
      </c>
      <c r="Z485" s="16"/>
      <c r="AA485" s="16"/>
      <c r="AB485" s="17" t="s">
        <v>5626</v>
      </c>
      <c r="AC485" s="16" t="s">
        <v>71</v>
      </c>
      <c r="AD485" s="17" t="s">
        <v>5626</v>
      </c>
      <c r="AE485" s="17" t="s">
        <v>5627</v>
      </c>
      <c r="AG485" s="16" t="s">
        <v>4983</v>
      </c>
      <c r="AH485" s="16" t="s">
        <v>1850</v>
      </c>
      <c r="AI485" s="16"/>
      <c r="AJ485" s="16"/>
      <c r="AK485" s="16"/>
      <c r="AL485" s="16" t="s">
        <v>5628</v>
      </c>
    </row>
    <row r="486" spans="1:38" x14ac:dyDescent="0.5">
      <c r="A486">
        <v>20976</v>
      </c>
      <c r="B486" s="16" t="s">
        <v>5629</v>
      </c>
      <c r="C486" s="16" t="s">
        <v>5630</v>
      </c>
      <c r="D486" s="16"/>
      <c r="E486" s="16" t="s">
        <v>5631</v>
      </c>
      <c r="F486" s="17" t="s">
        <v>5632</v>
      </c>
      <c r="G486" s="17" t="s">
        <v>5633</v>
      </c>
      <c r="H486" s="16" t="s">
        <v>5634</v>
      </c>
      <c r="I486" s="16" t="s">
        <v>5635</v>
      </c>
      <c r="J486" s="33">
        <v>42249</v>
      </c>
      <c r="K486" s="33">
        <v>43465</v>
      </c>
      <c r="L486" s="16" t="s">
        <v>66</v>
      </c>
      <c r="M486" s="16" t="s">
        <v>90</v>
      </c>
      <c r="N486" s="16" t="s">
        <v>91</v>
      </c>
      <c r="O486" s="16" t="s">
        <v>91</v>
      </c>
      <c r="P486" s="16" t="s">
        <v>572</v>
      </c>
      <c r="Q486" s="16" t="s">
        <v>71</v>
      </c>
      <c r="R486" s="17" t="s">
        <v>5636</v>
      </c>
      <c r="S486" s="16" t="s">
        <v>5637</v>
      </c>
      <c r="T486" s="16" t="s">
        <v>5638</v>
      </c>
      <c r="U486" s="16" t="s">
        <v>5637</v>
      </c>
      <c r="V486" s="16" t="s">
        <v>5639</v>
      </c>
      <c r="W486" s="16"/>
      <c r="X486" s="16" t="s">
        <v>5640</v>
      </c>
      <c r="Y486" s="16" t="s">
        <v>1307</v>
      </c>
      <c r="Z486" s="16"/>
      <c r="AA486" s="16"/>
      <c r="AB486" s="17" t="s">
        <v>5641</v>
      </c>
      <c r="AC486" s="16" t="s">
        <v>71</v>
      </c>
      <c r="AD486" s="17" t="s">
        <v>5641</v>
      </c>
      <c r="AG486" s="16" t="s">
        <v>4983</v>
      </c>
      <c r="AH486" s="16"/>
      <c r="AI486" s="16"/>
      <c r="AJ486" s="16"/>
      <c r="AK486" s="16"/>
      <c r="AL486" s="16" t="s">
        <v>5642</v>
      </c>
    </row>
    <row r="487" spans="1:38" x14ac:dyDescent="0.5">
      <c r="A487">
        <v>21017</v>
      </c>
      <c r="B487" s="16" t="s">
        <v>5643</v>
      </c>
      <c r="C487" s="16" t="s">
        <v>5643</v>
      </c>
      <c r="D487" s="16"/>
      <c r="E487" s="16" t="s">
        <v>5644</v>
      </c>
      <c r="F487" s="17" t="s">
        <v>5645</v>
      </c>
      <c r="H487" s="16" t="s">
        <v>1976</v>
      </c>
      <c r="I487" s="16" t="s">
        <v>5646</v>
      </c>
      <c r="J487" s="33">
        <v>42376</v>
      </c>
      <c r="K487" s="33">
        <v>43465</v>
      </c>
      <c r="L487" s="16" t="s">
        <v>66</v>
      </c>
      <c r="M487" s="16" t="s">
        <v>67</v>
      </c>
      <c r="N487" s="16" t="s">
        <v>68</v>
      </c>
      <c r="O487" s="16" t="s">
        <v>436</v>
      </c>
      <c r="P487" s="16" t="s">
        <v>572</v>
      </c>
      <c r="Q487" s="16" t="s">
        <v>71</v>
      </c>
      <c r="R487" s="17" t="s">
        <v>5647</v>
      </c>
      <c r="S487" s="16" t="s">
        <v>5648</v>
      </c>
      <c r="T487" s="16" t="s">
        <v>74</v>
      </c>
      <c r="U487" s="16" t="s">
        <v>75</v>
      </c>
      <c r="V487" s="16" t="s">
        <v>5649</v>
      </c>
      <c r="W487" s="16"/>
      <c r="X487" s="16" t="s">
        <v>5650</v>
      </c>
      <c r="Y487" s="16" t="s">
        <v>78</v>
      </c>
      <c r="Z487" s="16" t="s">
        <v>883</v>
      </c>
      <c r="AA487" s="16" t="s">
        <v>884</v>
      </c>
      <c r="AB487" s="17" t="s">
        <v>5651</v>
      </c>
      <c r="AC487" s="16" t="s">
        <v>71</v>
      </c>
      <c r="AD487" s="17" t="s">
        <v>5651</v>
      </c>
      <c r="AF487" s="17" t="s">
        <v>5652</v>
      </c>
      <c r="AG487" s="16" t="s">
        <v>1133</v>
      </c>
      <c r="AH487" s="16" t="s">
        <v>3736</v>
      </c>
      <c r="AI487" s="16" t="s">
        <v>5653</v>
      </c>
      <c r="AJ487" s="16"/>
      <c r="AK487" s="16"/>
      <c r="AL487" s="16" t="s">
        <v>5654</v>
      </c>
    </row>
    <row r="488" spans="1:38" x14ac:dyDescent="0.5">
      <c r="A488">
        <v>21025</v>
      </c>
      <c r="B488" s="16" t="s">
        <v>5655</v>
      </c>
      <c r="C488" s="16" t="s">
        <v>5655</v>
      </c>
      <c r="D488" s="16"/>
      <c r="E488" s="16" t="s">
        <v>5656</v>
      </c>
      <c r="F488" s="17" t="s">
        <v>5657</v>
      </c>
      <c r="H488" s="16" t="s">
        <v>3777</v>
      </c>
      <c r="I488" s="16" t="s">
        <v>5658</v>
      </c>
      <c r="J488" s="33">
        <v>42298</v>
      </c>
      <c r="K488" s="33">
        <v>43465</v>
      </c>
      <c r="L488" s="16" t="s">
        <v>66</v>
      </c>
      <c r="M488" s="16" t="s">
        <v>67</v>
      </c>
      <c r="N488" s="16" t="s">
        <v>68</v>
      </c>
      <c r="O488" s="16" t="s">
        <v>436</v>
      </c>
      <c r="P488" s="16" t="s">
        <v>572</v>
      </c>
      <c r="Q488" s="16" t="s">
        <v>71</v>
      </c>
      <c r="R488" s="17" t="s">
        <v>5659</v>
      </c>
      <c r="S488" s="16" t="s">
        <v>1995</v>
      </c>
      <c r="T488" s="16" t="s">
        <v>74</v>
      </c>
      <c r="U488" s="16" t="s">
        <v>75</v>
      </c>
      <c r="V488" s="16" t="s">
        <v>5660</v>
      </c>
      <c r="W488" s="16"/>
      <c r="X488" s="16" t="s">
        <v>5661</v>
      </c>
      <c r="Y488" s="16" t="s">
        <v>78</v>
      </c>
      <c r="Z488" s="16" t="s">
        <v>1999</v>
      </c>
      <c r="AA488" s="16" t="s">
        <v>2000</v>
      </c>
      <c r="AB488" s="17" t="s">
        <v>5662</v>
      </c>
      <c r="AC488" s="16" t="s">
        <v>71</v>
      </c>
      <c r="AD488" s="17" t="s">
        <v>5662</v>
      </c>
      <c r="AF488" s="17" t="s">
        <v>5663</v>
      </c>
      <c r="AG488" s="16" t="s">
        <v>3785</v>
      </c>
      <c r="AH488" s="16" t="s">
        <v>1259</v>
      </c>
      <c r="AI488" s="16"/>
      <c r="AJ488" s="16"/>
      <c r="AK488" s="16"/>
      <c r="AL488" s="16" t="s">
        <v>5664</v>
      </c>
    </row>
    <row r="489" spans="1:38" x14ac:dyDescent="0.5">
      <c r="A489">
        <v>21030</v>
      </c>
      <c r="B489" s="16" t="s">
        <v>5665</v>
      </c>
      <c r="C489" s="16" t="s">
        <v>5665</v>
      </c>
      <c r="D489" s="16"/>
      <c r="E489" s="16" t="s">
        <v>5666</v>
      </c>
      <c r="F489" s="17" t="s">
        <v>5667</v>
      </c>
      <c r="H489" s="16" t="s">
        <v>5668</v>
      </c>
      <c r="I489" s="16" t="s">
        <v>5669</v>
      </c>
      <c r="J489" s="33">
        <v>42347</v>
      </c>
      <c r="K489" s="33">
        <v>43465</v>
      </c>
      <c r="L489" s="16" t="s">
        <v>66</v>
      </c>
      <c r="M489" s="16" t="s">
        <v>67</v>
      </c>
      <c r="N489" s="16" t="s">
        <v>68</v>
      </c>
      <c r="O489" s="16" t="s">
        <v>436</v>
      </c>
      <c r="P489" s="16" t="s">
        <v>572</v>
      </c>
      <c r="Q489" s="16" t="s">
        <v>71</v>
      </c>
      <c r="R489" s="17" t="s">
        <v>5670</v>
      </c>
      <c r="S489" s="16" t="s">
        <v>5671</v>
      </c>
      <c r="T489" s="16" t="s">
        <v>5672</v>
      </c>
      <c r="U489" s="16" t="s">
        <v>5673</v>
      </c>
      <c r="V489" s="16" t="s">
        <v>5674</v>
      </c>
      <c r="W489" s="16"/>
      <c r="X489" s="16"/>
      <c r="Y489" s="16" t="s">
        <v>744</v>
      </c>
      <c r="Z489" s="16"/>
      <c r="AA489" s="16"/>
      <c r="AB489" s="17" t="s">
        <v>5675</v>
      </c>
      <c r="AC489" s="16" t="s">
        <v>71</v>
      </c>
      <c r="AD489" s="17" t="s">
        <v>5675</v>
      </c>
      <c r="AF489" s="17" t="s">
        <v>5676</v>
      </c>
      <c r="AG489" s="16" t="s">
        <v>2297</v>
      </c>
      <c r="AH489" s="16"/>
      <c r="AI489" s="16"/>
      <c r="AJ489" s="16"/>
      <c r="AK489" s="16"/>
      <c r="AL489" s="16" t="s">
        <v>5668</v>
      </c>
    </row>
    <row r="490" spans="1:38" x14ac:dyDescent="0.5">
      <c r="A490">
        <v>21035</v>
      </c>
      <c r="B490" s="16" t="s">
        <v>3439</v>
      </c>
      <c r="C490" s="16" t="s">
        <v>3439</v>
      </c>
      <c r="D490" s="16"/>
      <c r="E490" s="16" t="s">
        <v>5677</v>
      </c>
      <c r="F490" s="17" t="s">
        <v>5678</v>
      </c>
      <c r="G490" s="17" t="s">
        <v>5679</v>
      </c>
      <c r="H490" s="16" t="s">
        <v>5680</v>
      </c>
      <c r="I490" s="16" t="s">
        <v>5681</v>
      </c>
      <c r="J490" s="33">
        <v>42475</v>
      </c>
      <c r="K490" s="33">
        <v>43465</v>
      </c>
      <c r="L490" s="16" t="s">
        <v>66</v>
      </c>
      <c r="M490" s="16" t="s">
        <v>5682</v>
      </c>
      <c r="N490" s="16" t="s">
        <v>5683</v>
      </c>
      <c r="O490" s="16" t="s">
        <v>5684</v>
      </c>
      <c r="P490" s="16" t="s">
        <v>572</v>
      </c>
      <c r="Q490" s="16" t="s">
        <v>71</v>
      </c>
      <c r="R490" s="17" t="s">
        <v>5685</v>
      </c>
      <c r="S490" s="16" t="s">
        <v>4137</v>
      </c>
      <c r="T490" s="16" t="s">
        <v>4138</v>
      </c>
      <c r="U490" s="16" t="s">
        <v>4139</v>
      </c>
      <c r="V490" s="16" t="s">
        <v>5686</v>
      </c>
      <c r="W490" s="16"/>
      <c r="X490" s="16" t="s">
        <v>5687</v>
      </c>
      <c r="Y490" s="16" t="s">
        <v>744</v>
      </c>
      <c r="Z490" s="16"/>
      <c r="AA490" s="16"/>
      <c r="AB490" s="17" t="s">
        <v>5688</v>
      </c>
      <c r="AC490" s="16" t="s">
        <v>71</v>
      </c>
      <c r="AD490" s="17" t="s">
        <v>5688</v>
      </c>
      <c r="AF490" s="17" t="s">
        <v>5689</v>
      </c>
      <c r="AG490" s="16" t="s">
        <v>5690</v>
      </c>
      <c r="AH490" s="16" t="s">
        <v>2632</v>
      </c>
      <c r="AI490" s="16"/>
      <c r="AJ490" s="16"/>
      <c r="AK490" s="16"/>
      <c r="AL490" s="16" t="s">
        <v>5680</v>
      </c>
    </row>
    <row r="491" spans="1:38" x14ac:dyDescent="0.5">
      <c r="A491">
        <v>21094</v>
      </c>
      <c r="B491" s="16" t="s">
        <v>566</v>
      </c>
      <c r="C491" s="16" t="s">
        <v>566</v>
      </c>
      <c r="D491" s="16"/>
      <c r="E491" s="16" t="s">
        <v>5691</v>
      </c>
      <c r="F491" s="17" t="s">
        <v>5692</v>
      </c>
      <c r="H491" s="16" t="s">
        <v>5693</v>
      </c>
      <c r="I491" s="16" t="s">
        <v>5694</v>
      </c>
      <c r="J491" s="33">
        <v>42370</v>
      </c>
      <c r="K491" s="33">
        <v>43465</v>
      </c>
      <c r="L491" s="16" t="s">
        <v>66</v>
      </c>
      <c r="M491" s="16" t="s">
        <v>67</v>
      </c>
      <c r="N491" s="16" t="s">
        <v>68</v>
      </c>
      <c r="O491" s="16" t="s">
        <v>436</v>
      </c>
      <c r="P491" s="16" t="s">
        <v>572</v>
      </c>
      <c r="Q491" s="16" t="s">
        <v>71</v>
      </c>
      <c r="R491" s="17" t="s">
        <v>5695</v>
      </c>
      <c r="S491" s="16" t="s">
        <v>5696</v>
      </c>
      <c r="T491" s="16" t="s">
        <v>74</v>
      </c>
      <c r="U491" s="16" t="s">
        <v>75</v>
      </c>
      <c r="V491" s="16" t="s">
        <v>5697</v>
      </c>
      <c r="W491" s="16"/>
      <c r="X491" s="16" t="s">
        <v>5698</v>
      </c>
      <c r="Y491" s="16" t="s">
        <v>78</v>
      </c>
      <c r="Z491" s="16" t="s">
        <v>296</v>
      </c>
      <c r="AA491" s="16" t="s">
        <v>297</v>
      </c>
      <c r="AB491" s="17" t="s">
        <v>5699</v>
      </c>
      <c r="AC491" s="16" t="s">
        <v>71</v>
      </c>
      <c r="AD491" s="17" t="s">
        <v>5699</v>
      </c>
      <c r="AG491" s="16" t="s">
        <v>1560</v>
      </c>
      <c r="AH491" s="16" t="s">
        <v>1285</v>
      </c>
      <c r="AI491" s="16"/>
      <c r="AJ491" s="16"/>
      <c r="AK491" s="16"/>
      <c r="AL491" s="16" t="s">
        <v>5693</v>
      </c>
    </row>
    <row r="492" spans="1:38" x14ac:dyDescent="0.5">
      <c r="A492">
        <v>21095</v>
      </c>
      <c r="B492" s="16" t="s">
        <v>3652</v>
      </c>
      <c r="C492" s="16" t="s">
        <v>3652</v>
      </c>
      <c r="D492" s="16"/>
      <c r="E492" s="16" t="s">
        <v>5700</v>
      </c>
      <c r="F492" s="17" t="s">
        <v>5701</v>
      </c>
      <c r="H492" s="16" t="s">
        <v>5702</v>
      </c>
      <c r="I492" s="16" t="s">
        <v>8625</v>
      </c>
      <c r="J492" s="33">
        <v>42340</v>
      </c>
      <c r="K492" s="33">
        <v>43465</v>
      </c>
      <c r="L492" s="16" t="s">
        <v>66</v>
      </c>
      <c r="M492" s="16" t="s">
        <v>67</v>
      </c>
      <c r="N492" s="16" t="s">
        <v>68</v>
      </c>
      <c r="O492" s="16" t="s">
        <v>436</v>
      </c>
      <c r="P492" s="16" t="s">
        <v>572</v>
      </c>
      <c r="Q492" s="16" t="s">
        <v>71</v>
      </c>
      <c r="R492" s="17" t="s">
        <v>5703</v>
      </c>
      <c r="S492" s="16" t="s">
        <v>5704</v>
      </c>
      <c r="T492" s="16" t="s">
        <v>74</v>
      </c>
      <c r="U492" s="16" t="s">
        <v>75</v>
      </c>
      <c r="V492" s="16" t="s">
        <v>5705</v>
      </c>
      <c r="W492" s="16"/>
      <c r="X492" s="16" t="s">
        <v>5706</v>
      </c>
      <c r="Y492" s="16" t="s">
        <v>78</v>
      </c>
      <c r="Z492" s="16" t="s">
        <v>508</v>
      </c>
      <c r="AA492" s="16" t="s">
        <v>509</v>
      </c>
      <c r="AB492" s="17" t="s">
        <v>5707</v>
      </c>
      <c r="AC492" s="16" t="s">
        <v>71</v>
      </c>
      <c r="AD492" s="17" t="s">
        <v>5707</v>
      </c>
      <c r="AE492" s="17" t="s">
        <v>5708</v>
      </c>
      <c r="AG492" s="16" t="s">
        <v>4652</v>
      </c>
      <c r="AH492" s="16" t="s">
        <v>4062</v>
      </c>
      <c r="AI492" s="16"/>
      <c r="AJ492" s="16"/>
      <c r="AK492" s="16"/>
      <c r="AL492" s="16" t="s">
        <v>5709</v>
      </c>
    </row>
    <row r="493" spans="1:38" x14ac:dyDescent="0.5">
      <c r="A493">
        <v>21097</v>
      </c>
      <c r="B493" s="16" t="s">
        <v>5710</v>
      </c>
      <c r="C493" s="16" t="s">
        <v>5710</v>
      </c>
      <c r="D493" s="16" t="s">
        <v>5711</v>
      </c>
      <c r="E493" s="16" t="s">
        <v>5712</v>
      </c>
      <c r="F493" s="17" t="s">
        <v>5713</v>
      </c>
      <c r="H493" s="16" t="s">
        <v>5714</v>
      </c>
      <c r="I493" s="16" t="s">
        <v>5715</v>
      </c>
      <c r="J493" s="33">
        <v>42338</v>
      </c>
      <c r="K493" s="33">
        <v>43465</v>
      </c>
      <c r="L493" s="16" t="s">
        <v>66</v>
      </c>
      <c r="M493" s="16" t="s">
        <v>67</v>
      </c>
      <c r="N493" s="16" t="s">
        <v>68</v>
      </c>
      <c r="O493" s="16" t="s">
        <v>436</v>
      </c>
      <c r="P493" s="16" t="s">
        <v>572</v>
      </c>
      <c r="Q493" s="16" t="s">
        <v>71</v>
      </c>
      <c r="R493" s="17" t="s">
        <v>5716</v>
      </c>
      <c r="S493" s="16" t="s">
        <v>5717</v>
      </c>
      <c r="T493" s="16" t="s">
        <v>74</v>
      </c>
      <c r="U493" s="16" t="s">
        <v>75</v>
      </c>
      <c r="V493" s="16" t="s">
        <v>5718</v>
      </c>
      <c r="W493" s="16"/>
      <c r="X493" s="16" t="s">
        <v>5719</v>
      </c>
      <c r="Y493" s="16" t="s">
        <v>78</v>
      </c>
      <c r="Z493" s="16" t="s">
        <v>172</v>
      </c>
      <c r="AA493" s="16" t="s">
        <v>173</v>
      </c>
      <c r="AB493" s="17" t="s">
        <v>5720</v>
      </c>
      <c r="AC493" s="16" t="s">
        <v>71</v>
      </c>
      <c r="AD493" s="17" t="s">
        <v>5720</v>
      </c>
      <c r="AG493" s="16" t="s">
        <v>781</v>
      </c>
      <c r="AH493" s="16" t="s">
        <v>1285</v>
      </c>
      <c r="AI493" s="16"/>
      <c r="AJ493" s="16"/>
      <c r="AK493" s="16"/>
      <c r="AL493" s="16" t="s">
        <v>5721</v>
      </c>
    </row>
    <row r="494" spans="1:38" x14ac:dyDescent="0.5">
      <c r="A494">
        <v>21098</v>
      </c>
      <c r="B494" s="16" t="s">
        <v>5722</v>
      </c>
      <c r="C494" s="16" t="s">
        <v>5722</v>
      </c>
      <c r="D494" s="16"/>
      <c r="E494" s="16" t="s">
        <v>5723</v>
      </c>
      <c r="F494" s="17" t="s">
        <v>5724</v>
      </c>
      <c r="H494" s="16" t="s">
        <v>5725</v>
      </c>
      <c r="I494" s="16" t="s">
        <v>5726</v>
      </c>
      <c r="J494" s="33">
        <v>42340</v>
      </c>
      <c r="K494" s="33">
        <v>43465</v>
      </c>
      <c r="L494" s="16" t="s">
        <v>66</v>
      </c>
      <c r="M494" s="16" t="s">
        <v>67</v>
      </c>
      <c r="N494" s="16" t="s">
        <v>68</v>
      </c>
      <c r="O494" s="16" t="s">
        <v>436</v>
      </c>
      <c r="P494" s="16" t="s">
        <v>572</v>
      </c>
      <c r="Q494" s="16" t="s">
        <v>71</v>
      </c>
      <c r="R494" s="17" t="s">
        <v>5727</v>
      </c>
      <c r="S494" s="16" t="s">
        <v>1737</v>
      </c>
      <c r="T494" s="16" t="s">
        <v>74</v>
      </c>
      <c r="U494" s="16" t="s">
        <v>75</v>
      </c>
      <c r="V494" s="16" t="s">
        <v>5728</v>
      </c>
      <c r="W494" s="16"/>
      <c r="X494" s="16" t="s">
        <v>5729</v>
      </c>
      <c r="Y494" s="16" t="s">
        <v>78</v>
      </c>
      <c r="Z494" s="16" t="s">
        <v>1025</v>
      </c>
      <c r="AA494" s="16" t="s">
        <v>1026</v>
      </c>
      <c r="AB494" s="17" t="s">
        <v>5730</v>
      </c>
      <c r="AC494" s="16" t="s">
        <v>71</v>
      </c>
      <c r="AD494" s="17" t="s">
        <v>5730</v>
      </c>
      <c r="AG494" s="16" t="s">
        <v>3725</v>
      </c>
      <c r="AH494" s="16"/>
      <c r="AI494" s="16"/>
      <c r="AJ494" s="16"/>
      <c r="AK494" s="16"/>
      <c r="AL494" s="16" t="s">
        <v>5725</v>
      </c>
    </row>
    <row r="495" spans="1:38" x14ac:dyDescent="0.5">
      <c r="A495">
        <v>21100</v>
      </c>
      <c r="B495" s="16" t="s">
        <v>5068</v>
      </c>
      <c r="C495" s="16" t="s">
        <v>5068</v>
      </c>
      <c r="D495" s="16" t="s">
        <v>921</v>
      </c>
      <c r="E495" s="16" t="s">
        <v>500</v>
      </c>
      <c r="F495" s="17" t="s">
        <v>5731</v>
      </c>
      <c r="H495" s="16" t="s">
        <v>3356</v>
      </c>
      <c r="I495" s="16" t="s">
        <v>5732</v>
      </c>
      <c r="J495" s="33">
        <v>42346</v>
      </c>
      <c r="K495" s="33">
        <v>43465</v>
      </c>
      <c r="L495" s="16" t="s">
        <v>66</v>
      </c>
      <c r="M495" s="16" t="s">
        <v>67</v>
      </c>
      <c r="N495" s="16" t="s">
        <v>68</v>
      </c>
      <c r="O495" s="16" t="s">
        <v>436</v>
      </c>
      <c r="P495" s="16"/>
      <c r="Q495" s="16" t="s">
        <v>71</v>
      </c>
      <c r="R495" s="17" t="s">
        <v>5733</v>
      </c>
      <c r="S495" s="16" t="s">
        <v>5734</v>
      </c>
      <c r="T495" s="16" t="s">
        <v>74</v>
      </c>
      <c r="U495" s="16" t="s">
        <v>75</v>
      </c>
      <c r="V495" s="16" t="s">
        <v>5735</v>
      </c>
      <c r="W495" s="16" t="s">
        <v>5736</v>
      </c>
      <c r="X495" s="16" t="s">
        <v>5737</v>
      </c>
      <c r="Y495" s="16" t="s">
        <v>78</v>
      </c>
      <c r="Z495" s="16" t="s">
        <v>96</v>
      </c>
      <c r="AA495" s="16" t="s">
        <v>97</v>
      </c>
      <c r="AB495" s="17" t="s">
        <v>5738</v>
      </c>
      <c r="AC495" s="16" t="s">
        <v>71</v>
      </c>
      <c r="AD495" s="17" t="s">
        <v>5738</v>
      </c>
      <c r="AG495" s="16" t="s">
        <v>5739</v>
      </c>
      <c r="AH495" s="16" t="s">
        <v>2953</v>
      </c>
      <c r="AI495" s="16"/>
      <c r="AJ495" s="16"/>
      <c r="AK495" s="16"/>
      <c r="AL495" s="16" t="s">
        <v>5740</v>
      </c>
    </row>
    <row r="496" spans="1:38" x14ac:dyDescent="0.5">
      <c r="A496">
        <v>21101</v>
      </c>
      <c r="B496" s="16" t="s">
        <v>5741</v>
      </c>
      <c r="C496" s="16" t="s">
        <v>5741</v>
      </c>
      <c r="D496" s="16"/>
      <c r="E496" s="16" t="s">
        <v>5742</v>
      </c>
      <c r="F496" s="17" t="s">
        <v>5743</v>
      </c>
      <c r="H496" s="16" t="s">
        <v>5744</v>
      </c>
      <c r="I496" s="16" t="s">
        <v>5745</v>
      </c>
      <c r="J496" s="33">
        <v>42341</v>
      </c>
      <c r="K496" s="33">
        <v>43465</v>
      </c>
      <c r="L496" s="16" t="s">
        <v>66</v>
      </c>
      <c r="M496" s="16" t="s">
        <v>67</v>
      </c>
      <c r="N496" s="16" t="s">
        <v>68</v>
      </c>
      <c r="O496" s="16" t="s">
        <v>1082</v>
      </c>
      <c r="P496" s="16" t="s">
        <v>572</v>
      </c>
      <c r="Q496" s="16" t="s">
        <v>71</v>
      </c>
      <c r="R496" s="17" t="s">
        <v>5746</v>
      </c>
      <c r="S496" s="16" t="s">
        <v>5747</v>
      </c>
      <c r="T496" s="16" t="s">
        <v>74</v>
      </c>
      <c r="U496" s="16" t="s">
        <v>75</v>
      </c>
      <c r="V496" s="16" t="s">
        <v>5748</v>
      </c>
      <c r="W496" s="16"/>
      <c r="X496" s="16" t="s">
        <v>5749</v>
      </c>
      <c r="Y496" s="16" t="s">
        <v>78</v>
      </c>
      <c r="Z496" s="16" t="s">
        <v>392</v>
      </c>
      <c r="AA496" s="16" t="s">
        <v>393</v>
      </c>
      <c r="AB496" s="17" t="s">
        <v>5750</v>
      </c>
      <c r="AC496" s="16" t="s">
        <v>71</v>
      </c>
      <c r="AD496" s="17" t="s">
        <v>5750</v>
      </c>
      <c r="AE496" s="17" t="s">
        <v>5751</v>
      </c>
      <c r="AG496" s="16" t="s">
        <v>1850</v>
      </c>
      <c r="AH496" s="16" t="s">
        <v>4062</v>
      </c>
      <c r="AI496" s="16"/>
      <c r="AJ496" s="16"/>
      <c r="AK496" s="16"/>
      <c r="AL496" s="16" t="s">
        <v>5744</v>
      </c>
    </row>
    <row r="497" spans="1:38" x14ac:dyDescent="0.5">
      <c r="A497">
        <v>21102</v>
      </c>
      <c r="B497" s="16" t="s">
        <v>229</v>
      </c>
      <c r="C497" s="16" t="s">
        <v>229</v>
      </c>
      <c r="D497" s="16"/>
      <c r="E497" s="16" t="s">
        <v>5752</v>
      </c>
      <c r="F497" s="17" t="s">
        <v>5753</v>
      </c>
      <c r="G497" s="17" t="s">
        <v>5754</v>
      </c>
      <c r="H497" s="16" t="s">
        <v>5755</v>
      </c>
      <c r="I497" s="16" t="s">
        <v>5756</v>
      </c>
      <c r="J497" s="33">
        <v>43131</v>
      </c>
      <c r="K497" s="33">
        <v>43465</v>
      </c>
      <c r="L497" s="16" t="s">
        <v>66</v>
      </c>
      <c r="M497" s="16" t="s">
        <v>235</v>
      </c>
      <c r="N497" s="16" t="s">
        <v>236</v>
      </c>
      <c r="O497" s="16" t="s">
        <v>237</v>
      </c>
      <c r="P497" s="16"/>
      <c r="Q497" s="16" t="s">
        <v>71</v>
      </c>
      <c r="R497" s="17" t="s">
        <v>5757</v>
      </c>
      <c r="S497" s="16" t="s">
        <v>3073</v>
      </c>
      <c r="T497" s="16" t="s">
        <v>74</v>
      </c>
      <c r="U497" s="16" t="s">
        <v>75</v>
      </c>
      <c r="V497" s="16" t="s">
        <v>5758</v>
      </c>
      <c r="W497" s="16"/>
      <c r="X497" s="16" t="s">
        <v>5759</v>
      </c>
      <c r="Y497" s="16" t="s">
        <v>78</v>
      </c>
      <c r="Z497" s="16" t="s">
        <v>2165</v>
      </c>
      <c r="AA497" s="16" t="s">
        <v>2166</v>
      </c>
      <c r="AB497" s="17" t="s">
        <v>5760</v>
      </c>
      <c r="AC497" s="16" t="s">
        <v>71</v>
      </c>
      <c r="AD497" s="17" t="s">
        <v>5760</v>
      </c>
      <c r="AG497" s="16" t="s">
        <v>5761</v>
      </c>
      <c r="AH497" s="16" t="s">
        <v>1488</v>
      </c>
      <c r="AI497" s="16"/>
      <c r="AJ497" s="16"/>
      <c r="AK497" s="16"/>
      <c r="AL497" s="16" t="s">
        <v>5762</v>
      </c>
    </row>
    <row r="498" spans="1:38" x14ac:dyDescent="0.5">
      <c r="A498">
        <v>21103</v>
      </c>
      <c r="B498" s="16" t="s">
        <v>5763</v>
      </c>
      <c r="C498" s="16" t="s">
        <v>5763</v>
      </c>
      <c r="D498" s="16"/>
      <c r="E498" s="16" t="s">
        <v>5764</v>
      </c>
      <c r="F498" s="17" t="s">
        <v>5765</v>
      </c>
      <c r="H498" s="16" t="s">
        <v>2810</v>
      </c>
      <c r="I498" s="16" t="s">
        <v>5766</v>
      </c>
      <c r="J498" s="33">
        <v>42345</v>
      </c>
      <c r="K498" s="33">
        <v>43465</v>
      </c>
      <c r="L498" s="16" t="s">
        <v>66</v>
      </c>
      <c r="M498" s="16" t="s">
        <v>67</v>
      </c>
      <c r="N498" s="16" t="s">
        <v>68</v>
      </c>
      <c r="O498" s="16" t="s">
        <v>436</v>
      </c>
      <c r="P498" s="16" t="s">
        <v>572</v>
      </c>
      <c r="Q498" s="16" t="s">
        <v>71</v>
      </c>
      <c r="R498" s="17" t="s">
        <v>5767</v>
      </c>
      <c r="S498" s="16" t="s">
        <v>5768</v>
      </c>
      <c r="T498" s="16" t="s">
        <v>74</v>
      </c>
      <c r="U498" s="16" t="s">
        <v>75</v>
      </c>
      <c r="V498" s="16" t="s">
        <v>5769</v>
      </c>
      <c r="W498" s="16"/>
      <c r="X498" s="16" t="s">
        <v>5770</v>
      </c>
      <c r="Y498" s="16" t="s">
        <v>78</v>
      </c>
      <c r="Z498" s="16" t="s">
        <v>492</v>
      </c>
      <c r="AA498" s="16" t="s">
        <v>493</v>
      </c>
      <c r="AB498" s="17" t="s">
        <v>5771</v>
      </c>
      <c r="AC498" s="16" t="s">
        <v>71</v>
      </c>
      <c r="AD498" s="17" t="s">
        <v>5771</v>
      </c>
      <c r="AG498" s="16" t="s">
        <v>5761</v>
      </c>
      <c r="AH498" s="16" t="s">
        <v>1488</v>
      </c>
      <c r="AI498" s="16"/>
      <c r="AJ498" s="16"/>
      <c r="AK498" s="16"/>
      <c r="AL498" s="16" t="s">
        <v>1429</v>
      </c>
    </row>
    <row r="499" spans="1:38" x14ac:dyDescent="0.5">
      <c r="A499">
        <v>21104</v>
      </c>
      <c r="B499" s="16" t="s">
        <v>3396</v>
      </c>
      <c r="C499" s="16" t="s">
        <v>3396</v>
      </c>
      <c r="D499" s="16"/>
      <c r="E499" s="16" t="s">
        <v>5772</v>
      </c>
      <c r="F499" s="17" t="s">
        <v>5773</v>
      </c>
      <c r="H499" s="16" t="s">
        <v>5582</v>
      </c>
      <c r="I499" s="16" t="s">
        <v>5774</v>
      </c>
      <c r="J499" s="33">
        <v>42824</v>
      </c>
      <c r="K499" s="33">
        <v>43465</v>
      </c>
      <c r="L499" s="16" t="s">
        <v>66</v>
      </c>
      <c r="M499" s="16" t="s">
        <v>67</v>
      </c>
      <c r="N499" s="16" t="s">
        <v>68</v>
      </c>
      <c r="O499" s="16" t="s">
        <v>436</v>
      </c>
      <c r="P499" s="16" t="s">
        <v>572</v>
      </c>
      <c r="Q499" s="16" t="s">
        <v>71</v>
      </c>
      <c r="R499" s="17" t="s">
        <v>5775</v>
      </c>
      <c r="S499" s="16" t="s">
        <v>5776</v>
      </c>
      <c r="T499" s="16" t="s">
        <v>1411</v>
      </c>
      <c r="U499" s="16" t="s">
        <v>1412</v>
      </c>
      <c r="V499" s="16" t="s">
        <v>5777</v>
      </c>
      <c r="W499" s="16"/>
      <c r="X499" s="16" t="s">
        <v>5778</v>
      </c>
      <c r="Y499" s="16" t="s">
        <v>744</v>
      </c>
      <c r="Z499" s="16"/>
      <c r="AA499" s="16"/>
      <c r="AB499" s="17" t="s">
        <v>5779</v>
      </c>
      <c r="AC499" s="16" t="s">
        <v>71</v>
      </c>
      <c r="AD499" s="17" t="s">
        <v>5779</v>
      </c>
      <c r="AG499" s="16" t="s">
        <v>2632</v>
      </c>
      <c r="AH499" s="16" t="s">
        <v>5780</v>
      </c>
      <c r="AI499" s="16"/>
      <c r="AJ499" s="16"/>
      <c r="AK499" s="16"/>
      <c r="AL499" s="16" t="s">
        <v>5582</v>
      </c>
    </row>
    <row r="500" spans="1:38" x14ac:dyDescent="0.5">
      <c r="A500">
        <v>21106</v>
      </c>
      <c r="B500" s="16" t="s">
        <v>5781</v>
      </c>
      <c r="C500" s="16" t="s">
        <v>5781</v>
      </c>
      <c r="D500" s="16"/>
      <c r="E500" s="16" t="s">
        <v>5782</v>
      </c>
      <c r="F500" s="17" t="s">
        <v>5783</v>
      </c>
      <c r="H500" s="16" t="s">
        <v>5784</v>
      </c>
      <c r="I500" s="16" t="s">
        <v>5785</v>
      </c>
      <c r="J500" s="33">
        <v>42402</v>
      </c>
      <c r="K500" s="33">
        <v>43465</v>
      </c>
      <c r="L500" s="16" t="s">
        <v>66</v>
      </c>
      <c r="M500" s="16" t="s">
        <v>235</v>
      </c>
      <c r="N500" s="16" t="s">
        <v>236</v>
      </c>
      <c r="O500" s="16" t="s">
        <v>237</v>
      </c>
      <c r="P500" s="16" t="s">
        <v>572</v>
      </c>
      <c r="Q500" s="16" t="s">
        <v>71</v>
      </c>
      <c r="R500" s="17" t="s">
        <v>5786</v>
      </c>
      <c r="S500" s="16" t="s">
        <v>222</v>
      </c>
      <c r="T500" s="16" t="s">
        <v>74</v>
      </c>
      <c r="U500" s="16" t="s">
        <v>75</v>
      </c>
      <c r="V500" s="16" t="s">
        <v>5787</v>
      </c>
      <c r="W500" s="16"/>
      <c r="X500" s="16" t="s">
        <v>5788</v>
      </c>
      <c r="Y500" s="16" t="s">
        <v>78</v>
      </c>
      <c r="Z500" s="16" t="s">
        <v>189</v>
      </c>
      <c r="AA500" s="16" t="s">
        <v>190</v>
      </c>
      <c r="AB500" s="17" t="s">
        <v>5789</v>
      </c>
      <c r="AC500" s="16" t="s">
        <v>71</v>
      </c>
      <c r="AD500" s="17" t="s">
        <v>5789</v>
      </c>
      <c r="AG500" s="16" t="s">
        <v>653</v>
      </c>
      <c r="AH500" s="16"/>
      <c r="AI500" s="16"/>
      <c r="AJ500" s="16"/>
      <c r="AK500" s="16"/>
      <c r="AL500" s="16" t="s">
        <v>5784</v>
      </c>
    </row>
    <row r="501" spans="1:38" x14ac:dyDescent="0.5">
      <c r="A501">
        <v>21107</v>
      </c>
      <c r="B501" s="16" t="s">
        <v>1603</v>
      </c>
      <c r="C501" s="16" t="s">
        <v>1603</v>
      </c>
      <c r="D501" s="16"/>
      <c r="E501" s="16" t="s">
        <v>5790</v>
      </c>
      <c r="F501" s="17" t="s">
        <v>5791</v>
      </c>
      <c r="G501" s="17" t="s">
        <v>5792</v>
      </c>
      <c r="H501" s="16" t="s">
        <v>5793</v>
      </c>
      <c r="I501" s="16" t="s">
        <v>5794</v>
      </c>
      <c r="J501" s="33">
        <v>42382</v>
      </c>
      <c r="K501" s="33">
        <v>43465</v>
      </c>
      <c r="L501" s="16" t="s">
        <v>66</v>
      </c>
      <c r="M501" s="16" t="s">
        <v>235</v>
      </c>
      <c r="N501" s="16" t="s">
        <v>236</v>
      </c>
      <c r="O501" s="16" t="s">
        <v>253</v>
      </c>
      <c r="P501" s="16" t="s">
        <v>3116</v>
      </c>
      <c r="Q501" s="16" t="s">
        <v>71</v>
      </c>
      <c r="R501" s="17" t="s">
        <v>5795</v>
      </c>
      <c r="S501" s="16" t="s">
        <v>2378</v>
      </c>
      <c r="T501" s="16" t="s">
        <v>74</v>
      </c>
      <c r="U501" s="16" t="s">
        <v>75</v>
      </c>
      <c r="V501" s="16" t="s">
        <v>5796</v>
      </c>
      <c r="W501" s="16"/>
      <c r="X501" s="16" t="s">
        <v>5797</v>
      </c>
      <c r="Y501" s="16" t="s">
        <v>78</v>
      </c>
      <c r="Z501" s="16" t="s">
        <v>392</v>
      </c>
      <c r="AA501" s="16" t="s">
        <v>393</v>
      </c>
      <c r="AB501" s="17" t="s">
        <v>5798</v>
      </c>
      <c r="AC501" s="16" t="s">
        <v>71</v>
      </c>
      <c r="AD501" s="17" t="s">
        <v>5798</v>
      </c>
      <c r="AG501" s="16" t="s">
        <v>2840</v>
      </c>
      <c r="AH501" s="16" t="s">
        <v>5799</v>
      </c>
      <c r="AI501" s="16"/>
      <c r="AJ501" s="16"/>
      <c r="AK501" s="16"/>
      <c r="AL501" s="16" t="s">
        <v>5800</v>
      </c>
    </row>
    <row r="502" spans="1:38" x14ac:dyDescent="0.5">
      <c r="A502">
        <v>21109</v>
      </c>
      <c r="B502" s="16" t="s">
        <v>1478</v>
      </c>
      <c r="C502" s="16" t="s">
        <v>1478</v>
      </c>
      <c r="D502" s="16"/>
      <c r="E502" s="16" t="s">
        <v>5801</v>
      </c>
      <c r="F502" s="17" t="s">
        <v>5802</v>
      </c>
      <c r="G502" s="17" t="s">
        <v>5803</v>
      </c>
      <c r="H502" s="16" t="s">
        <v>5804</v>
      </c>
      <c r="I502" s="16" t="s">
        <v>5805</v>
      </c>
      <c r="J502" s="33">
        <v>42342</v>
      </c>
      <c r="K502" s="33">
        <v>43465</v>
      </c>
      <c r="L502" s="16" t="s">
        <v>66</v>
      </c>
      <c r="M502" s="16" t="s">
        <v>235</v>
      </c>
      <c r="N502" s="16" t="s">
        <v>236</v>
      </c>
      <c r="O502" s="16" t="s">
        <v>237</v>
      </c>
      <c r="P502" s="16" t="s">
        <v>572</v>
      </c>
      <c r="Q502" s="16" t="s">
        <v>71</v>
      </c>
      <c r="R502" s="17" t="s">
        <v>5806</v>
      </c>
      <c r="S502" s="16" t="s">
        <v>662</v>
      </c>
      <c r="T502" s="16" t="s">
        <v>74</v>
      </c>
      <c r="U502" s="16" t="s">
        <v>75</v>
      </c>
      <c r="V502" s="16" t="s">
        <v>5807</v>
      </c>
      <c r="W502" s="16"/>
      <c r="X502" s="16" t="s">
        <v>1601</v>
      </c>
      <c r="Y502" s="16" t="s">
        <v>78</v>
      </c>
      <c r="Z502" s="16" t="s">
        <v>666</v>
      </c>
      <c r="AA502" s="16" t="s">
        <v>667</v>
      </c>
      <c r="AB502" s="17" t="s">
        <v>5808</v>
      </c>
      <c r="AC502" s="16" t="s">
        <v>71</v>
      </c>
      <c r="AD502" s="17" t="s">
        <v>5808</v>
      </c>
      <c r="AG502" s="16" t="s">
        <v>5809</v>
      </c>
      <c r="AH502" s="16" t="s">
        <v>1784</v>
      </c>
      <c r="AI502" s="16"/>
      <c r="AJ502" s="16"/>
      <c r="AK502" s="16"/>
      <c r="AL502" s="16" t="s">
        <v>5804</v>
      </c>
    </row>
    <row r="503" spans="1:38" x14ac:dyDescent="0.5">
      <c r="A503">
        <v>21110</v>
      </c>
      <c r="B503" s="16" t="s">
        <v>4463</v>
      </c>
      <c r="C503" s="16" t="s">
        <v>4463</v>
      </c>
      <c r="D503" s="16"/>
      <c r="E503" s="16" t="s">
        <v>5810</v>
      </c>
      <c r="F503" s="17" t="s">
        <v>5811</v>
      </c>
      <c r="H503" s="16" t="s">
        <v>5812</v>
      </c>
      <c r="I503" s="16" t="s">
        <v>5813</v>
      </c>
      <c r="J503" s="33">
        <v>42373</v>
      </c>
      <c r="K503" s="33">
        <v>43465</v>
      </c>
      <c r="L503" s="16" t="s">
        <v>66</v>
      </c>
      <c r="M503" s="16" t="s">
        <v>90</v>
      </c>
      <c r="N503" s="16" t="s">
        <v>91</v>
      </c>
      <c r="O503" s="16" t="s">
        <v>91</v>
      </c>
      <c r="P503" s="16" t="s">
        <v>572</v>
      </c>
      <c r="Q503" s="16" t="s">
        <v>71</v>
      </c>
      <c r="R503" s="17" t="s">
        <v>5814</v>
      </c>
      <c r="S503" s="16" t="s">
        <v>3349</v>
      </c>
      <c r="T503" s="16" t="s">
        <v>74</v>
      </c>
      <c r="U503" s="16" t="s">
        <v>75</v>
      </c>
      <c r="V503" s="16" t="s">
        <v>5815</v>
      </c>
      <c r="W503" s="16"/>
      <c r="X503" s="16" t="s">
        <v>5816</v>
      </c>
      <c r="Y503" s="16" t="s">
        <v>78</v>
      </c>
      <c r="Z503" s="16" t="s">
        <v>1228</v>
      </c>
      <c r="AA503" s="16" t="s">
        <v>1229</v>
      </c>
      <c r="AB503" s="17" t="s">
        <v>5817</v>
      </c>
      <c r="AC503" s="16" t="s">
        <v>71</v>
      </c>
      <c r="AD503" s="17" t="s">
        <v>5817</v>
      </c>
      <c r="AG503" s="16" t="s">
        <v>5818</v>
      </c>
      <c r="AH503" s="16" t="s">
        <v>1913</v>
      </c>
      <c r="AI503" s="16"/>
      <c r="AJ503" s="16"/>
      <c r="AK503" s="16"/>
      <c r="AL503" s="16" t="s">
        <v>5819</v>
      </c>
    </row>
    <row r="504" spans="1:38" x14ac:dyDescent="0.5">
      <c r="A504">
        <v>21111</v>
      </c>
      <c r="B504" s="16" t="s">
        <v>5820</v>
      </c>
      <c r="C504" s="16" t="s">
        <v>5820</v>
      </c>
      <c r="D504" s="16"/>
      <c r="E504" s="16" t="s">
        <v>5821</v>
      </c>
      <c r="F504" s="17" t="s">
        <v>5822</v>
      </c>
      <c r="H504" s="16" t="s">
        <v>5823</v>
      </c>
      <c r="I504" s="16" t="s">
        <v>5824</v>
      </c>
      <c r="J504" s="33">
        <v>42376</v>
      </c>
      <c r="K504" s="33">
        <v>43465</v>
      </c>
      <c r="L504" s="16" t="s">
        <v>66</v>
      </c>
      <c r="M504" s="16" t="s">
        <v>90</v>
      </c>
      <c r="N504" s="16" t="s">
        <v>91</v>
      </c>
      <c r="O504" s="16" t="s">
        <v>91</v>
      </c>
      <c r="P504" s="16" t="s">
        <v>572</v>
      </c>
      <c r="Q504" s="16" t="s">
        <v>71</v>
      </c>
      <c r="R504" s="17" t="s">
        <v>5825</v>
      </c>
      <c r="S504" s="16" t="s">
        <v>5826</v>
      </c>
      <c r="T504" s="16" t="s">
        <v>5827</v>
      </c>
      <c r="U504" s="16" t="s">
        <v>5828</v>
      </c>
      <c r="V504" s="16" t="s">
        <v>5829</v>
      </c>
      <c r="W504" s="16"/>
      <c r="X504" s="16"/>
      <c r="Y504" s="16" t="s">
        <v>744</v>
      </c>
      <c r="Z504" s="16"/>
      <c r="AA504" s="16"/>
      <c r="AB504" s="17" t="s">
        <v>5830</v>
      </c>
      <c r="AC504" s="16" t="s">
        <v>71</v>
      </c>
      <c r="AD504" s="17" t="s">
        <v>5830</v>
      </c>
      <c r="AE504" s="17" t="s">
        <v>5831</v>
      </c>
      <c r="AG504" s="16" t="s">
        <v>4760</v>
      </c>
      <c r="AH504" s="16" t="s">
        <v>5832</v>
      </c>
      <c r="AI504" s="16"/>
      <c r="AJ504" s="16"/>
      <c r="AK504" s="16"/>
      <c r="AL504" s="16" t="s">
        <v>5823</v>
      </c>
    </row>
    <row r="505" spans="1:38" x14ac:dyDescent="0.5">
      <c r="A505">
        <v>21113</v>
      </c>
      <c r="B505" s="16" t="s">
        <v>1613</v>
      </c>
      <c r="C505" s="16" t="s">
        <v>1613</v>
      </c>
      <c r="D505" s="16"/>
      <c r="E505" s="16" t="s">
        <v>5833</v>
      </c>
      <c r="F505" s="17" t="s">
        <v>5834</v>
      </c>
      <c r="G505" s="17" t="s">
        <v>5835</v>
      </c>
      <c r="H505" s="16" t="s">
        <v>5836</v>
      </c>
      <c r="I505" s="16" t="s">
        <v>5837</v>
      </c>
      <c r="J505" s="33">
        <v>42401</v>
      </c>
      <c r="K505" s="33">
        <v>43465</v>
      </c>
      <c r="L505" s="16" t="s">
        <v>66</v>
      </c>
      <c r="M505" s="16" t="s">
        <v>67</v>
      </c>
      <c r="N505" s="16" t="s">
        <v>68</v>
      </c>
      <c r="O505" s="16" t="s">
        <v>4047</v>
      </c>
      <c r="P505" s="16" t="s">
        <v>572</v>
      </c>
      <c r="Q505" s="16" t="s">
        <v>71</v>
      </c>
      <c r="R505" s="17" t="s">
        <v>5838</v>
      </c>
      <c r="S505" s="16" t="s">
        <v>5839</v>
      </c>
      <c r="T505" s="16" t="s">
        <v>74</v>
      </c>
      <c r="U505" s="16" t="s">
        <v>75</v>
      </c>
      <c r="V505" s="16" t="s">
        <v>5840</v>
      </c>
      <c r="W505" s="16" t="s">
        <v>5841</v>
      </c>
      <c r="X505" s="16" t="s">
        <v>5377</v>
      </c>
      <c r="Y505" s="16" t="s">
        <v>78</v>
      </c>
      <c r="Z505" s="16" t="s">
        <v>242</v>
      </c>
      <c r="AA505" s="16" t="s">
        <v>243</v>
      </c>
      <c r="AB505" s="17" t="s">
        <v>5842</v>
      </c>
      <c r="AC505" s="16" t="s">
        <v>71</v>
      </c>
      <c r="AD505" s="17" t="s">
        <v>5842</v>
      </c>
      <c r="AF505" s="17" t="s">
        <v>5843</v>
      </c>
      <c r="AG505" s="16" t="s">
        <v>1133</v>
      </c>
      <c r="AH505" s="16"/>
      <c r="AI505" s="16"/>
      <c r="AJ505" s="16"/>
      <c r="AK505" s="16"/>
      <c r="AL505" s="16" t="s">
        <v>5844</v>
      </c>
    </row>
    <row r="506" spans="1:38" x14ac:dyDescent="0.5">
      <c r="A506">
        <v>21118</v>
      </c>
      <c r="B506" s="16" t="s">
        <v>816</v>
      </c>
      <c r="C506" s="16" t="s">
        <v>816</v>
      </c>
      <c r="D506" s="16"/>
      <c r="E506" s="16" t="s">
        <v>5845</v>
      </c>
      <c r="F506" s="17" t="s">
        <v>5846</v>
      </c>
      <c r="H506" s="16" t="s">
        <v>699</v>
      </c>
      <c r="I506" s="16" t="s">
        <v>5847</v>
      </c>
      <c r="J506" s="33">
        <v>43334</v>
      </c>
      <c r="K506" s="33">
        <v>43699</v>
      </c>
      <c r="L506" s="16" t="s">
        <v>66</v>
      </c>
      <c r="M506" s="16" t="s">
        <v>167</v>
      </c>
      <c r="N506" s="16" t="s">
        <v>110</v>
      </c>
      <c r="O506" s="16" t="s">
        <v>280</v>
      </c>
      <c r="P506" s="16" t="s">
        <v>572</v>
      </c>
      <c r="Q506" s="16" t="s">
        <v>71</v>
      </c>
      <c r="R506" s="17" t="s">
        <v>5848</v>
      </c>
      <c r="S506" s="16" t="s">
        <v>996</v>
      </c>
      <c r="T506" s="16" t="s">
        <v>74</v>
      </c>
      <c r="U506" s="16" t="s">
        <v>75</v>
      </c>
      <c r="V506" s="16" t="s">
        <v>5849</v>
      </c>
      <c r="W506" s="16"/>
      <c r="X506" s="16" t="s">
        <v>5850</v>
      </c>
      <c r="Y506" s="16" t="s">
        <v>78</v>
      </c>
      <c r="Z506" s="16" t="s">
        <v>172</v>
      </c>
      <c r="AA506" s="16" t="s">
        <v>173</v>
      </c>
      <c r="AB506" s="17" t="s">
        <v>5851</v>
      </c>
      <c r="AC506" s="16" t="s">
        <v>71</v>
      </c>
      <c r="AD506" s="17" t="s">
        <v>5851</v>
      </c>
      <c r="AG506" s="16" t="s">
        <v>4164</v>
      </c>
      <c r="AH506" s="16" t="s">
        <v>5474</v>
      </c>
      <c r="AI506" s="16" t="s">
        <v>579</v>
      </c>
      <c r="AJ506" s="16"/>
      <c r="AK506" s="16" t="s">
        <v>5852</v>
      </c>
      <c r="AL506" s="16" t="s">
        <v>5853</v>
      </c>
    </row>
    <row r="507" spans="1:38" x14ac:dyDescent="0.5">
      <c r="A507">
        <v>21167</v>
      </c>
      <c r="B507" s="16" t="s">
        <v>5854</v>
      </c>
      <c r="C507" s="16" t="s">
        <v>5854</v>
      </c>
      <c r="D507" s="16"/>
      <c r="E507" s="16" t="s">
        <v>5855</v>
      </c>
      <c r="F507" s="17" t="s">
        <v>5856</v>
      </c>
      <c r="H507" s="16" t="s">
        <v>5857</v>
      </c>
      <c r="I507" s="16" t="s">
        <v>5858</v>
      </c>
      <c r="J507" s="33">
        <v>42411</v>
      </c>
      <c r="K507" s="33">
        <v>43465</v>
      </c>
      <c r="L507" s="16" t="s">
        <v>66</v>
      </c>
      <c r="M507" s="16" t="s">
        <v>67</v>
      </c>
      <c r="N507" s="16" t="s">
        <v>68</v>
      </c>
      <c r="O507" s="16" t="s">
        <v>436</v>
      </c>
      <c r="P507" s="16" t="s">
        <v>3116</v>
      </c>
      <c r="Q507" s="16" t="s">
        <v>71</v>
      </c>
      <c r="R507" s="17" t="s">
        <v>5859</v>
      </c>
      <c r="S507" s="16" t="s">
        <v>4415</v>
      </c>
      <c r="T507" s="16" t="s">
        <v>74</v>
      </c>
      <c r="U507" s="16" t="s">
        <v>75</v>
      </c>
      <c r="V507" s="16" t="s">
        <v>5860</v>
      </c>
      <c r="W507" s="16"/>
      <c r="X507" s="16" t="s">
        <v>4417</v>
      </c>
      <c r="Y507" s="16" t="s">
        <v>78</v>
      </c>
      <c r="Z507" s="16" t="s">
        <v>79</v>
      </c>
      <c r="AA507" s="16" t="s">
        <v>80</v>
      </c>
      <c r="AB507" s="17" t="s">
        <v>5861</v>
      </c>
      <c r="AC507" s="16" t="s">
        <v>71</v>
      </c>
      <c r="AD507" s="17" t="s">
        <v>5861</v>
      </c>
      <c r="AE507" s="17" t="s">
        <v>5862</v>
      </c>
      <c r="AG507" s="16" t="s">
        <v>5863</v>
      </c>
      <c r="AH507" s="16" t="s">
        <v>780</v>
      </c>
      <c r="AI507" s="16"/>
      <c r="AJ507" s="16"/>
      <c r="AK507" s="16"/>
      <c r="AL507" s="16"/>
    </row>
    <row r="508" spans="1:38" x14ac:dyDescent="0.5">
      <c r="A508">
        <v>21168</v>
      </c>
      <c r="B508" s="16" t="s">
        <v>4594</v>
      </c>
      <c r="C508" s="16" t="s">
        <v>4594</v>
      </c>
      <c r="D508" s="16"/>
      <c r="E508" s="16" t="s">
        <v>5864</v>
      </c>
      <c r="F508" s="17" t="s">
        <v>5865</v>
      </c>
      <c r="H508" s="16" t="s">
        <v>5866</v>
      </c>
      <c r="I508" s="16" t="s">
        <v>5867</v>
      </c>
      <c r="J508" s="33">
        <v>42500</v>
      </c>
      <c r="K508" s="33">
        <v>43465</v>
      </c>
      <c r="L508" s="16" t="s">
        <v>66</v>
      </c>
      <c r="M508" s="16" t="s">
        <v>67</v>
      </c>
      <c r="N508" s="16" t="s">
        <v>68</v>
      </c>
      <c r="O508" s="16" t="s">
        <v>436</v>
      </c>
      <c r="P508" s="16" t="s">
        <v>572</v>
      </c>
      <c r="Q508" s="16" t="s">
        <v>71</v>
      </c>
      <c r="R508" s="17" t="s">
        <v>5868</v>
      </c>
      <c r="S508" s="16" t="s">
        <v>5869</v>
      </c>
      <c r="T508" s="16" t="s">
        <v>74</v>
      </c>
      <c r="U508" s="16" t="s">
        <v>75</v>
      </c>
      <c r="V508" s="16" t="s">
        <v>5870</v>
      </c>
      <c r="W508" s="16"/>
      <c r="X508" s="16" t="s">
        <v>5871</v>
      </c>
      <c r="Y508" s="16" t="s">
        <v>78</v>
      </c>
      <c r="Z508" s="16" t="s">
        <v>349</v>
      </c>
      <c r="AA508" s="16" t="s">
        <v>350</v>
      </c>
      <c r="AB508" s="17" t="s">
        <v>5872</v>
      </c>
      <c r="AC508" s="16" t="s">
        <v>71</v>
      </c>
      <c r="AD508" s="17" t="s">
        <v>5872</v>
      </c>
      <c r="AF508" s="17" t="s">
        <v>5873</v>
      </c>
      <c r="AG508" s="16" t="s">
        <v>5874</v>
      </c>
      <c r="AH508" s="16" t="s">
        <v>5875</v>
      </c>
      <c r="AI508" s="16"/>
      <c r="AJ508" s="16"/>
      <c r="AK508" s="16"/>
      <c r="AL508" s="16"/>
    </row>
    <row r="509" spans="1:38" x14ac:dyDescent="0.5">
      <c r="A509">
        <v>21169</v>
      </c>
      <c r="B509" s="16" t="s">
        <v>5190</v>
      </c>
      <c r="C509" s="16" t="s">
        <v>5190</v>
      </c>
      <c r="D509" s="16"/>
      <c r="E509" s="16" t="s">
        <v>5876</v>
      </c>
      <c r="F509" s="17" t="s">
        <v>5877</v>
      </c>
      <c r="H509" s="16"/>
      <c r="I509" s="16"/>
      <c r="J509" s="33">
        <v>42402</v>
      </c>
      <c r="K509" s="33">
        <v>43100</v>
      </c>
      <c r="L509" s="16" t="s">
        <v>66</v>
      </c>
      <c r="M509" s="16" t="s">
        <v>67</v>
      </c>
      <c r="N509" s="16" t="s">
        <v>68</v>
      </c>
      <c r="O509" s="16" t="s">
        <v>1082</v>
      </c>
      <c r="P509" s="16" t="s">
        <v>4047</v>
      </c>
      <c r="Q509" s="16" t="s">
        <v>71</v>
      </c>
      <c r="R509" s="17" t="s">
        <v>5878</v>
      </c>
      <c r="S509" s="16" t="s">
        <v>5879</v>
      </c>
      <c r="T509" s="16" t="s">
        <v>740</v>
      </c>
      <c r="U509" s="16" t="s">
        <v>741</v>
      </c>
      <c r="V509" s="16" t="s">
        <v>5880</v>
      </c>
      <c r="W509" s="16"/>
      <c r="X509" s="16" t="s">
        <v>5881</v>
      </c>
      <c r="Y509" s="16" t="s">
        <v>744</v>
      </c>
      <c r="Z509" s="16"/>
      <c r="AA509" s="16"/>
      <c r="AB509" s="17" t="s">
        <v>5882</v>
      </c>
      <c r="AC509" s="16" t="s">
        <v>71</v>
      </c>
      <c r="AD509" s="17" t="s">
        <v>5882</v>
      </c>
      <c r="AG509" s="16" t="s">
        <v>2180</v>
      </c>
      <c r="AH509" s="16" t="s">
        <v>2457</v>
      </c>
      <c r="AI509" s="16"/>
      <c r="AJ509" s="16"/>
      <c r="AK509" s="16"/>
      <c r="AL509" s="16"/>
    </row>
    <row r="510" spans="1:38" x14ac:dyDescent="0.5">
      <c r="A510">
        <v>21172</v>
      </c>
      <c r="B510" s="16" t="s">
        <v>276</v>
      </c>
      <c r="C510" s="16" t="s">
        <v>276</v>
      </c>
      <c r="D510" s="16"/>
      <c r="E510" s="16" t="s">
        <v>5883</v>
      </c>
      <c r="F510" s="17" t="s">
        <v>5884</v>
      </c>
      <c r="H510" s="16" t="s">
        <v>5885</v>
      </c>
      <c r="I510" s="16" t="s">
        <v>5886</v>
      </c>
      <c r="J510" s="33">
        <v>42401</v>
      </c>
      <c r="K510" s="33">
        <v>43465</v>
      </c>
      <c r="L510" s="16" t="s">
        <v>66</v>
      </c>
      <c r="M510" s="16" t="s">
        <v>67</v>
      </c>
      <c r="N510" s="16" t="s">
        <v>68</v>
      </c>
      <c r="O510" s="16" t="s">
        <v>436</v>
      </c>
      <c r="P510" s="16" t="s">
        <v>572</v>
      </c>
      <c r="Q510" s="16" t="s">
        <v>71</v>
      </c>
      <c r="R510" s="17" t="s">
        <v>5887</v>
      </c>
      <c r="S510" s="16" t="s">
        <v>5888</v>
      </c>
      <c r="T510" s="16" t="s">
        <v>74</v>
      </c>
      <c r="U510" s="16" t="s">
        <v>75</v>
      </c>
      <c r="V510" s="16" t="s">
        <v>5889</v>
      </c>
      <c r="W510" s="16"/>
      <c r="X510" s="16" t="s">
        <v>5890</v>
      </c>
      <c r="Y510" s="16" t="s">
        <v>78</v>
      </c>
      <c r="Z510" s="16" t="s">
        <v>189</v>
      </c>
      <c r="AA510" s="16" t="s">
        <v>190</v>
      </c>
      <c r="AB510" s="17" t="s">
        <v>5891</v>
      </c>
      <c r="AC510" s="16" t="s">
        <v>71</v>
      </c>
      <c r="AD510" s="17" t="s">
        <v>5891</v>
      </c>
      <c r="AG510" s="16" t="s">
        <v>5892</v>
      </c>
      <c r="AH510" s="16" t="s">
        <v>1030</v>
      </c>
      <c r="AI510" s="16"/>
      <c r="AJ510" s="16"/>
      <c r="AK510" s="16"/>
      <c r="AL510" s="16"/>
    </row>
    <row r="511" spans="1:38" x14ac:dyDescent="0.5">
      <c r="A511">
        <v>21176</v>
      </c>
      <c r="B511" s="16" t="s">
        <v>5893</v>
      </c>
      <c r="C511" s="16" t="s">
        <v>5893</v>
      </c>
      <c r="D511" s="16"/>
      <c r="E511" s="16" t="s">
        <v>5894</v>
      </c>
      <c r="F511" s="17" t="s">
        <v>5895</v>
      </c>
      <c r="H511" s="16" t="s">
        <v>5896</v>
      </c>
      <c r="I511" s="16" t="s">
        <v>5897</v>
      </c>
      <c r="J511" s="33">
        <v>42417</v>
      </c>
      <c r="K511" s="33">
        <v>43465</v>
      </c>
      <c r="L511" s="16" t="s">
        <v>66</v>
      </c>
      <c r="M511" s="16" t="s">
        <v>67</v>
      </c>
      <c r="N511" s="16" t="s">
        <v>68</v>
      </c>
      <c r="O511" s="16" t="s">
        <v>436</v>
      </c>
      <c r="P511" s="16" t="s">
        <v>572</v>
      </c>
      <c r="Q511" s="16" t="s">
        <v>71</v>
      </c>
      <c r="R511" s="17" t="s">
        <v>5898</v>
      </c>
      <c r="S511" s="16" t="s">
        <v>788</v>
      </c>
      <c r="T511" s="16" t="s">
        <v>74</v>
      </c>
      <c r="U511" s="16" t="s">
        <v>75</v>
      </c>
      <c r="V511" s="16" t="s">
        <v>5899</v>
      </c>
      <c r="W511" s="16"/>
      <c r="X511" s="16" t="s">
        <v>5900</v>
      </c>
      <c r="Y511" s="16" t="s">
        <v>78</v>
      </c>
      <c r="Z511" s="16" t="s">
        <v>242</v>
      </c>
      <c r="AA511" s="16" t="s">
        <v>243</v>
      </c>
      <c r="AB511" s="17" t="s">
        <v>5901</v>
      </c>
      <c r="AC511" s="16" t="s">
        <v>71</v>
      </c>
      <c r="AD511" s="17" t="s">
        <v>5901</v>
      </c>
      <c r="AF511" s="17" t="s">
        <v>5902</v>
      </c>
      <c r="AG511" s="16" t="s">
        <v>2552</v>
      </c>
      <c r="AH511" s="16" t="s">
        <v>579</v>
      </c>
      <c r="AI511" s="16"/>
      <c r="AJ511" s="16"/>
      <c r="AK511" s="16"/>
      <c r="AL511" s="16"/>
    </row>
    <row r="512" spans="1:38" x14ac:dyDescent="0.5">
      <c r="A512">
        <v>21180</v>
      </c>
      <c r="B512" s="16" t="s">
        <v>340</v>
      </c>
      <c r="C512" s="16" t="s">
        <v>340</v>
      </c>
      <c r="D512" s="16"/>
      <c r="E512" s="16" t="s">
        <v>5903</v>
      </c>
      <c r="F512" s="17" t="s">
        <v>5904</v>
      </c>
      <c r="H512" s="16" t="s">
        <v>4894</v>
      </c>
      <c r="I512" s="16" t="s">
        <v>344</v>
      </c>
      <c r="J512" s="33">
        <v>42402</v>
      </c>
      <c r="K512" s="33">
        <v>43465</v>
      </c>
      <c r="L512" s="16" t="s">
        <v>66</v>
      </c>
      <c r="M512" s="16" t="s">
        <v>167</v>
      </c>
      <c r="N512" s="16" t="s">
        <v>110</v>
      </c>
      <c r="O512" s="16" t="s">
        <v>280</v>
      </c>
      <c r="P512" s="16" t="s">
        <v>572</v>
      </c>
      <c r="Q512" s="16" t="s">
        <v>71</v>
      </c>
      <c r="R512" s="17" t="s">
        <v>5905</v>
      </c>
      <c r="S512" s="16" t="s">
        <v>346</v>
      </c>
      <c r="T512" s="16" t="s">
        <v>74</v>
      </c>
      <c r="U512" s="16" t="s">
        <v>75</v>
      </c>
      <c r="V512" s="16" t="s">
        <v>5906</v>
      </c>
      <c r="W512" s="16"/>
      <c r="X512" s="16" t="s">
        <v>5907</v>
      </c>
      <c r="Y512" s="16" t="s">
        <v>78</v>
      </c>
      <c r="Z512" s="16" t="s">
        <v>349</v>
      </c>
      <c r="AA512" s="16" t="s">
        <v>350</v>
      </c>
      <c r="AB512" s="17" t="s">
        <v>5908</v>
      </c>
      <c r="AC512" s="16" t="s">
        <v>71</v>
      </c>
      <c r="AD512" s="17" t="s">
        <v>5908</v>
      </c>
      <c r="AG512" s="16" t="s">
        <v>653</v>
      </c>
      <c r="AH512" s="16"/>
      <c r="AI512" s="16"/>
      <c r="AJ512" s="16"/>
      <c r="AK512" s="16"/>
      <c r="AL512" s="16"/>
    </row>
    <row r="513" spans="1:38" x14ac:dyDescent="0.5">
      <c r="A513">
        <v>21181</v>
      </c>
      <c r="B513" s="16" t="s">
        <v>1392</v>
      </c>
      <c r="C513" s="16" t="s">
        <v>1392</v>
      </c>
      <c r="D513" s="16"/>
      <c r="E513" s="16" t="s">
        <v>5909</v>
      </c>
      <c r="F513" s="17" t="s">
        <v>5910</v>
      </c>
      <c r="H513" s="16" t="s">
        <v>3741</v>
      </c>
      <c r="I513" s="16" t="s">
        <v>5911</v>
      </c>
      <c r="J513" s="33">
        <v>42436</v>
      </c>
      <c r="K513" s="33">
        <v>43465</v>
      </c>
      <c r="L513" s="16" t="s">
        <v>66</v>
      </c>
      <c r="M513" s="16" t="s">
        <v>167</v>
      </c>
      <c r="N513" s="16" t="s">
        <v>110</v>
      </c>
      <c r="O513" s="16" t="s">
        <v>280</v>
      </c>
      <c r="P513" s="16" t="s">
        <v>572</v>
      </c>
      <c r="Q513" s="16" t="s">
        <v>71</v>
      </c>
      <c r="R513" s="17" t="s">
        <v>5912</v>
      </c>
      <c r="S513" s="16" t="s">
        <v>5254</v>
      </c>
      <c r="T513" s="16" t="s">
        <v>242</v>
      </c>
      <c r="U513" s="16" t="s">
        <v>1633</v>
      </c>
      <c r="V513" s="16" t="s">
        <v>5913</v>
      </c>
      <c r="W513" s="16" t="s">
        <v>5914</v>
      </c>
      <c r="X513" s="16" t="s">
        <v>5915</v>
      </c>
      <c r="Y513" s="16" t="s">
        <v>1633</v>
      </c>
      <c r="Z513" s="16" t="s">
        <v>1750</v>
      </c>
      <c r="AA513" s="16" t="s">
        <v>1751</v>
      </c>
      <c r="AB513" s="17" t="s">
        <v>5916</v>
      </c>
      <c r="AC513" s="16" t="s">
        <v>71</v>
      </c>
      <c r="AD513" s="17" t="s">
        <v>5916</v>
      </c>
      <c r="AG513" s="16" t="s">
        <v>3531</v>
      </c>
      <c r="AH513" s="16" t="s">
        <v>5917</v>
      </c>
      <c r="AI513" s="16"/>
      <c r="AJ513" s="16"/>
      <c r="AK513" s="16"/>
      <c r="AL513" s="16"/>
    </row>
    <row r="514" spans="1:38" x14ac:dyDescent="0.5">
      <c r="A514">
        <v>21182</v>
      </c>
      <c r="B514" s="16" t="s">
        <v>5918</v>
      </c>
      <c r="C514" s="16" t="s">
        <v>5918</v>
      </c>
      <c r="D514" s="16"/>
      <c r="E514" s="16" t="s">
        <v>760</v>
      </c>
      <c r="F514" s="17" t="s">
        <v>5919</v>
      </c>
      <c r="H514" s="16" t="s">
        <v>5920</v>
      </c>
      <c r="I514" s="16" t="s">
        <v>5921</v>
      </c>
      <c r="J514" s="33">
        <v>42590</v>
      </c>
      <c r="K514" s="33">
        <v>43465</v>
      </c>
      <c r="L514" s="16" t="s">
        <v>66</v>
      </c>
      <c r="M514" s="16" t="s">
        <v>5682</v>
      </c>
      <c r="N514" s="16" t="s">
        <v>5683</v>
      </c>
      <c r="O514" s="16" t="s">
        <v>5684</v>
      </c>
      <c r="P514" s="16"/>
      <c r="Q514" s="16" t="s">
        <v>71</v>
      </c>
      <c r="R514" s="17" t="s">
        <v>5922</v>
      </c>
      <c r="S514" s="16" t="s">
        <v>662</v>
      </c>
      <c r="T514" s="16" t="s">
        <v>74</v>
      </c>
      <c r="U514" s="16" t="s">
        <v>75</v>
      </c>
      <c r="V514" s="16" t="s">
        <v>5923</v>
      </c>
      <c r="W514" s="16"/>
      <c r="X514" s="16" t="s">
        <v>5924</v>
      </c>
      <c r="Y514" s="16" t="s">
        <v>78</v>
      </c>
      <c r="Z514" s="16" t="s">
        <v>666</v>
      </c>
      <c r="AA514" s="16" t="s">
        <v>667</v>
      </c>
      <c r="AB514" s="17" t="s">
        <v>5925</v>
      </c>
      <c r="AC514" s="16" t="s">
        <v>71</v>
      </c>
      <c r="AD514" s="17" t="s">
        <v>5925</v>
      </c>
      <c r="AG514" s="16" t="s">
        <v>3225</v>
      </c>
      <c r="AH514" s="16" t="s">
        <v>780</v>
      </c>
      <c r="AI514" s="16"/>
      <c r="AJ514" s="16"/>
      <c r="AK514" s="16"/>
      <c r="AL514" s="16" t="s">
        <v>5920</v>
      </c>
    </row>
    <row r="515" spans="1:38" x14ac:dyDescent="0.5">
      <c r="A515">
        <v>21183</v>
      </c>
      <c r="B515" s="16" t="s">
        <v>874</v>
      </c>
      <c r="C515" s="16" t="s">
        <v>874</v>
      </c>
      <c r="D515" s="16"/>
      <c r="E515" s="16" t="s">
        <v>5926</v>
      </c>
      <c r="F515" s="17" t="s">
        <v>5927</v>
      </c>
      <c r="G515" s="17" t="s">
        <v>5928</v>
      </c>
      <c r="H515" s="16" t="s">
        <v>88</v>
      </c>
      <c r="I515" s="16" t="s">
        <v>5929</v>
      </c>
      <c r="J515" s="33">
        <v>42506</v>
      </c>
      <c r="K515" s="33">
        <v>43465</v>
      </c>
      <c r="L515" s="16" t="s">
        <v>66</v>
      </c>
      <c r="M515" s="16" t="s">
        <v>90</v>
      </c>
      <c r="N515" s="16" t="s">
        <v>91</v>
      </c>
      <c r="O515" s="16" t="s">
        <v>91</v>
      </c>
      <c r="P515" s="16" t="s">
        <v>572</v>
      </c>
      <c r="Q515" s="16" t="s">
        <v>71</v>
      </c>
      <c r="R515" s="17" t="s">
        <v>5930</v>
      </c>
      <c r="S515" s="16" t="s">
        <v>5931</v>
      </c>
      <c r="T515" s="16" t="s">
        <v>740</v>
      </c>
      <c r="U515" s="16" t="s">
        <v>741</v>
      </c>
      <c r="V515" s="16" t="s">
        <v>5932</v>
      </c>
      <c r="W515" s="16"/>
      <c r="X515" s="16" t="s">
        <v>5933</v>
      </c>
      <c r="Y515" s="16" t="s">
        <v>744</v>
      </c>
      <c r="Z515" s="16"/>
      <c r="AA515" s="16"/>
      <c r="AB515" s="17" t="s">
        <v>5934</v>
      </c>
      <c r="AC515" s="16" t="s">
        <v>71</v>
      </c>
      <c r="AD515" s="17" t="s">
        <v>5934</v>
      </c>
      <c r="AG515" s="16" t="s">
        <v>3531</v>
      </c>
      <c r="AH515" s="16" t="s">
        <v>3530</v>
      </c>
      <c r="AI515" s="16"/>
      <c r="AJ515" s="16"/>
      <c r="AK515" s="16"/>
      <c r="AL515" s="16"/>
    </row>
    <row r="516" spans="1:38" x14ac:dyDescent="0.5">
      <c r="A516">
        <v>21184</v>
      </c>
      <c r="B516" s="16" t="s">
        <v>5935</v>
      </c>
      <c r="C516" s="16" t="s">
        <v>5935</v>
      </c>
      <c r="D516" s="16"/>
      <c r="E516" s="16" t="s">
        <v>5936</v>
      </c>
      <c r="F516" s="17" t="s">
        <v>5937</v>
      </c>
      <c r="H516" s="16" t="s">
        <v>5938</v>
      </c>
      <c r="I516" s="16" t="s">
        <v>5939</v>
      </c>
      <c r="J516" s="33">
        <v>42526</v>
      </c>
      <c r="K516" s="33">
        <v>43465</v>
      </c>
      <c r="L516" s="16" t="s">
        <v>66</v>
      </c>
      <c r="M516" s="16" t="s">
        <v>90</v>
      </c>
      <c r="N516" s="16" t="s">
        <v>91</v>
      </c>
      <c r="O516" s="16" t="s">
        <v>91</v>
      </c>
      <c r="P516" s="16" t="s">
        <v>572</v>
      </c>
      <c r="Q516" s="16" t="s">
        <v>71</v>
      </c>
      <c r="R516" s="17" t="s">
        <v>5940</v>
      </c>
      <c r="S516" s="16" t="s">
        <v>113</v>
      </c>
      <c r="T516" s="16" t="s">
        <v>74</v>
      </c>
      <c r="U516" s="16" t="s">
        <v>75</v>
      </c>
      <c r="V516" s="16" t="s">
        <v>5941</v>
      </c>
      <c r="W516" s="16"/>
      <c r="X516" s="16" t="s">
        <v>5942</v>
      </c>
      <c r="Y516" s="16" t="s">
        <v>78</v>
      </c>
      <c r="Z516" s="16" t="s">
        <v>117</v>
      </c>
      <c r="AA516" s="16" t="s">
        <v>113</v>
      </c>
      <c r="AB516" s="17" t="s">
        <v>5943</v>
      </c>
      <c r="AC516" s="16" t="s">
        <v>71</v>
      </c>
      <c r="AD516" s="17" t="s">
        <v>5943</v>
      </c>
      <c r="AE516" s="17" t="s">
        <v>5944</v>
      </c>
      <c r="AG516" s="16" t="s">
        <v>4062</v>
      </c>
      <c r="AH516" s="16" t="s">
        <v>1850</v>
      </c>
      <c r="AI516" s="16"/>
      <c r="AJ516" s="16"/>
      <c r="AK516" s="16"/>
      <c r="AL516" s="16" t="s">
        <v>5945</v>
      </c>
    </row>
    <row r="517" spans="1:38" x14ac:dyDescent="0.5">
      <c r="A517">
        <v>21236</v>
      </c>
      <c r="B517" s="16" t="s">
        <v>5946</v>
      </c>
      <c r="C517" s="16" t="s">
        <v>5946</v>
      </c>
      <c r="D517" s="16"/>
      <c r="E517" s="16" t="s">
        <v>5947</v>
      </c>
      <c r="F517" s="17" t="s">
        <v>5948</v>
      </c>
      <c r="G517" s="17" t="s">
        <v>5949</v>
      </c>
      <c r="H517" s="16" t="s">
        <v>5950</v>
      </c>
      <c r="I517" s="16" t="s">
        <v>5951</v>
      </c>
      <c r="J517" s="33">
        <v>43334</v>
      </c>
      <c r="K517" s="33">
        <v>43699</v>
      </c>
      <c r="L517" s="16" t="s">
        <v>66</v>
      </c>
      <c r="M517" s="16" t="s">
        <v>67</v>
      </c>
      <c r="N517" s="16" t="s">
        <v>68</v>
      </c>
      <c r="O517" s="16" t="s">
        <v>436</v>
      </c>
      <c r="P517" s="16" t="s">
        <v>572</v>
      </c>
      <c r="Q517" s="16" t="s">
        <v>71</v>
      </c>
      <c r="R517" s="17" t="s">
        <v>5952</v>
      </c>
      <c r="S517" s="16" t="s">
        <v>5287</v>
      </c>
      <c r="T517" s="16" t="s">
        <v>74</v>
      </c>
      <c r="U517" s="16" t="s">
        <v>75</v>
      </c>
      <c r="V517" s="16" t="s">
        <v>5953</v>
      </c>
      <c r="W517" s="16"/>
      <c r="X517" s="16" t="s">
        <v>5954</v>
      </c>
      <c r="Y517" s="16" t="s">
        <v>78</v>
      </c>
      <c r="Z517" s="16" t="s">
        <v>1411</v>
      </c>
      <c r="AA517" s="16" t="s">
        <v>5955</v>
      </c>
      <c r="AB517" s="17" t="s">
        <v>5956</v>
      </c>
      <c r="AC517" s="16" t="s">
        <v>71</v>
      </c>
      <c r="AD517" s="17" t="s">
        <v>5956</v>
      </c>
      <c r="AG517" s="16" t="s">
        <v>3530</v>
      </c>
      <c r="AH517" s="16" t="s">
        <v>1345</v>
      </c>
      <c r="AI517" s="16"/>
      <c r="AJ517" s="16"/>
      <c r="AK517" s="16"/>
      <c r="AL517" s="16" t="s">
        <v>5957</v>
      </c>
    </row>
    <row r="518" spans="1:38" x14ac:dyDescent="0.5">
      <c r="A518">
        <v>21258</v>
      </c>
      <c r="B518" s="16" t="s">
        <v>4098</v>
      </c>
      <c r="C518" s="16" t="s">
        <v>4098</v>
      </c>
      <c r="D518" s="16"/>
      <c r="E518" s="16" t="s">
        <v>5958</v>
      </c>
      <c r="F518" s="17" t="s">
        <v>5959</v>
      </c>
      <c r="H518" s="16" t="s">
        <v>3183</v>
      </c>
      <c r="I518" s="16" t="s">
        <v>5960</v>
      </c>
      <c r="J518" s="33">
        <v>42557</v>
      </c>
      <c r="K518" s="33">
        <v>43465</v>
      </c>
      <c r="L518" s="16" t="s">
        <v>66</v>
      </c>
      <c r="M518" s="16" t="s">
        <v>67</v>
      </c>
      <c r="N518" s="16" t="s">
        <v>68</v>
      </c>
      <c r="O518" s="16" t="s">
        <v>436</v>
      </c>
      <c r="P518" s="16" t="s">
        <v>572</v>
      </c>
      <c r="Q518" s="16" t="s">
        <v>71</v>
      </c>
      <c r="R518" s="17" t="s">
        <v>5961</v>
      </c>
      <c r="S518" s="16" t="s">
        <v>5962</v>
      </c>
      <c r="T518" s="16" t="s">
        <v>74</v>
      </c>
      <c r="U518" s="16" t="s">
        <v>75</v>
      </c>
      <c r="V518" s="16" t="s">
        <v>5963</v>
      </c>
      <c r="W518" s="16"/>
      <c r="X518" s="16" t="s">
        <v>5964</v>
      </c>
      <c r="Y518" s="16" t="s">
        <v>78</v>
      </c>
      <c r="Z518" s="16" t="s">
        <v>635</v>
      </c>
      <c r="AA518" s="16" t="s">
        <v>636</v>
      </c>
      <c r="AB518" s="17" t="s">
        <v>5965</v>
      </c>
      <c r="AC518" s="16" t="s">
        <v>71</v>
      </c>
      <c r="AD518" s="17" t="s">
        <v>5965</v>
      </c>
      <c r="AG518" s="16" t="s">
        <v>5966</v>
      </c>
      <c r="AH518" s="16" t="s">
        <v>3225</v>
      </c>
      <c r="AI518" s="16"/>
      <c r="AJ518" s="16"/>
      <c r="AK518" s="16"/>
      <c r="AL518" s="16"/>
    </row>
    <row r="519" spans="1:38" x14ac:dyDescent="0.5">
      <c r="A519">
        <v>21269</v>
      </c>
      <c r="B519" s="16" t="s">
        <v>2531</v>
      </c>
      <c r="C519" s="16" t="s">
        <v>2531</v>
      </c>
      <c r="D519" s="16"/>
      <c r="E519" s="16" t="s">
        <v>5967</v>
      </c>
      <c r="F519" s="17" t="s">
        <v>8626</v>
      </c>
      <c r="G519" s="17" t="s">
        <v>5968</v>
      </c>
      <c r="H519" s="16" t="s">
        <v>5969</v>
      </c>
      <c r="I519" s="16" t="s">
        <v>5970</v>
      </c>
      <c r="J519" s="33">
        <v>42466</v>
      </c>
      <c r="K519" s="33">
        <v>43465</v>
      </c>
      <c r="L519" s="16" t="s">
        <v>66</v>
      </c>
      <c r="M519" s="16" t="s">
        <v>67</v>
      </c>
      <c r="N519" s="16" t="s">
        <v>68</v>
      </c>
      <c r="O519" s="16" t="s">
        <v>436</v>
      </c>
      <c r="P519" s="16" t="s">
        <v>3116</v>
      </c>
      <c r="Q519" s="16" t="s">
        <v>71</v>
      </c>
      <c r="R519" s="17" t="s">
        <v>5971</v>
      </c>
      <c r="S519" s="16" t="s">
        <v>5972</v>
      </c>
      <c r="T519" s="16" t="s">
        <v>5133</v>
      </c>
      <c r="U519" s="16" t="s">
        <v>5134</v>
      </c>
      <c r="V519" s="16" t="s">
        <v>5973</v>
      </c>
      <c r="W519" s="16"/>
      <c r="X519" s="16" t="s">
        <v>5974</v>
      </c>
      <c r="Y519" s="16" t="s">
        <v>1307</v>
      </c>
      <c r="Z519" s="16"/>
      <c r="AA519" s="16"/>
      <c r="AB519" s="17" t="s">
        <v>5975</v>
      </c>
      <c r="AC519" s="16" t="s">
        <v>71</v>
      </c>
      <c r="AD519" s="17" t="s">
        <v>5975</v>
      </c>
      <c r="AG519" s="16" t="s">
        <v>5976</v>
      </c>
      <c r="AH519" s="16" t="s">
        <v>5977</v>
      </c>
      <c r="AI519" s="16"/>
      <c r="AJ519" s="16"/>
      <c r="AK519" s="16"/>
      <c r="AL519" s="16" t="s">
        <v>456</v>
      </c>
    </row>
    <row r="520" spans="1:38" x14ac:dyDescent="0.5">
      <c r="A520">
        <v>21310</v>
      </c>
      <c r="B520" s="16" t="s">
        <v>5978</v>
      </c>
      <c r="C520" s="16" t="s">
        <v>5978</v>
      </c>
      <c r="D520" s="16"/>
      <c r="E520" s="16" t="s">
        <v>862</v>
      </c>
      <c r="F520" s="17" t="s">
        <v>5979</v>
      </c>
      <c r="H520" s="16" t="s">
        <v>5980</v>
      </c>
      <c r="I520" s="16" t="s">
        <v>5981</v>
      </c>
      <c r="J520" s="33">
        <v>43204</v>
      </c>
      <c r="K520" s="33">
        <v>43569</v>
      </c>
      <c r="L520" s="16" t="s">
        <v>66</v>
      </c>
      <c r="M520" s="16" t="s">
        <v>67</v>
      </c>
      <c r="N520" s="16" t="s">
        <v>68</v>
      </c>
      <c r="O520" s="16" t="s">
        <v>436</v>
      </c>
      <c r="P520" s="16"/>
      <c r="Q520" s="16" t="s">
        <v>71</v>
      </c>
      <c r="R520" s="17" t="s">
        <v>5982</v>
      </c>
      <c r="S520" s="16" t="s">
        <v>113</v>
      </c>
      <c r="T520" s="16" t="s">
        <v>74</v>
      </c>
      <c r="U520" s="16" t="s">
        <v>75</v>
      </c>
      <c r="V520" s="16" t="s">
        <v>5983</v>
      </c>
      <c r="W520" s="16"/>
      <c r="X520" s="16" t="s">
        <v>5984</v>
      </c>
      <c r="Y520" s="16" t="s">
        <v>78</v>
      </c>
      <c r="Z520" s="16" t="s">
        <v>117</v>
      </c>
      <c r="AA520" s="16" t="s">
        <v>113</v>
      </c>
      <c r="AB520" s="17" t="s">
        <v>5985</v>
      </c>
      <c r="AC520" s="16" t="s">
        <v>71</v>
      </c>
      <c r="AD520" s="17" t="s">
        <v>5985</v>
      </c>
      <c r="AG520" s="16" t="s">
        <v>579</v>
      </c>
      <c r="AH520" s="16" t="s">
        <v>5986</v>
      </c>
      <c r="AI520" s="16"/>
      <c r="AJ520" s="16"/>
      <c r="AK520" s="16"/>
      <c r="AL520" s="16"/>
    </row>
    <row r="521" spans="1:38" x14ac:dyDescent="0.5">
      <c r="A521">
        <v>21314</v>
      </c>
      <c r="B521" s="16" t="s">
        <v>5987</v>
      </c>
      <c r="C521" s="16" t="s">
        <v>5987</v>
      </c>
      <c r="D521" s="16"/>
      <c r="E521" s="16" t="s">
        <v>5988</v>
      </c>
      <c r="F521" s="17" t="s">
        <v>5989</v>
      </c>
      <c r="H521" s="16" t="s">
        <v>5990</v>
      </c>
      <c r="I521" s="16" t="s">
        <v>5991</v>
      </c>
      <c r="J521" s="33">
        <v>43284</v>
      </c>
      <c r="K521" s="33">
        <v>43649</v>
      </c>
      <c r="L521" s="16" t="s">
        <v>66</v>
      </c>
      <c r="M521" s="16" t="s">
        <v>67</v>
      </c>
      <c r="N521" s="16" t="s">
        <v>68</v>
      </c>
      <c r="O521" s="16" t="s">
        <v>436</v>
      </c>
      <c r="P521" s="16"/>
      <c r="Q521" s="16" t="s">
        <v>71</v>
      </c>
      <c r="R521" s="17" t="s">
        <v>5992</v>
      </c>
      <c r="S521" s="16" t="s">
        <v>3983</v>
      </c>
      <c r="T521" s="16" t="s">
        <v>74</v>
      </c>
      <c r="U521" s="16" t="s">
        <v>75</v>
      </c>
      <c r="V521" s="16" t="s">
        <v>5993</v>
      </c>
      <c r="W521" s="16"/>
      <c r="X521" s="16" t="s">
        <v>5994</v>
      </c>
      <c r="Y521" s="16"/>
      <c r="Z521" s="16" t="s">
        <v>132</v>
      </c>
      <c r="AA521" s="16" t="s">
        <v>133</v>
      </c>
      <c r="AB521" s="17" t="s">
        <v>5995</v>
      </c>
      <c r="AC521" s="16" t="s">
        <v>71</v>
      </c>
      <c r="AD521" s="17" t="s">
        <v>5995</v>
      </c>
      <c r="AG521" s="16" t="s">
        <v>2093</v>
      </c>
      <c r="AH521" s="16" t="s">
        <v>4235</v>
      </c>
      <c r="AI521" s="16"/>
      <c r="AJ521" s="16"/>
      <c r="AK521" s="16"/>
      <c r="AL521" s="16"/>
    </row>
    <row r="522" spans="1:38" x14ac:dyDescent="0.5">
      <c r="A522">
        <v>21359</v>
      </c>
      <c r="B522" s="16" t="s">
        <v>4383</v>
      </c>
      <c r="C522" s="16" t="s">
        <v>4383</v>
      </c>
      <c r="D522" s="16"/>
      <c r="E522" s="16" t="s">
        <v>5996</v>
      </c>
      <c r="F522" s="17" t="s">
        <v>5997</v>
      </c>
      <c r="G522" s="17" t="s">
        <v>5998</v>
      </c>
      <c r="H522" s="16" t="s">
        <v>5999</v>
      </c>
      <c r="I522" s="16" t="s">
        <v>4304</v>
      </c>
      <c r="J522" s="33">
        <v>42499</v>
      </c>
      <c r="K522" s="33">
        <v>43465</v>
      </c>
      <c r="L522" s="16" t="s">
        <v>66</v>
      </c>
      <c r="M522" s="16" t="s">
        <v>67</v>
      </c>
      <c r="N522" s="16" t="s">
        <v>68</v>
      </c>
      <c r="O522" s="16" t="s">
        <v>436</v>
      </c>
      <c r="P522" s="16" t="s">
        <v>572</v>
      </c>
      <c r="Q522" s="16" t="s">
        <v>71</v>
      </c>
      <c r="R522" s="17" t="s">
        <v>6000</v>
      </c>
      <c r="S522" s="16" t="s">
        <v>1165</v>
      </c>
      <c r="T522" s="16" t="s">
        <v>740</v>
      </c>
      <c r="U522" s="16" t="s">
        <v>741</v>
      </c>
      <c r="V522" s="16" t="s">
        <v>6001</v>
      </c>
      <c r="W522" s="16"/>
      <c r="X522" s="16"/>
      <c r="Y522" s="16" t="s">
        <v>744</v>
      </c>
      <c r="Z522" s="16"/>
      <c r="AA522" s="16"/>
      <c r="AB522" s="17" t="s">
        <v>6002</v>
      </c>
      <c r="AC522" s="16" t="s">
        <v>71</v>
      </c>
      <c r="AD522" s="17" t="s">
        <v>6002</v>
      </c>
      <c r="AF522" s="17" t="s">
        <v>6003</v>
      </c>
      <c r="AG522" s="16" t="s">
        <v>3531</v>
      </c>
      <c r="AH522" s="16" t="s">
        <v>5917</v>
      </c>
      <c r="AI522" s="16"/>
      <c r="AJ522" s="16"/>
      <c r="AK522" s="16"/>
      <c r="AL522" s="16" t="s">
        <v>5999</v>
      </c>
    </row>
    <row r="523" spans="1:38" x14ac:dyDescent="0.5">
      <c r="A523">
        <v>21361</v>
      </c>
      <c r="B523" s="16" t="s">
        <v>2382</v>
      </c>
      <c r="C523" s="16" t="s">
        <v>2382</v>
      </c>
      <c r="D523" s="16"/>
      <c r="E523" s="16" t="s">
        <v>6004</v>
      </c>
      <c r="F523" s="17" t="s">
        <v>6005</v>
      </c>
      <c r="H523" s="16" t="s">
        <v>5394</v>
      </c>
      <c r="I523" s="16" t="s">
        <v>6006</v>
      </c>
      <c r="J523" s="33">
        <v>42528</v>
      </c>
      <c r="K523" s="33">
        <v>43465</v>
      </c>
      <c r="L523" s="16" t="s">
        <v>66</v>
      </c>
      <c r="M523" s="16" t="s">
        <v>67</v>
      </c>
      <c r="N523" s="16" t="s">
        <v>68</v>
      </c>
      <c r="O523" s="16" t="s">
        <v>436</v>
      </c>
      <c r="P523" s="16" t="s">
        <v>572</v>
      </c>
      <c r="Q523" s="16" t="s">
        <v>71</v>
      </c>
      <c r="R523" s="17" t="s">
        <v>6007</v>
      </c>
      <c r="S523" s="16" t="s">
        <v>3647</v>
      </c>
      <c r="T523" s="16" t="s">
        <v>74</v>
      </c>
      <c r="U523" s="16" t="s">
        <v>75</v>
      </c>
      <c r="V523" s="16" t="s">
        <v>6008</v>
      </c>
      <c r="W523" s="16"/>
      <c r="X523" s="16" t="s">
        <v>6009</v>
      </c>
      <c r="Y523" s="16" t="s">
        <v>78</v>
      </c>
      <c r="Z523" s="16" t="s">
        <v>1025</v>
      </c>
      <c r="AA523" s="16" t="s">
        <v>1026</v>
      </c>
      <c r="AB523" s="17" t="s">
        <v>6010</v>
      </c>
      <c r="AC523" s="16" t="s">
        <v>71</v>
      </c>
      <c r="AD523" s="17" t="s">
        <v>6010</v>
      </c>
      <c r="AG523" s="16" t="s">
        <v>6011</v>
      </c>
      <c r="AH523" s="16" t="s">
        <v>1059</v>
      </c>
      <c r="AI523" s="16"/>
      <c r="AJ523" s="16"/>
      <c r="AK523" s="16"/>
      <c r="AL523" s="16" t="s">
        <v>5394</v>
      </c>
    </row>
    <row r="524" spans="1:38" x14ac:dyDescent="0.5">
      <c r="A524">
        <v>21364</v>
      </c>
      <c r="B524" s="16" t="s">
        <v>2382</v>
      </c>
      <c r="C524" s="16" t="s">
        <v>2382</v>
      </c>
      <c r="D524" s="16"/>
      <c r="E524" s="16" t="s">
        <v>4641</v>
      </c>
      <c r="F524" s="17" t="s">
        <v>8627</v>
      </c>
      <c r="H524" s="16"/>
      <c r="I524" s="16"/>
      <c r="J524" s="33">
        <v>42478</v>
      </c>
      <c r="K524" s="33">
        <v>43465</v>
      </c>
      <c r="L524" s="16" t="s">
        <v>66</v>
      </c>
      <c r="M524" s="16" t="s">
        <v>67</v>
      </c>
      <c r="N524" s="16" t="s">
        <v>68</v>
      </c>
      <c r="O524" s="16" t="s">
        <v>1082</v>
      </c>
      <c r="P524" s="16" t="s">
        <v>4047</v>
      </c>
      <c r="Q524" s="16" t="s">
        <v>71</v>
      </c>
      <c r="R524" s="17" t="s">
        <v>6012</v>
      </c>
      <c r="S524" s="16" t="s">
        <v>6013</v>
      </c>
      <c r="T524" s="16" t="s">
        <v>74</v>
      </c>
      <c r="U524" s="16" t="s">
        <v>75</v>
      </c>
      <c r="V524" s="16" t="s">
        <v>6014</v>
      </c>
      <c r="W524" s="16"/>
      <c r="X524" s="16" t="s">
        <v>6015</v>
      </c>
      <c r="Y524" s="16" t="s">
        <v>78</v>
      </c>
      <c r="Z524" s="16" t="s">
        <v>172</v>
      </c>
      <c r="AA524" s="16" t="s">
        <v>173</v>
      </c>
      <c r="AB524" s="17" t="s">
        <v>8628</v>
      </c>
      <c r="AC524" s="16" t="s">
        <v>71</v>
      </c>
      <c r="AD524" s="17" t="s">
        <v>8628</v>
      </c>
      <c r="AG524" s="16" t="s">
        <v>1233</v>
      </c>
      <c r="AH524" s="16" t="s">
        <v>1884</v>
      </c>
      <c r="AI524" s="16" t="s">
        <v>3331</v>
      </c>
      <c r="AJ524" s="16"/>
      <c r="AK524" s="16"/>
      <c r="AL524" s="16" t="s">
        <v>8629</v>
      </c>
    </row>
    <row r="525" spans="1:38" x14ac:dyDescent="0.5">
      <c r="A525">
        <v>21365</v>
      </c>
      <c r="B525" s="16" t="s">
        <v>5781</v>
      </c>
      <c r="C525" s="16" t="s">
        <v>5781</v>
      </c>
      <c r="D525" s="16"/>
      <c r="E525" s="16" t="s">
        <v>6016</v>
      </c>
      <c r="F525" s="17" t="s">
        <v>6017</v>
      </c>
      <c r="H525" s="16" t="s">
        <v>3777</v>
      </c>
      <c r="I525" s="16" t="s">
        <v>6018</v>
      </c>
      <c r="J525" s="33">
        <v>42475</v>
      </c>
      <c r="K525" s="33">
        <v>43465</v>
      </c>
      <c r="L525" s="16" t="s">
        <v>66</v>
      </c>
      <c r="M525" s="16" t="s">
        <v>67</v>
      </c>
      <c r="N525" s="16" t="s">
        <v>68</v>
      </c>
      <c r="O525" s="16" t="s">
        <v>436</v>
      </c>
      <c r="P525" s="16" t="s">
        <v>3116</v>
      </c>
      <c r="Q525" s="16" t="s">
        <v>71</v>
      </c>
      <c r="R525" s="17" t="s">
        <v>6019</v>
      </c>
      <c r="S525" s="16" t="s">
        <v>6020</v>
      </c>
      <c r="T525" s="16" t="s">
        <v>74</v>
      </c>
      <c r="U525" s="16" t="s">
        <v>75</v>
      </c>
      <c r="V525" s="16" t="s">
        <v>6021</v>
      </c>
      <c r="W525" s="16"/>
      <c r="X525" s="16" t="s">
        <v>6022</v>
      </c>
      <c r="Y525" s="16" t="s">
        <v>78</v>
      </c>
      <c r="Z525" s="16" t="s">
        <v>376</v>
      </c>
      <c r="AA525" s="16" t="s">
        <v>377</v>
      </c>
      <c r="AB525" s="17" t="s">
        <v>6023</v>
      </c>
      <c r="AC525" s="16" t="s">
        <v>71</v>
      </c>
      <c r="AD525" s="17" t="s">
        <v>6023</v>
      </c>
      <c r="AG525" s="16" t="s">
        <v>6024</v>
      </c>
      <c r="AH525" s="16" t="s">
        <v>1076</v>
      </c>
      <c r="AI525" s="16" t="s">
        <v>1785</v>
      </c>
      <c r="AJ525" s="16"/>
      <c r="AK525" s="16"/>
      <c r="AL525" s="16" t="s">
        <v>1976</v>
      </c>
    </row>
    <row r="526" spans="1:38" x14ac:dyDescent="0.5">
      <c r="A526">
        <v>21366</v>
      </c>
      <c r="B526" s="16" t="s">
        <v>6025</v>
      </c>
      <c r="C526" s="16" t="s">
        <v>6025</v>
      </c>
      <c r="D526" s="16"/>
      <c r="E526" s="16" t="s">
        <v>6026</v>
      </c>
      <c r="F526" s="17" t="s">
        <v>6027</v>
      </c>
      <c r="H526" s="16" t="s">
        <v>5582</v>
      </c>
      <c r="I526" s="16" t="s">
        <v>6028</v>
      </c>
      <c r="J526" s="33">
        <v>42486</v>
      </c>
      <c r="K526" s="33">
        <v>43465</v>
      </c>
      <c r="L526" s="16" t="s">
        <v>66</v>
      </c>
      <c r="M526" s="16" t="s">
        <v>67</v>
      </c>
      <c r="N526" s="16" t="s">
        <v>68</v>
      </c>
      <c r="O526" s="16" t="s">
        <v>436</v>
      </c>
      <c r="P526" s="16" t="s">
        <v>572</v>
      </c>
      <c r="Q526" s="16" t="s">
        <v>71</v>
      </c>
      <c r="R526" s="17" t="s">
        <v>6029</v>
      </c>
      <c r="S526" s="16" t="s">
        <v>6030</v>
      </c>
      <c r="T526" s="16" t="s">
        <v>6031</v>
      </c>
      <c r="U526" s="16" t="s">
        <v>6032</v>
      </c>
      <c r="V526" s="16" t="s">
        <v>6033</v>
      </c>
      <c r="W526" s="16"/>
      <c r="X526" s="16" t="s">
        <v>6034</v>
      </c>
      <c r="Y526" s="16" t="s">
        <v>744</v>
      </c>
      <c r="Z526" s="16"/>
      <c r="AA526" s="16"/>
      <c r="AB526" s="17" t="s">
        <v>6035</v>
      </c>
      <c r="AC526" s="16" t="s">
        <v>71</v>
      </c>
      <c r="AD526" s="17" t="s">
        <v>6035</v>
      </c>
      <c r="AE526" s="17" t="s">
        <v>6036</v>
      </c>
      <c r="AG526" s="16" t="s">
        <v>2457</v>
      </c>
      <c r="AH526" s="16" t="s">
        <v>2632</v>
      </c>
      <c r="AI526" s="16"/>
      <c r="AJ526" s="16"/>
      <c r="AK526" s="16"/>
      <c r="AL526" s="16" t="s">
        <v>5582</v>
      </c>
    </row>
    <row r="527" spans="1:38" x14ac:dyDescent="0.5">
      <c r="A527">
        <v>21367</v>
      </c>
      <c r="B527" s="16" t="s">
        <v>1777</v>
      </c>
      <c r="C527" s="16" t="s">
        <v>805</v>
      </c>
      <c r="D527" s="16"/>
      <c r="E527" s="16" t="s">
        <v>6037</v>
      </c>
      <c r="F527" s="17" t="s">
        <v>6038</v>
      </c>
      <c r="H527" s="16" t="s">
        <v>6039</v>
      </c>
      <c r="I527" s="16" t="s">
        <v>6040</v>
      </c>
      <c r="J527" s="33">
        <v>42479</v>
      </c>
      <c r="K527" s="33">
        <v>43465</v>
      </c>
      <c r="L527" s="16" t="s">
        <v>66</v>
      </c>
      <c r="M527" s="16" t="s">
        <v>67</v>
      </c>
      <c r="N527" s="16" t="s">
        <v>68</v>
      </c>
      <c r="O527" s="16" t="s">
        <v>436</v>
      </c>
      <c r="P527" s="16" t="s">
        <v>572</v>
      </c>
      <c r="Q527" s="16" t="s">
        <v>71</v>
      </c>
      <c r="R527" s="17" t="s">
        <v>6041</v>
      </c>
      <c r="S527" s="16" t="s">
        <v>6042</v>
      </c>
      <c r="T527" s="16" t="s">
        <v>74</v>
      </c>
      <c r="U527" s="16" t="s">
        <v>75</v>
      </c>
      <c r="V527" s="16" t="s">
        <v>6043</v>
      </c>
      <c r="W527" s="16"/>
      <c r="X527" s="16" t="s">
        <v>6044</v>
      </c>
      <c r="Y527" s="16" t="s">
        <v>78</v>
      </c>
      <c r="Z527" s="16" t="s">
        <v>242</v>
      </c>
      <c r="AA527" s="16" t="s">
        <v>243</v>
      </c>
      <c r="AB527" s="17" t="s">
        <v>6045</v>
      </c>
      <c r="AC527" s="16" t="s">
        <v>71</v>
      </c>
      <c r="AD527" s="17" t="s">
        <v>6045</v>
      </c>
      <c r="AF527" s="17" t="s">
        <v>6046</v>
      </c>
      <c r="AG527" s="16" t="s">
        <v>3841</v>
      </c>
      <c r="AH527" s="16" t="s">
        <v>2817</v>
      </c>
      <c r="AI527" s="16"/>
      <c r="AJ527" s="16"/>
      <c r="AK527" s="16"/>
      <c r="AL527" s="16" t="s">
        <v>6039</v>
      </c>
    </row>
    <row r="528" spans="1:38" x14ac:dyDescent="0.5">
      <c r="A528">
        <v>21369</v>
      </c>
      <c r="B528" s="16" t="s">
        <v>6047</v>
      </c>
      <c r="C528" s="16" t="s">
        <v>6047</v>
      </c>
      <c r="D528" s="16"/>
      <c r="E528" s="16" t="s">
        <v>6048</v>
      </c>
      <c r="F528" s="17" t="s">
        <v>6049</v>
      </c>
      <c r="H528" s="16" t="s">
        <v>6050</v>
      </c>
      <c r="I528" s="16" t="s">
        <v>6051</v>
      </c>
      <c r="J528" s="33">
        <v>42589</v>
      </c>
      <c r="K528" s="33">
        <v>43465</v>
      </c>
      <c r="L528" s="16" t="s">
        <v>66</v>
      </c>
      <c r="M528" s="16" t="s">
        <v>67</v>
      </c>
      <c r="N528" s="16" t="s">
        <v>68</v>
      </c>
      <c r="O528" s="16" t="s">
        <v>436</v>
      </c>
      <c r="P528" s="16" t="s">
        <v>572</v>
      </c>
      <c r="Q528" s="16" t="s">
        <v>71</v>
      </c>
      <c r="R528" s="17" t="s">
        <v>6052</v>
      </c>
      <c r="S528" s="16" t="s">
        <v>6053</v>
      </c>
      <c r="T528" s="16" t="s">
        <v>74</v>
      </c>
      <c r="U528" s="16" t="s">
        <v>75</v>
      </c>
      <c r="V528" s="16" t="s">
        <v>6054</v>
      </c>
      <c r="W528" s="16"/>
      <c r="X528" s="16" t="s">
        <v>6055</v>
      </c>
      <c r="Y528" s="16" t="s">
        <v>78</v>
      </c>
      <c r="Z528" s="16" t="s">
        <v>207</v>
      </c>
      <c r="AA528" s="16" t="s">
        <v>208</v>
      </c>
      <c r="AB528" s="17" t="s">
        <v>6056</v>
      </c>
      <c r="AC528" s="16" t="s">
        <v>71</v>
      </c>
      <c r="AD528" s="17" t="s">
        <v>6056</v>
      </c>
      <c r="AE528" s="17" t="s">
        <v>6057</v>
      </c>
      <c r="AF528" s="17" t="s">
        <v>6058</v>
      </c>
      <c r="AG528" s="16" t="s">
        <v>780</v>
      </c>
      <c r="AH528" s="16" t="s">
        <v>1731</v>
      </c>
      <c r="AI528" s="16"/>
      <c r="AJ528" s="16"/>
      <c r="AK528" s="16"/>
      <c r="AL528" s="16" t="s">
        <v>6050</v>
      </c>
    </row>
    <row r="529" spans="1:38" x14ac:dyDescent="0.5">
      <c r="A529">
        <v>21371</v>
      </c>
      <c r="B529" s="16" t="s">
        <v>6059</v>
      </c>
      <c r="C529" s="16" t="s">
        <v>6059</v>
      </c>
      <c r="D529" s="16"/>
      <c r="E529" s="16" t="s">
        <v>6060</v>
      </c>
      <c r="F529" s="17" t="s">
        <v>6061</v>
      </c>
      <c r="H529" s="16" t="s">
        <v>456</v>
      </c>
      <c r="I529" s="16" t="s">
        <v>6062</v>
      </c>
      <c r="J529" s="33">
        <v>42481</v>
      </c>
      <c r="K529" s="33">
        <v>43465</v>
      </c>
      <c r="L529" s="16" t="s">
        <v>66</v>
      </c>
      <c r="M529" s="16" t="s">
        <v>67</v>
      </c>
      <c r="N529" s="16" t="s">
        <v>68</v>
      </c>
      <c r="O529" s="16" t="s">
        <v>436</v>
      </c>
      <c r="P529" s="16" t="s">
        <v>572</v>
      </c>
      <c r="Q529" s="16" t="s">
        <v>71</v>
      </c>
      <c r="R529" s="17" t="s">
        <v>6063</v>
      </c>
      <c r="S529" s="16" t="s">
        <v>113</v>
      </c>
      <c r="T529" s="16" t="s">
        <v>74</v>
      </c>
      <c r="U529" s="16" t="s">
        <v>75</v>
      </c>
      <c r="V529" s="16" t="s">
        <v>6064</v>
      </c>
      <c r="W529" s="16"/>
      <c r="X529" s="16" t="s">
        <v>6065</v>
      </c>
      <c r="Y529" s="16" t="s">
        <v>78</v>
      </c>
      <c r="Z529" s="16" t="s">
        <v>117</v>
      </c>
      <c r="AA529" s="16" t="s">
        <v>113</v>
      </c>
      <c r="AC529" s="16"/>
      <c r="AD529" s="17" t="s">
        <v>6066</v>
      </c>
      <c r="AG529" s="16" t="s">
        <v>2191</v>
      </c>
      <c r="AH529" s="16" t="s">
        <v>2297</v>
      </c>
      <c r="AI529" s="16"/>
      <c r="AJ529" s="16"/>
      <c r="AK529" s="16"/>
      <c r="AL529" s="16" t="s">
        <v>6067</v>
      </c>
    </row>
    <row r="530" spans="1:38" x14ac:dyDescent="0.5">
      <c r="A530">
        <v>21373</v>
      </c>
      <c r="B530" s="16" t="s">
        <v>902</v>
      </c>
      <c r="C530" s="16" t="s">
        <v>902</v>
      </c>
      <c r="D530" s="16"/>
      <c r="E530" s="16" t="s">
        <v>6068</v>
      </c>
      <c r="F530" s="17" t="s">
        <v>6069</v>
      </c>
      <c r="H530" s="16" t="s">
        <v>6070</v>
      </c>
      <c r="I530" s="16" t="s">
        <v>318</v>
      </c>
      <c r="J530" s="33">
        <v>42478</v>
      </c>
      <c r="K530" s="33">
        <v>43465</v>
      </c>
      <c r="L530" s="16" t="s">
        <v>66</v>
      </c>
      <c r="M530" s="16" t="s">
        <v>167</v>
      </c>
      <c r="N530" s="16" t="s">
        <v>110</v>
      </c>
      <c r="O530" s="16" t="s">
        <v>280</v>
      </c>
      <c r="P530" s="16"/>
      <c r="Q530" s="16" t="s">
        <v>71</v>
      </c>
      <c r="R530" s="17" t="s">
        <v>6071</v>
      </c>
      <c r="S530" s="16" t="s">
        <v>113</v>
      </c>
      <c r="T530" s="16" t="s">
        <v>74</v>
      </c>
      <c r="U530" s="16" t="s">
        <v>75</v>
      </c>
      <c r="V530" s="16" t="s">
        <v>6072</v>
      </c>
      <c r="W530" s="16"/>
      <c r="X530" s="16" t="s">
        <v>6073</v>
      </c>
      <c r="Y530" s="16" t="s">
        <v>78</v>
      </c>
      <c r="Z530" s="16" t="s">
        <v>117</v>
      </c>
      <c r="AA530" s="16" t="s">
        <v>113</v>
      </c>
      <c r="AB530" s="17" t="s">
        <v>6074</v>
      </c>
      <c r="AC530" s="16" t="s">
        <v>71</v>
      </c>
      <c r="AD530" s="17" t="s">
        <v>6074</v>
      </c>
      <c r="AG530" s="16" t="s">
        <v>6075</v>
      </c>
      <c r="AH530" s="16" t="s">
        <v>5456</v>
      </c>
      <c r="AI530" s="16"/>
      <c r="AJ530" s="16"/>
      <c r="AK530" s="16"/>
      <c r="AL530" s="16" t="s">
        <v>6076</v>
      </c>
    </row>
    <row r="531" spans="1:38" x14ac:dyDescent="0.5">
      <c r="A531">
        <v>21375</v>
      </c>
      <c r="B531" s="16" t="s">
        <v>6077</v>
      </c>
      <c r="C531" s="16" t="s">
        <v>6077</v>
      </c>
      <c r="D531" s="16" t="s">
        <v>2396</v>
      </c>
      <c r="E531" s="16" t="s">
        <v>6078</v>
      </c>
      <c r="F531" s="17" t="s">
        <v>6079</v>
      </c>
      <c r="H531" s="16" t="s">
        <v>6080</v>
      </c>
      <c r="I531" s="16" t="s">
        <v>6081</v>
      </c>
      <c r="J531" s="33">
        <v>42481</v>
      </c>
      <c r="K531" s="33">
        <v>43465</v>
      </c>
      <c r="L531" s="16" t="s">
        <v>66</v>
      </c>
      <c r="M531" s="16" t="s">
        <v>167</v>
      </c>
      <c r="N531" s="16" t="s">
        <v>110</v>
      </c>
      <c r="O531" s="16" t="s">
        <v>280</v>
      </c>
      <c r="P531" s="16" t="s">
        <v>572</v>
      </c>
      <c r="Q531" s="16" t="s">
        <v>71</v>
      </c>
      <c r="R531" s="17" t="s">
        <v>6082</v>
      </c>
      <c r="S531" s="16" t="s">
        <v>6083</v>
      </c>
      <c r="T531" s="16" t="s">
        <v>3827</v>
      </c>
      <c r="U531" s="16" t="s">
        <v>3828</v>
      </c>
      <c r="V531" s="16" t="s">
        <v>6084</v>
      </c>
      <c r="W531" s="16"/>
      <c r="X531" s="16" t="s">
        <v>6085</v>
      </c>
      <c r="Y531" s="16" t="s">
        <v>744</v>
      </c>
      <c r="Z531" s="16"/>
      <c r="AA531" s="16"/>
      <c r="AB531" s="17" t="s">
        <v>6086</v>
      </c>
      <c r="AC531" s="16" t="s">
        <v>71</v>
      </c>
      <c r="AD531" s="17" t="s">
        <v>6086</v>
      </c>
      <c r="AG531" s="16" t="s">
        <v>2632</v>
      </c>
      <c r="AH531" s="16" t="s">
        <v>3373</v>
      </c>
      <c r="AI531" s="16"/>
      <c r="AJ531" s="16"/>
      <c r="AK531" s="16"/>
      <c r="AL531" s="16" t="s">
        <v>6080</v>
      </c>
    </row>
    <row r="532" spans="1:38" x14ac:dyDescent="0.5">
      <c r="A532">
        <v>21376</v>
      </c>
      <c r="B532" s="16" t="s">
        <v>4455</v>
      </c>
      <c r="C532" s="16" t="s">
        <v>4455</v>
      </c>
      <c r="D532" s="16"/>
      <c r="E532" s="16" t="s">
        <v>6087</v>
      </c>
      <c r="F532" s="17" t="s">
        <v>6088</v>
      </c>
      <c r="H532" s="16" t="s">
        <v>468</v>
      </c>
      <c r="I532" s="16" t="s">
        <v>6089</v>
      </c>
      <c r="J532" s="33">
        <v>42538</v>
      </c>
      <c r="K532" s="33">
        <v>43465</v>
      </c>
      <c r="L532" s="16" t="s">
        <v>66</v>
      </c>
      <c r="M532" s="16" t="s">
        <v>167</v>
      </c>
      <c r="N532" s="16" t="s">
        <v>110</v>
      </c>
      <c r="O532" s="16" t="s">
        <v>280</v>
      </c>
      <c r="P532" s="16" t="s">
        <v>572</v>
      </c>
      <c r="Q532" s="16" t="s">
        <v>71</v>
      </c>
      <c r="R532" s="17" t="s">
        <v>6090</v>
      </c>
      <c r="S532" s="16" t="s">
        <v>113</v>
      </c>
      <c r="T532" s="16" t="s">
        <v>74</v>
      </c>
      <c r="U532" s="16" t="s">
        <v>75</v>
      </c>
      <c r="V532" s="16" t="s">
        <v>6091</v>
      </c>
      <c r="W532" s="16"/>
      <c r="X532" s="16" t="s">
        <v>6092</v>
      </c>
      <c r="Y532" s="16" t="s">
        <v>78</v>
      </c>
      <c r="Z532" s="16" t="s">
        <v>117</v>
      </c>
      <c r="AA532" s="16" t="s">
        <v>113</v>
      </c>
      <c r="AB532" s="17" t="s">
        <v>6093</v>
      </c>
      <c r="AC532" s="16" t="s">
        <v>71</v>
      </c>
      <c r="AD532" s="17" t="s">
        <v>6093</v>
      </c>
      <c r="AF532" s="17" t="s">
        <v>6094</v>
      </c>
      <c r="AG532" s="16" t="s">
        <v>6095</v>
      </c>
      <c r="AH532" s="16" t="s">
        <v>1784</v>
      </c>
      <c r="AI532" s="16"/>
      <c r="AJ532" s="16"/>
      <c r="AK532" s="16"/>
      <c r="AL532" s="16" t="s">
        <v>468</v>
      </c>
    </row>
    <row r="533" spans="1:38" x14ac:dyDescent="0.5">
      <c r="A533">
        <v>21378</v>
      </c>
      <c r="B533" s="16" t="s">
        <v>6096</v>
      </c>
      <c r="C533" s="16" t="s">
        <v>6096</v>
      </c>
      <c r="D533" s="16"/>
      <c r="E533" s="16" t="s">
        <v>1324</v>
      </c>
      <c r="F533" s="17" t="s">
        <v>6097</v>
      </c>
      <c r="H533" s="16" t="s">
        <v>3243</v>
      </c>
      <c r="I533" s="16" t="s">
        <v>6098</v>
      </c>
      <c r="J533" s="33">
        <v>42475</v>
      </c>
      <c r="K533" s="33">
        <v>43465</v>
      </c>
      <c r="L533" s="16" t="s">
        <v>66</v>
      </c>
      <c r="M533" s="16" t="s">
        <v>167</v>
      </c>
      <c r="N533" s="16" t="s">
        <v>110</v>
      </c>
      <c r="O533" s="16" t="s">
        <v>280</v>
      </c>
      <c r="P533" s="16" t="s">
        <v>572</v>
      </c>
      <c r="Q533" s="16" t="s">
        <v>71</v>
      </c>
      <c r="R533" s="17" t="s">
        <v>6099</v>
      </c>
      <c r="S533" s="16" t="s">
        <v>113</v>
      </c>
      <c r="T533" s="16" t="s">
        <v>74</v>
      </c>
      <c r="U533" s="16" t="s">
        <v>75</v>
      </c>
      <c r="V533" s="16" t="s">
        <v>6100</v>
      </c>
      <c r="W533" s="16"/>
      <c r="X533" s="16" t="s">
        <v>6101</v>
      </c>
      <c r="Y533" s="16" t="s">
        <v>78</v>
      </c>
      <c r="Z533" s="16" t="s">
        <v>117</v>
      </c>
      <c r="AA533" s="16" t="s">
        <v>113</v>
      </c>
      <c r="AB533" s="17" t="s">
        <v>6102</v>
      </c>
      <c r="AC533" s="16" t="s">
        <v>71</v>
      </c>
      <c r="AD533" s="17" t="s">
        <v>6102</v>
      </c>
      <c r="AE533" s="17" t="s">
        <v>6103</v>
      </c>
      <c r="AG533" s="16" t="s">
        <v>5268</v>
      </c>
      <c r="AH533" s="16" t="s">
        <v>6104</v>
      </c>
      <c r="AI533" s="16"/>
      <c r="AJ533" s="16"/>
      <c r="AK533" s="16"/>
      <c r="AL533" s="16" t="s">
        <v>3243</v>
      </c>
    </row>
    <row r="534" spans="1:38" x14ac:dyDescent="0.5">
      <c r="A534">
        <v>21379</v>
      </c>
      <c r="B534" s="16" t="s">
        <v>6105</v>
      </c>
      <c r="C534" s="16" t="s">
        <v>6105</v>
      </c>
      <c r="D534" s="16"/>
      <c r="E534" s="16" t="s">
        <v>6106</v>
      </c>
      <c r="F534" s="17" t="s">
        <v>6107</v>
      </c>
      <c r="H534" s="16" t="s">
        <v>456</v>
      </c>
      <c r="I534" s="16" t="s">
        <v>6108</v>
      </c>
      <c r="J534" s="33">
        <v>42475</v>
      </c>
      <c r="K534" s="33">
        <v>43465</v>
      </c>
      <c r="L534" s="16" t="s">
        <v>66</v>
      </c>
      <c r="M534" s="16" t="s">
        <v>235</v>
      </c>
      <c r="N534" s="16" t="s">
        <v>236</v>
      </c>
      <c r="O534" s="16" t="s">
        <v>237</v>
      </c>
      <c r="P534" s="16" t="s">
        <v>572</v>
      </c>
      <c r="Q534" s="16" t="s">
        <v>71</v>
      </c>
      <c r="R534" s="17" t="s">
        <v>6109</v>
      </c>
      <c r="S534" s="16" t="s">
        <v>6110</v>
      </c>
      <c r="T534" s="16" t="s">
        <v>74</v>
      </c>
      <c r="U534" s="16" t="s">
        <v>75</v>
      </c>
      <c r="V534" s="16" t="s">
        <v>6111</v>
      </c>
      <c r="W534" s="16"/>
      <c r="X534" s="16" t="s">
        <v>6112</v>
      </c>
      <c r="Y534" s="16" t="s">
        <v>78</v>
      </c>
      <c r="Z534" s="16" t="s">
        <v>242</v>
      </c>
      <c r="AA534" s="16" t="s">
        <v>243</v>
      </c>
      <c r="AB534" s="17" t="s">
        <v>6113</v>
      </c>
      <c r="AC534" s="16" t="s">
        <v>71</v>
      </c>
      <c r="AD534" s="17" t="s">
        <v>6113</v>
      </c>
      <c r="AE534" s="17" t="s">
        <v>6114</v>
      </c>
      <c r="AF534" s="17" t="s">
        <v>6115</v>
      </c>
      <c r="AG534" s="16" t="s">
        <v>780</v>
      </c>
      <c r="AH534" s="16" t="s">
        <v>1731</v>
      </c>
      <c r="AI534" s="16"/>
      <c r="AJ534" s="16"/>
      <c r="AK534" s="16"/>
      <c r="AL534" s="16" t="s">
        <v>456</v>
      </c>
    </row>
    <row r="535" spans="1:38" x14ac:dyDescent="0.5">
      <c r="A535">
        <v>21380</v>
      </c>
      <c r="B535" s="16" t="s">
        <v>6116</v>
      </c>
      <c r="C535" s="16" t="s">
        <v>6117</v>
      </c>
      <c r="D535" s="16"/>
      <c r="E535" s="16" t="s">
        <v>500</v>
      </c>
      <c r="F535" s="17" t="s">
        <v>6118</v>
      </c>
      <c r="H535" s="16" t="s">
        <v>5394</v>
      </c>
      <c r="I535" s="16" t="s">
        <v>6119</v>
      </c>
      <c r="J535" s="33">
        <v>42478</v>
      </c>
      <c r="K535" s="33">
        <v>43465</v>
      </c>
      <c r="L535" s="16" t="s">
        <v>66</v>
      </c>
      <c r="M535" s="16" t="s">
        <v>67</v>
      </c>
      <c r="N535" s="16" t="s">
        <v>68</v>
      </c>
      <c r="O535" s="16" t="s">
        <v>436</v>
      </c>
      <c r="P535" s="16"/>
      <c r="Q535" s="16" t="s">
        <v>71</v>
      </c>
      <c r="R535" s="17" t="s">
        <v>8630</v>
      </c>
      <c r="S535" s="16" t="s">
        <v>1111</v>
      </c>
      <c r="T535" s="16" t="s">
        <v>74</v>
      </c>
      <c r="U535" s="16" t="s">
        <v>75</v>
      </c>
      <c r="V535" s="16" t="s">
        <v>8631</v>
      </c>
      <c r="W535" s="16"/>
      <c r="X535" s="16" t="s">
        <v>8632</v>
      </c>
      <c r="Y535" s="16" t="s">
        <v>78</v>
      </c>
      <c r="Z535" s="16" t="s">
        <v>207</v>
      </c>
      <c r="AA535" s="16" t="s">
        <v>208</v>
      </c>
      <c r="AB535" s="17" t="s">
        <v>6120</v>
      </c>
      <c r="AC535" s="16" t="s">
        <v>71</v>
      </c>
      <c r="AD535" s="17" t="s">
        <v>6120</v>
      </c>
      <c r="AF535" s="17" t="s">
        <v>6121</v>
      </c>
      <c r="AG535" s="16" t="s">
        <v>579</v>
      </c>
      <c r="AH535" s="16" t="s">
        <v>6122</v>
      </c>
      <c r="AI535" s="16"/>
      <c r="AJ535" s="16"/>
      <c r="AK535" s="16"/>
      <c r="AL535" s="16" t="s">
        <v>5384</v>
      </c>
    </row>
    <row r="536" spans="1:38" x14ac:dyDescent="0.5">
      <c r="A536">
        <v>21381</v>
      </c>
      <c r="B536" s="16" t="s">
        <v>1613</v>
      </c>
      <c r="C536" s="16" t="s">
        <v>1613</v>
      </c>
      <c r="D536" s="16"/>
      <c r="E536" s="16" t="s">
        <v>6123</v>
      </c>
      <c r="F536" s="17" t="s">
        <v>6124</v>
      </c>
      <c r="H536" s="16" t="s">
        <v>6125</v>
      </c>
      <c r="I536" s="16" t="s">
        <v>6126</v>
      </c>
      <c r="J536" s="33">
        <v>42478</v>
      </c>
      <c r="K536" s="33">
        <v>43465</v>
      </c>
      <c r="L536" s="16" t="s">
        <v>66</v>
      </c>
      <c r="M536" s="16" t="s">
        <v>235</v>
      </c>
      <c r="N536" s="16" t="s">
        <v>236</v>
      </c>
      <c r="O536" s="16" t="s">
        <v>237</v>
      </c>
      <c r="P536" s="16" t="s">
        <v>572</v>
      </c>
      <c r="Q536" s="16" t="s">
        <v>71</v>
      </c>
      <c r="R536" s="17" t="s">
        <v>6127</v>
      </c>
      <c r="S536" s="16" t="s">
        <v>662</v>
      </c>
      <c r="T536" s="16" t="s">
        <v>74</v>
      </c>
      <c r="U536" s="16" t="s">
        <v>75</v>
      </c>
      <c r="V536" s="16" t="s">
        <v>6128</v>
      </c>
      <c r="W536" s="16"/>
      <c r="X536" s="16" t="s">
        <v>6129</v>
      </c>
      <c r="Y536" s="16" t="s">
        <v>78</v>
      </c>
      <c r="Z536" s="16" t="s">
        <v>666</v>
      </c>
      <c r="AA536" s="16" t="s">
        <v>667</v>
      </c>
      <c r="AB536" s="17" t="s">
        <v>6130</v>
      </c>
      <c r="AC536" s="16" t="s">
        <v>71</v>
      </c>
      <c r="AD536" s="17" t="s">
        <v>6130</v>
      </c>
      <c r="AG536" s="16" t="s">
        <v>6131</v>
      </c>
      <c r="AH536" s="16" t="s">
        <v>2817</v>
      </c>
      <c r="AI536" s="16"/>
      <c r="AJ536" s="16"/>
      <c r="AK536" s="16"/>
      <c r="AL536" s="16" t="s">
        <v>6125</v>
      </c>
    </row>
    <row r="537" spans="1:38" x14ac:dyDescent="0.5">
      <c r="A537">
        <v>21382</v>
      </c>
      <c r="B537" s="16" t="s">
        <v>59</v>
      </c>
      <c r="C537" s="16" t="s">
        <v>59</v>
      </c>
      <c r="D537" s="16"/>
      <c r="E537" s="16" t="s">
        <v>6132</v>
      </c>
      <c r="F537" s="17" t="s">
        <v>6133</v>
      </c>
      <c r="H537" s="16" t="s">
        <v>6134</v>
      </c>
      <c r="I537" s="16" t="s">
        <v>6135</v>
      </c>
      <c r="J537" s="33">
        <v>42480</v>
      </c>
      <c r="K537" s="33">
        <v>43465</v>
      </c>
      <c r="L537" s="16" t="s">
        <v>66</v>
      </c>
      <c r="M537" s="16" t="s">
        <v>235</v>
      </c>
      <c r="N537" s="16" t="s">
        <v>236</v>
      </c>
      <c r="O537" s="16" t="s">
        <v>237</v>
      </c>
      <c r="P537" s="16" t="s">
        <v>572</v>
      </c>
      <c r="Q537" s="16" t="s">
        <v>71</v>
      </c>
      <c r="R537" s="17" t="s">
        <v>6136</v>
      </c>
      <c r="S537" s="16" t="s">
        <v>2859</v>
      </c>
      <c r="T537" s="16" t="s">
        <v>74</v>
      </c>
      <c r="U537" s="16" t="s">
        <v>75</v>
      </c>
      <c r="V537" s="16" t="s">
        <v>6137</v>
      </c>
      <c r="W537" s="16"/>
      <c r="X537" s="16" t="s">
        <v>6138</v>
      </c>
      <c r="Y537" s="16" t="s">
        <v>78</v>
      </c>
      <c r="Z537" s="16" t="s">
        <v>117</v>
      </c>
      <c r="AA537" s="16" t="s">
        <v>113</v>
      </c>
      <c r="AB537" s="17" t="s">
        <v>6139</v>
      </c>
      <c r="AC537" s="16" t="s">
        <v>71</v>
      </c>
      <c r="AD537" s="17" t="s">
        <v>6139</v>
      </c>
      <c r="AE537" s="17" t="s">
        <v>6140</v>
      </c>
      <c r="AG537" s="16" t="s">
        <v>3225</v>
      </c>
      <c r="AH537" s="16" t="s">
        <v>780</v>
      </c>
      <c r="AI537" s="16"/>
      <c r="AJ537" s="16"/>
      <c r="AK537" s="16"/>
      <c r="AL537" s="16" t="s">
        <v>6134</v>
      </c>
    </row>
    <row r="538" spans="1:38" x14ac:dyDescent="0.5">
      <c r="A538">
        <v>21383</v>
      </c>
      <c r="B538" s="16" t="s">
        <v>5854</v>
      </c>
      <c r="C538" s="16" t="s">
        <v>5854</v>
      </c>
      <c r="D538" s="16"/>
      <c r="E538" s="16" t="s">
        <v>6141</v>
      </c>
      <c r="F538" s="17" t="s">
        <v>6142</v>
      </c>
      <c r="H538" s="16" t="s">
        <v>6143</v>
      </c>
      <c r="I538" s="16" t="s">
        <v>6144</v>
      </c>
      <c r="J538" s="33">
        <v>42478</v>
      </c>
      <c r="K538" s="33">
        <v>43465</v>
      </c>
      <c r="L538" s="16" t="s">
        <v>66</v>
      </c>
      <c r="M538" s="16" t="s">
        <v>235</v>
      </c>
      <c r="N538" s="16" t="s">
        <v>236</v>
      </c>
      <c r="O538" s="16" t="s">
        <v>237</v>
      </c>
      <c r="P538" s="16" t="s">
        <v>572</v>
      </c>
      <c r="Q538" s="16" t="s">
        <v>71</v>
      </c>
      <c r="R538" s="17" t="s">
        <v>6145</v>
      </c>
      <c r="S538" s="16" t="s">
        <v>662</v>
      </c>
      <c r="T538" s="16" t="s">
        <v>74</v>
      </c>
      <c r="U538" s="16" t="s">
        <v>75</v>
      </c>
      <c r="V538" s="16" t="s">
        <v>6146</v>
      </c>
      <c r="W538" s="16"/>
      <c r="X538" s="16" t="s">
        <v>5472</v>
      </c>
      <c r="Y538" s="16" t="s">
        <v>78</v>
      </c>
      <c r="Z538" s="16" t="s">
        <v>666</v>
      </c>
      <c r="AA538" s="16" t="s">
        <v>667</v>
      </c>
      <c r="AB538" s="17" t="s">
        <v>6147</v>
      </c>
      <c r="AC538" s="16" t="s">
        <v>71</v>
      </c>
      <c r="AD538" s="17" t="s">
        <v>6147</v>
      </c>
      <c r="AG538" s="16" t="s">
        <v>2297</v>
      </c>
      <c r="AH538" s="16" t="s">
        <v>579</v>
      </c>
      <c r="AI538" s="16"/>
      <c r="AJ538" s="16"/>
      <c r="AK538" s="16"/>
      <c r="AL538" s="16" t="s">
        <v>6143</v>
      </c>
    </row>
    <row r="539" spans="1:38" x14ac:dyDescent="0.5">
      <c r="A539">
        <v>21409</v>
      </c>
      <c r="B539" s="16" t="s">
        <v>453</v>
      </c>
      <c r="C539" s="16" t="s">
        <v>453</v>
      </c>
      <c r="D539" s="16"/>
      <c r="E539" s="16" t="s">
        <v>5259</v>
      </c>
      <c r="F539" s="17" t="s">
        <v>6149</v>
      </c>
      <c r="H539" s="16" t="s">
        <v>6150</v>
      </c>
      <c r="I539" s="16" t="s">
        <v>8633</v>
      </c>
      <c r="J539" s="33">
        <v>43185</v>
      </c>
      <c r="K539" s="33">
        <v>43550</v>
      </c>
      <c r="L539" s="16" t="s">
        <v>66</v>
      </c>
      <c r="M539" s="16" t="s">
        <v>67</v>
      </c>
      <c r="N539" s="16" t="s">
        <v>68</v>
      </c>
      <c r="O539" s="16" t="s">
        <v>436</v>
      </c>
      <c r="P539" s="16"/>
      <c r="Q539" s="16" t="s">
        <v>71</v>
      </c>
      <c r="R539" s="17" t="s">
        <v>6151</v>
      </c>
      <c r="S539" s="16" t="s">
        <v>2611</v>
      </c>
      <c r="T539" s="16" t="s">
        <v>74</v>
      </c>
      <c r="U539" s="16" t="s">
        <v>75</v>
      </c>
      <c r="V539" s="16" t="s">
        <v>6152</v>
      </c>
      <c r="W539" s="16" t="s">
        <v>6153</v>
      </c>
      <c r="X539" s="16" t="s">
        <v>6154</v>
      </c>
      <c r="Y539" s="16" t="s">
        <v>78</v>
      </c>
      <c r="Z539" s="16" t="s">
        <v>242</v>
      </c>
      <c r="AA539" s="16" t="s">
        <v>243</v>
      </c>
      <c r="AB539" s="17" t="s">
        <v>6155</v>
      </c>
      <c r="AC539" s="16" t="s">
        <v>71</v>
      </c>
      <c r="AD539" s="17" t="s">
        <v>6155</v>
      </c>
      <c r="AG539" s="16" t="s">
        <v>6148</v>
      </c>
      <c r="AH539" s="16" t="s">
        <v>6104</v>
      </c>
      <c r="AI539" s="16"/>
      <c r="AJ539" s="16"/>
      <c r="AK539" s="16"/>
      <c r="AL539" s="16" t="s">
        <v>6156</v>
      </c>
    </row>
    <row r="540" spans="1:38" x14ac:dyDescent="0.5">
      <c r="A540">
        <v>21423</v>
      </c>
      <c r="B540" s="16" t="s">
        <v>1490</v>
      </c>
      <c r="C540" s="16" t="s">
        <v>6157</v>
      </c>
      <c r="D540" s="16"/>
      <c r="E540" s="16" t="s">
        <v>6158</v>
      </c>
      <c r="F540" s="17" t="s">
        <v>6159</v>
      </c>
      <c r="H540" s="16" t="s">
        <v>2257</v>
      </c>
      <c r="I540" s="16" t="s">
        <v>6160</v>
      </c>
      <c r="J540" s="33">
        <v>42486</v>
      </c>
      <c r="K540" s="33">
        <v>43465</v>
      </c>
      <c r="L540" s="16" t="s">
        <v>66</v>
      </c>
      <c r="M540" s="16" t="s">
        <v>67</v>
      </c>
      <c r="N540" s="16" t="s">
        <v>68</v>
      </c>
      <c r="O540" s="16" t="s">
        <v>436</v>
      </c>
      <c r="P540" s="16" t="s">
        <v>572</v>
      </c>
      <c r="Q540" s="16" t="s">
        <v>71</v>
      </c>
      <c r="R540" s="17" t="s">
        <v>6161</v>
      </c>
      <c r="S540" s="16" t="s">
        <v>3647</v>
      </c>
      <c r="T540" s="16" t="s">
        <v>74</v>
      </c>
      <c r="U540" s="16" t="s">
        <v>75</v>
      </c>
      <c r="V540" s="16" t="s">
        <v>6162</v>
      </c>
      <c r="W540" s="16"/>
      <c r="X540" s="16" t="s">
        <v>6163</v>
      </c>
      <c r="Y540" s="16" t="s">
        <v>78</v>
      </c>
      <c r="Z540" s="16" t="s">
        <v>1025</v>
      </c>
      <c r="AA540" s="16" t="s">
        <v>1026</v>
      </c>
      <c r="AB540" s="17" t="s">
        <v>6164</v>
      </c>
      <c r="AC540" s="16" t="s">
        <v>71</v>
      </c>
      <c r="AD540" s="17" t="s">
        <v>6164</v>
      </c>
      <c r="AG540" s="16" t="s">
        <v>1285</v>
      </c>
      <c r="AH540" s="16" t="s">
        <v>2156</v>
      </c>
      <c r="AI540" s="16"/>
      <c r="AJ540" s="16"/>
      <c r="AK540" s="16"/>
      <c r="AL540" s="16" t="s">
        <v>2257</v>
      </c>
    </row>
    <row r="541" spans="1:38" x14ac:dyDescent="0.5">
      <c r="A541">
        <v>21433</v>
      </c>
      <c r="B541" s="16" t="s">
        <v>6165</v>
      </c>
      <c r="C541" s="16" t="s">
        <v>6165</v>
      </c>
      <c r="D541" s="16"/>
      <c r="E541" s="16" t="s">
        <v>6166</v>
      </c>
      <c r="F541" s="17" t="s">
        <v>6167</v>
      </c>
      <c r="H541" s="16" t="s">
        <v>5714</v>
      </c>
      <c r="I541" s="16" t="s">
        <v>6168</v>
      </c>
      <c r="J541" s="33">
        <v>42556</v>
      </c>
      <c r="K541" s="33">
        <v>43465</v>
      </c>
      <c r="L541" s="16" t="s">
        <v>66</v>
      </c>
      <c r="M541" s="16" t="s">
        <v>67</v>
      </c>
      <c r="N541" s="16" t="s">
        <v>68</v>
      </c>
      <c r="O541" s="16" t="s">
        <v>436</v>
      </c>
      <c r="P541" s="16" t="s">
        <v>572</v>
      </c>
      <c r="Q541" s="16" t="s">
        <v>71</v>
      </c>
      <c r="R541" s="17" t="s">
        <v>6169</v>
      </c>
      <c r="S541" s="16" t="s">
        <v>6170</v>
      </c>
      <c r="T541" s="16" t="s">
        <v>74</v>
      </c>
      <c r="U541" s="16" t="s">
        <v>75</v>
      </c>
      <c r="V541" s="16" t="s">
        <v>6171</v>
      </c>
      <c r="W541" s="16" t="s">
        <v>2029</v>
      </c>
      <c r="X541" s="16" t="s">
        <v>6172</v>
      </c>
      <c r="Y541" s="16" t="s">
        <v>78</v>
      </c>
      <c r="Z541" s="16" t="s">
        <v>2165</v>
      </c>
      <c r="AA541" s="16" t="s">
        <v>2166</v>
      </c>
      <c r="AB541" s="17" t="s">
        <v>6173</v>
      </c>
      <c r="AC541" s="16" t="s">
        <v>71</v>
      </c>
      <c r="AD541" s="17" t="s">
        <v>6173</v>
      </c>
      <c r="AF541" s="17" t="s">
        <v>6174</v>
      </c>
      <c r="AG541" s="16" t="s">
        <v>3032</v>
      </c>
      <c r="AH541" s="16" t="s">
        <v>2083</v>
      </c>
      <c r="AI541" s="16"/>
      <c r="AJ541" s="16"/>
      <c r="AK541" s="16"/>
      <c r="AL541" s="16"/>
    </row>
    <row r="542" spans="1:38" x14ac:dyDescent="0.5">
      <c r="A542">
        <v>21434</v>
      </c>
      <c r="B542" s="16" t="s">
        <v>6175</v>
      </c>
      <c r="C542" s="16" t="s">
        <v>6175</v>
      </c>
      <c r="D542" s="16"/>
      <c r="E542" s="16" t="s">
        <v>6176</v>
      </c>
      <c r="F542" s="17" t="s">
        <v>6177</v>
      </c>
      <c r="G542" s="17" t="s">
        <v>6177</v>
      </c>
      <c r="H542" s="16" t="s">
        <v>6125</v>
      </c>
      <c r="I542" s="16" t="s">
        <v>2609</v>
      </c>
      <c r="J542" s="33">
        <v>42562</v>
      </c>
      <c r="K542" s="33">
        <v>43465</v>
      </c>
      <c r="L542" s="16" t="s">
        <v>66</v>
      </c>
      <c r="M542" s="16" t="s">
        <v>67</v>
      </c>
      <c r="N542" s="16" t="s">
        <v>68</v>
      </c>
      <c r="O542" s="16" t="s">
        <v>202</v>
      </c>
      <c r="P542" s="16" t="s">
        <v>3116</v>
      </c>
      <c r="Q542" s="16" t="s">
        <v>71</v>
      </c>
      <c r="R542" s="17" t="s">
        <v>2610</v>
      </c>
      <c r="S542" s="16" t="s">
        <v>2611</v>
      </c>
      <c r="T542" s="16" t="s">
        <v>74</v>
      </c>
      <c r="U542" s="16" t="s">
        <v>75</v>
      </c>
      <c r="V542" s="16" t="s">
        <v>2612</v>
      </c>
      <c r="W542" s="16"/>
      <c r="X542" s="16" t="s">
        <v>2613</v>
      </c>
      <c r="Y542" s="16"/>
      <c r="Z542" s="16" t="s">
        <v>242</v>
      </c>
      <c r="AA542" s="16" t="s">
        <v>243</v>
      </c>
      <c r="AB542" s="17" t="s">
        <v>6178</v>
      </c>
      <c r="AC542" s="16" t="s">
        <v>71</v>
      </c>
      <c r="AD542" s="17" t="s">
        <v>6178</v>
      </c>
      <c r="AE542" s="17" t="s">
        <v>6179</v>
      </c>
      <c r="AF542" s="17" t="s">
        <v>6180</v>
      </c>
      <c r="AG542" s="16" t="s">
        <v>2108</v>
      </c>
      <c r="AH542" s="16" t="s">
        <v>1133</v>
      </c>
      <c r="AI542" s="16"/>
      <c r="AJ542" s="16"/>
      <c r="AK542" s="16"/>
      <c r="AL542" s="16"/>
    </row>
    <row r="543" spans="1:38" x14ac:dyDescent="0.5">
      <c r="A543">
        <v>21435</v>
      </c>
      <c r="B543" s="16" t="s">
        <v>101</v>
      </c>
      <c r="C543" s="16" t="s">
        <v>101</v>
      </c>
      <c r="D543" s="16"/>
      <c r="E543" s="16" t="s">
        <v>6181</v>
      </c>
      <c r="F543" s="17" t="s">
        <v>6182</v>
      </c>
      <c r="H543" s="16" t="s">
        <v>6183</v>
      </c>
      <c r="I543" s="16" t="s">
        <v>6184</v>
      </c>
      <c r="J543" s="33">
        <v>42639</v>
      </c>
      <c r="K543" s="33">
        <v>43100</v>
      </c>
      <c r="L543" s="16" t="s">
        <v>66</v>
      </c>
      <c r="M543" s="16" t="s">
        <v>1036</v>
      </c>
      <c r="N543" s="16"/>
      <c r="O543" s="16" t="s">
        <v>1037</v>
      </c>
      <c r="P543" s="16" t="s">
        <v>572</v>
      </c>
      <c r="Q543" s="16" t="s">
        <v>71</v>
      </c>
      <c r="R543" s="17" t="s">
        <v>6185</v>
      </c>
      <c r="S543" s="16" t="s">
        <v>1165</v>
      </c>
      <c r="T543" s="16" t="s">
        <v>740</v>
      </c>
      <c r="U543" s="16" t="s">
        <v>741</v>
      </c>
      <c r="V543" s="16" t="s">
        <v>6186</v>
      </c>
      <c r="W543" s="16"/>
      <c r="X543" s="16" t="s">
        <v>6187</v>
      </c>
      <c r="Y543" s="16" t="s">
        <v>744</v>
      </c>
      <c r="Z543" s="16"/>
      <c r="AA543" s="16"/>
      <c r="AB543" s="17" t="s">
        <v>6188</v>
      </c>
      <c r="AC543" s="16" t="s">
        <v>71</v>
      </c>
      <c r="AD543" s="17" t="s">
        <v>6188</v>
      </c>
      <c r="AG543" s="16" t="s">
        <v>2457</v>
      </c>
      <c r="AH543" s="16" t="s">
        <v>579</v>
      </c>
      <c r="AI543" s="16"/>
      <c r="AJ543" s="16"/>
      <c r="AK543" s="16"/>
      <c r="AL543" s="16"/>
    </row>
    <row r="544" spans="1:38" x14ac:dyDescent="0.5">
      <c r="A544">
        <v>21437</v>
      </c>
      <c r="B544" s="16" t="s">
        <v>6189</v>
      </c>
      <c r="C544" s="16" t="s">
        <v>6189</v>
      </c>
      <c r="D544" s="16" t="s">
        <v>794</v>
      </c>
      <c r="E544" s="16" t="s">
        <v>6190</v>
      </c>
      <c r="F544" s="17" t="s">
        <v>6191</v>
      </c>
      <c r="H544" s="16" t="s">
        <v>468</v>
      </c>
      <c r="I544" s="16" t="s">
        <v>6192</v>
      </c>
      <c r="J544" s="33">
        <v>42578</v>
      </c>
      <c r="K544" s="33">
        <v>43465</v>
      </c>
      <c r="L544" s="16" t="s">
        <v>66</v>
      </c>
      <c r="M544" s="16" t="s">
        <v>167</v>
      </c>
      <c r="N544" s="16" t="s">
        <v>110</v>
      </c>
      <c r="O544" s="16" t="s">
        <v>280</v>
      </c>
      <c r="P544" s="16" t="s">
        <v>572</v>
      </c>
      <c r="Q544" s="16" t="s">
        <v>71</v>
      </c>
      <c r="R544" s="17" t="s">
        <v>6193</v>
      </c>
      <c r="S544" s="16" t="s">
        <v>113</v>
      </c>
      <c r="T544" s="16" t="s">
        <v>74</v>
      </c>
      <c r="U544" s="16" t="s">
        <v>75</v>
      </c>
      <c r="V544" s="16" t="s">
        <v>6194</v>
      </c>
      <c r="W544" s="16" t="s">
        <v>6195</v>
      </c>
      <c r="X544" s="16" t="s">
        <v>1580</v>
      </c>
      <c r="Y544" s="16" t="s">
        <v>78</v>
      </c>
      <c r="Z544" s="16" t="s">
        <v>117</v>
      </c>
      <c r="AA544" s="16" t="s">
        <v>113</v>
      </c>
      <c r="AB544" s="17" t="s">
        <v>6196</v>
      </c>
      <c r="AC544" s="16" t="s">
        <v>71</v>
      </c>
      <c r="AD544" s="17" t="s">
        <v>6196</v>
      </c>
      <c r="AE544" s="17" t="s">
        <v>6197</v>
      </c>
      <c r="AG544" s="16" t="s">
        <v>3190</v>
      </c>
      <c r="AH544" s="16" t="s">
        <v>2552</v>
      </c>
      <c r="AI544" s="16"/>
      <c r="AJ544" s="16"/>
      <c r="AK544" s="16"/>
      <c r="AL544" s="16"/>
    </row>
    <row r="545" spans="1:38" x14ac:dyDescent="0.5">
      <c r="A545">
        <v>21438</v>
      </c>
      <c r="B545" s="16" t="s">
        <v>1150</v>
      </c>
      <c r="C545" s="16" t="s">
        <v>1150</v>
      </c>
      <c r="D545" s="16"/>
      <c r="E545" s="16" t="s">
        <v>6198</v>
      </c>
      <c r="F545" s="17" t="s">
        <v>6199</v>
      </c>
      <c r="H545" s="16" t="s">
        <v>468</v>
      </c>
      <c r="I545" s="16" t="s">
        <v>6200</v>
      </c>
      <c r="J545" s="33">
        <v>42612</v>
      </c>
      <c r="K545" s="33">
        <v>43465</v>
      </c>
      <c r="L545" s="16" t="s">
        <v>66</v>
      </c>
      <c r="M545" s="16" t="s">
        <v>167</v>
      </c>
      <c r="N545" s="16" t="s">
        <v>110</v>
      </c>
      <c r="O545" s="16" t="s">
        <v>280</v>
      </c>
      <c r="P545" s="16" t="s">
        <v>572</v>
      </c>
      <c r="Q545" s="16" t="s">
        <v>71</v>
      </c>
      <c r="R545" s="17" t="s">
        <v>6201</v>
      </c>
      <c r="S545" s="16" t="s">
        <v>6202</v>
      </c>
      <c r="T545" s="16" t="s">
        <v>74</v>
      </c>
      <c r="U545" s="16" t="s">
        <v>75</v>
      </c>
      <c r="V545" s="16" t="s">
        <v>6203</v>
      </c>
      <c r="W545" s="16"/>
      <c r="X545" s="16" t="s">
        <v>6204</v>
      </c>
      <c r="Y545" s="16" t="s">
        <v>78</v>
      </c>
      <c r="Z545" s="16" t="s">
        <v>270</v>
      </c>
      <c r="AA545" s="16" t="s">
        <v>271</v>
      </c>
      <c r="AB545" s="17" t="s">
        <v>6205</v>
      </c>
      <c r="AC545" s="16" t="s">
        <v>71</v>
      </c>
      <c r="AD545" s="17" t="s">
        <v>6205</v>
      </c>
      <c r="AE545" s="17" t="s">
        <v>6206</v>
      </c>
      <c r="AG545" s="16" t="s">
        <v>3808</v>
      </c>
      <c r="AH545" s="16" t="s">
        <v>2297</v>
      </c>
      <c r="AI545" s="16"/>
      <c r="AJ545" s="16"/>
      <c r="AK545" s="16"/>
      <c r="AL545" s="16"/>
    </row>
    <row r="546" spans="1:38" x14ac:dyDescent="0.5">
      <c r="A546">
        <v>21439</v>
      </c>
      <c r="B546" s="16" t="s">
        <v>276</v>
      </c>
      <c r="C546" s="16" t="s">
        <v>276</v>
      </c>
      <c r="D546" s="16"/>
      <c r="E546" s="16" t="s">
        <v>6207</v>
      </c>
      <c r="F546" s="17" t="s">
        <v>6208</v>
      </c>
      <c r="H546" s="16" t="s">
        <v>4180</v>
      </c>
      <c r="I546" s="16" t="s">
        <v>6209</v>
      </c>
      <c r="J546" s="33">
        <v>42578</v>
      </c>
      <c r="K546" s="33">
        <v>43465</v>
      </c>
      <c r="L546" s="16" t="s">
        <v>66</v>
      </c>
      <c r="M546" s="16" t="s">
        <v>167</v>
      </c>
      <c r="N546" s="16" t="s">
        <v>110</v>
      </c>
      <c r="O546" s="16" t="s">
        <v>280</v>
      </c>
      <c r="P546" s="16" t="s">
        <v>572</v>
      </c>
      <c r="Q546" s="16" t="s">
        <v>71</v>
      </c>
      <c r="R546" s="17" t="s">
        <v>6210</v>
      </c>
      <c r="S546" s="16" t="s">
        <v>662</v>
      </c>
      <c r="T546" s="16" t="s">
        <v>74</v>
      </c>
      <c r="U546" s="16" t="s">
        <v>75</v>
      </c>
      <c r="V546" s="16" t="s">
        <v>6211</v>
      </c>
      <c r="W546" s="16"/>
      <c r="X546" s="16" t="s">
        <v>5482</v>
      </c>
      <c r="Y546" s="16" t="s">
        <v>78</v>
      </c>
      <c r="Z546" s="16" t="s">
        <v>666</v>
      </c>
      <c r="AA546" s="16" t="s">
        <v>667</v>
      </c>
      <c r="AB546" s="17" t="s">
        <v>6212</v>
      </c>
      <c r="AC546" s="16" t="s">
        <v>71</v>
      </c>
      <c r="AD546" s="17" t="s">
        <v>6212</v>
      </c>
      <c r="AE546" s="17" t="s">
        <v>6213</v>
      </c>
      <c r="AF546" s="17" t="s">
        <v>6214</v>
      </c>
      <c r="AG546" s="16" t="s">
        <v>6215</v>
      </c>
      <c r="AH546" s="16" t="s">
        <v>2094</v>
      </c>
      <c r="AI546" s="16"/>
      <c r="AJ546" s="16"/>
      <c r="AK546" s="16"/>
      <c r="AL546" s="16"/>
    </row>
    <row r="547" spans="1:38" x14ac:dyDescent="0.5">
      <c r="A547">
        <v>21440</v>
      </c>
      <c r="B547" s="16" t="s">
        <v>1150</v>
      </c>
      <c r="C547" s="16" t="s">
        <v>1150</v>
      </c>
      <c r="D547" s="16"/>
      <c r="E547" s="16" t="s">
        <v>6216</v>
      </c>
      <c r="F547" s="17" t="s">
        <v>6217</v>
      </c>
      <c r="H547" s="16" t="s">
        <v>6218</v>
      </c>
      <c r="I547" s="16" t="s">
        <v>6219</v>
      </c>
      <c r="J547" s="33">
        <v>42590</v>
      </c>
      <c r="K547" s="33">
        <v>43465</v>
      </c>
      <c r="L547" s="16" t="s">
        <v>66</v>
      </c>
      <c r="M547" s="16" t="s">
        <v>235</v>
      </c>
      <c r="N547" s="16" t="s">
        <v>236</v>
      </c>
      <c r="O547" s="16" t="s">
        <v>237</v>
      </c>
      <c r="P547" s="16" t="s">
        <v>572</v>
      </c>
      <c r="Q547" s="16" t="s">
        <v>71</v>
      </c>
      <c r="R547" s="17" t="s">
        <v>6220</v>
      </c>
      <c r="S547" s="16" t="s">
        <v>6221</v>
      </c>
      <c r="T547" s="16" t="s">
        <v>74</v>
      </c>
      <c r="U547" s="16" t="s">
        <v>75</v>
      </c>
      <c r="V547" s="16" t="s">
        <v>6222</v>
      </c>
      <c r="W547" s="16"/>
      <c r="X547" s="16" t="s">
        <v>6223</v>
      </c>
      <c r="Y547" s="16" t="s">
        <v>78</v>
      </c>
      <c r="Z547" s="16" t="s">
        <v>508</v>
      </c>
      <c r="AA547" s="16" t="s">
        <v>509</v>
      </c>
      <c r="AB547" s="17" t="s">
        <v>6224</v>
      </c>
      <c r="AC547" s="16" t="s">
        <v>71</v>
      </c>
      <c r="AD547" s="17" t="s">
        <v>6224</v>
      </c>
      <c r="AG547" s="16" t="s">
        <v>6075</v>
      </c>
      <c r="AH547" s="16" t="s">
        <v>5456</v>
      </c>
      <c r="AI547" s="16"/>
      <c r="AJ547" s="16"/>
      <c r="AK547" s="16"/>
      <c r="AL547" s="16" t="s">
        <v>6225</v>
      </c>
    </row>
    <row r="548" spans="1:38" x14ac:dyDescent="0.5">
      <c r="A548">
        <v>21441</v>
      </c>
      <c r="B548" s="16" t="s">
        <v>4383</v>
      </c>
      <c r="C548" s="16" t="s">
        <v>4383</v>
      </c>
      <c r="D548" s="16"/>
      <c r="E548" s="16" t="s">
        <v>6226</v>
      </c>
      <c r="F548" s="17" t="s">
        <v>6227</v>
      </c>
      <c r="G548" s="17" t="s">
        <v>6228</v>
      </c>
      <c r="H548" s="16" t="s">
        <v>2810</v>
      </c>
      <c r="I548" s="16" t="s">
        <v>6229</v>
      </c>
      <c r="J548" s="33">
        <v>42563</v>
      </c>
      <c r="K548" s="33">
        <v>43465</v>
      </c>
      <c r="L548" s="16" t="s">
        <v>66</v>
      </c>
      <c r="M548" s="16" t="s">
        <v>67</v>
      </c>
      <c r="N548" s="16" t="s">
        <v>68</v>
      </c>
      <c r="O548" s="16" t="s">
        <v>436</v>
      </c>
      <c r="P548" s="16" t="s">
        <v>572</v>
      </c>
      <c r="Q548" s="16" t="s">
        <v>71</v>
      </c>
      <c r="R548" s="17" t="s">
        <v>6230</v>
      </c>
      <c r="S548" s="16" t="s">
        <v>6231</v>
      </c>
      <c r="T548" s="16" t="s">
        <v>74</v>
      </c>
      <c r="U548" s="16" t="s">
        <v>75</v>
      </c>
      <c r="V548" s="16" t="s">
        <v>6232</v>
      </c>
      <c r="W548" s="16"/>
      <c r="X548" s="16" t="s">
        <v>6233</v>
      </c>
      <c r="Y548" s="16" t="s">
        <v>78</v>
      </c>
      <c r="Z548" s="16" t="s">
        <v>3999</v>
      </c>
      <c r="AA548" s="16" t="s">
        <v>4000</v>
      </c>
      <c r="AB548" s="17" t="s">
        <v>6234</v>
      </c>
      <c r="AC548" s="16" t="s">
        <v>71</v>
      </c>
      <c r="AD548" s="17" t="s">
        <v>6234</v>
      </c>
      <c r="AE548" s="17" t="s">
        <v>6235</v>
      </c>
      <c r="AG548" s="16" t="s">
        <v>6236</v>
      </c>
      <c r="AH548" s="16" t="s">
        <v>5029</v>
      </c>
      <c r="AI548" s="16"/>
      <c r="AJ548" s="16"/>
      <c r="AK548" s="16"/>
      <c r="AL548" s="16"/>
    </row>
    <row r="549" spans="1:38" x14ac:dyDescent="0.5">
      <c r="A549">
        <v>21444</v>
      </c>
      <c r="B549" s="16" t="s">
        <v>6237</v>
      </c>
      <c r="C549" s="16" t="s">
        <v>6237</v>
      </c>
      <c r="D549" s="16"/>
      <c r="E549" s="16" t="s">
        <v>6238</v>
      </c>
      <c r="F549" s="17" t="s">
        <v>6239</v>
      </c>
      <c r="H549" s="16" t="s">
        <v>6240</v>
      </c>
      <c r="I549" s="16" t="s">
        <v>6241</v>
      </c>
      <c r="J549" s="33">
        <v>42572</v>
      </c>
      <c r="K549" s="33">
        <v>43465</v>
      </c>
      <c r="L549" s="16" t="s">
        <v>66</v>
      </c>
      <c r="M549" s="16" t="s">
        <v>167</v>
      </c>
      <c r="N549" s="16" t="s">
        <v>110</v>
      </c>
      <c r="O549" s="16" t="s">
        <v>280</v>
      </c>
      <c r="P549" s="16" t="s">
        <v>572</v>
      </c>
      <c r="Q549" s="16" t="s">
        <v>71</v>
      </c>
      <c r="R549" s="17" t="s">
        <v>6242</v>
      </c>
      <c r="S549" s="16" t="s">
        <v>6243</v>
      </c>
      <c r="T549" s="16" t="s">
        <v>2137</v>
      </c>
      <c r="U549" s="16" t="s">
        <v>2138</v>
      </c>
      <c r="V549" s="16" t="s">
        <v>6244</v>
      </c>
      <c r="W549" s="16"/>
      <c r="X549" s="16" t="s">
        <v>6245</v>
      </c>
      <c r="Y549" s="16" t="s">
        <v>744</v>
      </c>
      <c r="Z549" s="16"/>
      <c r="AA549" s="16"/>
      <c r="AB549" s="17" t="s">
        <v>6246</v>
      </c>
      <c r="AC549" s="16" t="s">
        <v>71</v>
      </c>
      <c r="AD549" s="17" t="s">
        <v>6246</v>
      </c>
      <c r="AF549" s="17" t="s">
        <v>6247</v>
      </c>
      <c r="AG549" s="16" t="s">
        <v>2632</v>
      </c>
      <c r="AH549" s="16" t="s">
        <v>579</v>
      </c>
      <c r="AI549" s="16"/>
      <c r="AJ549" s="16"/>
      <c r="AK549" s="16"/>
      <c r="AL549" s="16"/>
    </row>
    <row r="550" spans="1:38" x14ac:dyDescent="0.5">
      <c r="A550">
        <v>21452</v>
      </c>
      <c r="B550" s="16" t="s">
        <v>6248</v>
      </c>
      <c r="C550" s="16" t="s">
        <v>6248</v>
      </c>
      <c r="D550" s="16"/>
      <c r="E550" s="16" t="s">
        <v>6249</v>
      </c>
      <c r="F550" s="17" t="s">
        <v>6250</v>
      </c>
      <c r="G550" s="17" t="s">
        <v>6251</v>
      </c>
      <c r="H550" s="16" t="s">
        <v>6252</v>
      </c>
      <c r="I550" s="16" t="s">
        <v>6253</v>
      </c>
      <c r="J550" s="33">
        <v>43220</v>
      </c>
      <c r="K550" s="33">
        <v>43585</v>
      </c>
      <c r="L550" s="16" t="s">
        <v>66</v>
      </c>
      <c r="M550" s="16" t="s">
        <v>67</v>
      </c>
      <c r="N550" s="16" t="s">
        <v>68</v>
      </c>
      <c r="O550" s="16" t="s">
        <v>436</v>
      </c>
      <c r="P550" s="16"/>
      <c r="Q550" s="16" t="s">
        <v>71</v>
      </c>
      <c r="R550" s="17" t="s">
        <v>6254</v>
      </c>
      <c r="S550" s="16" t="s">
        <v>727</v>
      </c>
      <c r="T550" s="16" t="s">
        <v>74</v>
      </c>
      <c r="U550" s="16" t="s">
        <v>75</v>
      </c>
      <c r="V550" s="16" t="s">
        <v>6255</v>
      </c>
      <c r="W550" s="16"/>
      <c r="X550" s="16" t="s">
        <v>6256</v>
      </c>
      <c r="Y550" s="16" t="s">
        <v>78</v>
      </c>
      <c r="Z550" s="16" t="s">
        <v>189</v>
      </c>
      <c r="AA550" s="16" t="s">
        <v>190</v>
      </c>
      <c r="AB550" s="17" t="s">
        <v>6257</v>
      </c>
      <c r="AC550" s="16" t="s">
        <v>71</v>
      </c>
      <c r="AD550" s="17" t="s">
        <v>6257</v>
      </c>
      <c r="AG550" s="16" t="s">
        <v>4535</v>
      </c>
      <c r="AH550" s="16" t="s">
        <v>6258</v>
      </c>
      <c r="AI550" s="16"/>
      <c r="AJ550" s="16"/>
      <c r="AK550" s="16"/>
      <c r="AL550" s="16"/>
    </row>
    <row r="551" spans="1:38" x14ac:dyDescent="0.5">
      <c r="A551">
        <v>21453</v>
      </c>
      <c r="B551" s="16" t="s">
        <v>567</v>
      </c>
      <c r="C551" s="16" t="s">
        <v>567</v>
      </c>
      <c r="D551" s="16"/>
      <c r="E551" s="16" t="s">
        <v>6259</v>
      </c>
      <c r="F551" s="17" t="s">
        <v>6260</v>
      </c>
      <c r="H551" s="16" t="s">
        <v>6261</v>
      </c>
      <c r="I551" s="16" t="s">
        <v>6262</v>
      </c>
      <c r="J551" s="33">
        <v>42639</v>
      </c>
      <c r="K551" s="33">
        <v>43465</v>
      </c>
      <c r="L551" s="16" t="s">
        <v>66</v>
      </c>
      <c r="M551" s="16" t="s">
        <v>67</v>
      </c>
      <c r="N551" s="16" t="s">
        <v>68</v>
      </c>
      <c r="O551" s="16" t="s">
        <v>436</v>
      </c>
      <c r="P551" s="16" t="s">
        <v>572</v>
      </c>
      <c r="Q551" s="16" t="s">
        <v>71</v>
      </c>
      <c r="R551" s="17" t="s">
        <v>6263</v>
      </c>
      <c r="S551" s="16" t="s">
        <v>6264</v>
      </c>
      <c r="T551" s="16" t="s">
        <v>74</v>
      </c>
      <c r="U551" s="16" t="s">
        <v>75</v>
      </c>
      <c r="V551" s="16" t="s">
        <v>6265</v>
      </c>
      <c r="W551" s="16"/>
      <c r="X551" s="16" t="s">
        <v>6266</v>
      </c>
      <c r="Y551" s="16" t="s">
        <v>78</v>
      </c>
      <c r="Z551" s="16" t="s">
        <v>296</v>
      </c>
      <c r="AA551" s="16" t="s">
        <v>297</v>
      </c>
      <c r="AB551" s="17" t="s">
        <v>6267</v>
      </c>
      <c r="AC551" s="16" t="s">
        <v>71</v>
      </c>
      <c r="AD551" s="17" t="s">
        <v>6267</v>
      </c>
      <c r="AE551" s="17" t="s">
        <v>6268</v>
      </c>
      <c r="AG551" s="16" t="s">
        <v>1357</v>
      </c>
      <c r="AH551" s="16" t="s">
        <v>6269</v>
      </c>
      <c r="AI551" s="16"/>
      <c r="AJ551" s="16"/>
      <c r="AK551" s="16"/>
      <c r="AL551" s="16"/>
    </row>
    <row r="552" spans="1:38" x14ac:dyDescent="0.5">
      <c r="A552">
        <v>21456</v>
      </c>
      <c r="B552" s="16" t="s">
        <v>498</v>
      </c>
      <c r="C552" s="16" t="s">
        <v>499</v>
      </c>
      <c r="D552" s="16"/>
      <c r="E552" s="16" t="s">
        <v>6270</v>
      </c>
      <c r="F552" s="17" t="s">
        <v>6271</v>
      </c>
      <c r="H552" s="16" t="s">
        <v>468</v>
      </c>
      <c r="I552" s="16" t="s">
        <v>307</v>
      </c>
      <c r="J552" s="33">
        <v>42488</v>
      </c>
      <c r="K552" s="33">
        <v>43465</v>
      </c>
      <c r="L552" s="16" t="s">
        <v>66</v>
      </c>
      <c r="M552" s="16" t="s">
        <v>167</v>
      </c>
      <c r="N552" s="16" t="s">
        <v>110</v>
      </c>
      <c r="O552" s="16" t="s">
        <v>280</v>
      </c>
      <c r="P552" s="16" t="s">
        <v>572</v>
      </c>
      <c r="Q552" s="16" t="s">
        <v>71</v>
      </c>
      <c r="R552" s="17" t="s">
        <v>6272</v>
      </c>
      <c r="S552" s="16" t="s">
        <v>113</v>
      </c>
      <c r="T552" s="16" t="s">
        <v>74</v>
      </c>
      <c r="U552" s="16" t="s">
        <v>75</v>
      </c>
      <c r="V552" s="16" t="s">
        <v>6273</v>
      </c>
      <c r="W552" s="16"/>
      <c r="X552" s="16" t="s">
        <v>6274</v>
      </c>
      <c r="Y552" s="16" t="s">
        <v>78</v>
      </c>
      <c r="Z552" s="16" t="s">
        <v>117</v>
      </c>
      <c r="AA552" s="16" t="s">
        <v>113</v>
      </c>
      <c r="AB552" s="17" t="s">
        <v>6275</v>
      </c>
      <c r="AC552" s="16" t="s">
        <v>71</v>
      </c>
      <c r="AD552" s="17" t="s">
        <v>6275</v>
      </c>
      <c r="AG552" s="16" t="s">
        <v>5369</v>
      </c>
      <c r="AH552" s="16" t="s">
        <v>579</v>
      </c>
      <c r="AI552" s="16"/>
      <c r="AJ552" s="16"/>
      <c r="AK552" s="16"/>
      <c r="AL552" s="16" t="s">
        <v>468</v>
      </c>
    </row>
    <row r="553" spans="1:38" x14ac:dyDescent="0.5">
      <c r="A553">
        <v>21469</v>
      </c>
      <c r="B553" s="16" t="s">
        <v>4725</v>
      </c>
      <c r="C553" s="16" t="s">
        <v>4725</v>
      </c>
      <c r="D553" s="16"/>
      <c r="E553" s="16" t="s">
        <v>6276</v>
      </c>
      <c r="F553" s="17" t="s">
        <v>6277</v>
      </c>
      <c r="H553" s="16" t="s">
        <v>6278</v>
      </c>
      <c r="I553" s="16" t="s">
        <v>6279</v>
      </c>
      <c r="J553" s="33">
        <v>42989</v>
      </c>
      <c r="K553" s="33">
        <v>43354</v>
      </c>
      <c r="L553" s="16" t="s">
        <v>66</v>
      </c>
      <c r="M553" s="16" t="s">
        <v>67</v>
      </c>
      <c r="N553" s="16" t="s">
        <v>68</v>
      </c>
      <c r="O553" s="16" t="s">
        <v>436</v>
      </c>
      <c r="P553" s="16" t="s">
        <v>572</v>
      </c>
      <c r="Q553" s="16" t="s">
        <v>71</v>
      </c>
      <c r="R553" s="17" t="s">
        <v>6280</v>
      </c>
      <c r="S553" s="16" t="s">
        <v>1460</v>
      </c>
      <c r="T553" s="16" t="s">
        <v>74</v>
      </c>
      <c r="U553" s="16" t="s">
        <v>75</v>
      </c>
      <c r="V553" s="16" t="s">
        <v>6281</v>
      </c>
      <c r="W553" s="16"/>
      <c r="X553" s="16" t="s">
        <v>1462</v>
      </c>
      <c r="Y553" s="16" t="s">
        <v>78</v>
      </c>
      <c r="Z553" s="16" t="s">
        <v>242</v>
      </c>
      <c r="AA553" s="16" t="s">
        <v>243</v>
      </c>
      <c r="AB553" s="17" t="s">
        <v>6282</v>
      </c>
      <c r="AC553" s="16" t="s">
        <v>71</v>
      </c>
      <c r="AD553" s="17" t="s">
        <v>6282</v>
      </c>
      <c r="AG553" s="16" t="s">
        <v>2290</v>
      </c>
      <c r="AH553" s="16" t="s">
        <v>4381</v>
      </c>
      <c r="AI553" s="16"/>
      <c r="AJ553" s="16"/>
      <c r="AK553" s="16"/>
      <c r="AL553" s="16"/>
    </row>
    <row r="554" spans="1:38" x14ac:dyDescent="0.5">
      <c r="A554">
        <v>21471</v>
      </c>
      <c r="B554" s="16" t="s">
        <v>6283</v>
      </c>
      <c r="C554" s="16" t="s">
        <v>6283</v>
      </c>
      <c r="D554" s="16"/>
      <c r="E554" s="16" t="s">
        <v>6284</v>
      </c>
      <c r="F554" s="17" t="s">
        <v>6285</v>
      </c>
      <c r="H554" s="16" t="s">
        <v>6286</v>
      </c>
      <c r="I554" s="16" t="s">
        <v>6287</v>
      </c>
      <c r="J554" s="33">
        <v>42571</v>
      </c>
      <c r="K554" s="33">
        <v>43465</v>
      </c>
      <c r="L554" s="16" t="s">
        <v>66</v>
      </c>
      <c r="M554" s="16" t="s">
        <v>67</v>
      </c>
      <c r="N554" s="16" t="s">
        <v>68</v>
      </c>
      <c r="O554" s="16" t="s">
        <v>436</v>
      </c>
      <c r="P554" s="16" t="s">
        <v>572</v>
      </c>
      <c r="Q554" s="16" t="s">
        <v>71</v>
      </c>
      <c r="R554" s="17" t="s">
        <v>6288</v>
      </c>
      <c r="S554" s="16" t="s">
        <v>2675</v>
      </c>
      <c r="T554" s="16" t="s">
        <v>1411</v>
      </c>
      <c r="U554" s="16" t="s">
        <v>1412</v>
      </c>
      <c r="V554" s="16" t="s">
        <v>6289</v>
      </c>
      <c r="W554" s="16"/>
      <c r="X554" s="16" t="s">
        <v>6290</v>
      </c>
      <c r="Y554" s="16" t="s">
        <v>744</v>
      </c>
      <c r="Z554" s="16"/>
      <c r="AA554" s="16"/>
      <c r="AB554" s="17" t="s">
        <v>6291</v>
      </c>
      <c r="AC554" s="16" t="s">
        <v>71</v>
      </c>
      <c r="AD554" s="17" t="s">
        <v>6291</v>
      </c>
      <c r="AE554" s="17" t="s">
        <v>6292</v>
      </c>
      <c r="AG554" s="16" t="s">
        <v>2632</v>
      </c>
      <c r="AH554" s="16" t="s">
        <v>4810</v>
      </c>
      <c r="AI554" s="16"/>
      <c r="AJ554" s="16"/>
      <c r="AK554" s="16"/>
      <c r="AL554" s="16" t="s">
        <v>6286</v>
      </c>
    </row>
    <row r="555" spans="1:38" x14ac:dyDescent="0.5">
      <c r="A555">
        <v>21475</v>
      </c>
      <c r="B555" s="16" t="s">
        <v>1235</v>
      </c>
      <c r="C555" s="16" t="s">
        <v>59</v>
      </c>
      <c r="D555" s="16"/>
      <c r="E555" s="16" t="s">
        <v>6293</v>
      </c>
      <c r="F555" s="17" t="s">
        <v>6294</v>
      </c>
      <c r="H555" s="16" t="s">
        <v>6295</v>
      </c>
      <c r="I555" s="16" t="s">
        <v>6296</v>
      </c>
      <c r="J555" s="33">
        <v>42565</v>
      </c>
      <c r="K555" s="33">
        <v>43465</v>
      </c>
      <c r="L555" s="16" t="s">
        <v>66</v>
      </c>
      <c r="M555" s="16" t="s">
        <v>67</v>
      </c>
      <c r="N555" s="16" t="s">
        <v>68</v>
      </c>
      <c r="O555" s="16" t="s">
        <v>436</v>
      </c>
      <c r="P555" s="16" t="s">
        <v>572</v>
      </c>
      <c r="Q555" s="16" t="s">
        <v>71</v>
      </c>
      <c r="R555" s="17" t="s">
        <v>6297</v>
      </c>
      <c r="S555" s="16" t="s">
        <v>3073</v>
      </c>
      <c r="T555" s="16" t="s">
        <v>74</v>
      </c>
      <c r="U555" s="16" t="s">
        <v>75</v>
      </c>
      <c r="V555" s="16" t="s">
        <v>6298</v>
      </c>
      <c r="W555" s="16"/>
      <c r="X555" s="16" t="s">
        <v>6299</v>
      </c>
      <c r="Y555" s="16" t="s">
        <v>78</v>
      </c>
      <c r="Z555" s="16" t="s">
        <v>2165</v>
      </c>
      <c r="AA555" s="16" t="s">
        <v>2166</v>
      </c>
      <c r="AB555" s="17" t="s">
        <v>6300</v>
      </c>
      <c r="AC555" s="16" t="s">
        <v>71</v>
      </c>
      <c r="AD555" s="17" t="s">
        <v>6300</v>
      </c>
      <c r="AG555" s="16" t="s">
        <v>4062</v>
      </c>
      <c r="AH555" s="16" t="s">
        <v>781</v>
      </c>
      <c r="AI555" s="16"/>
      <c r="AJ555" s="16"/>
      <c r="AK555" s="16"/>
      <c r="AL555" s="16"/>
    </row>
    <row r="556" spans="1:38" x14ac:dyDescent="0.5">
      <c r="A556">
        <v>21477</v>
      </c>
      <c r="B556" s="16" t="s">
        <v>6301</v>
      </c>
      <c r="C556" s="16" t="s">
        <v>6301</v>
      </c>
      <c r="D556" s="16"/>
      <c r="E556" s="16" t="s">
        <v>6302</v>
      </c>
      <c r="F556" s="17" t="s">
        <v>6303</v>
      </c>
      <c r="G556" s="17" t="s">
        <v>6304</v>
      </c>
      <c r="H556" s="16" t="s">
        <v>1429</v>
      </c>
      <c r="I556" s="16"/>
      <c r="J556" s="33">
        <v>42556</v>
      </c>
      <c r="K556" s="33">
        <v>43465</v>
      </c>
      <c r="L556" s="16" t="s">
        <v>66</v>
      </c>
      <c r="M556" s="16" t="s">
        <v>67</v>
      </c>
      <c r="N556" s="16" t="s">
        <v>68</v>
      </c>
      <c r="O556" s="16" t="s">
        <v>1082</v>
      </c>
      <c r="P556" s="16" t="s">
        <v>4047</v>
      </c>
      <c r="Q556" s="16" t="s">
        <v>71</v>
      </c>
      <c r="R556" s="17" t="s">
        <v>6305</v>
      </c>
      <c r="S556" s="16" t="s">
        <v>6306</v>
      </c>
      <c r="T556" s="16" t="s">
        <v>74</v>
      </c>
      <c r="U556" s="16" t="s">
        <v>75</v>
      </c>
      <c r="V556" s="16" t="s">
        <v>6307</v>
      </c>
      <c r="W556" s="16"/>
      <c r="X556" s="16" t="s">
        <v>6308</v>
      </c>
      <c r="Y556" s="16" t="s">
        <v>78</v>
      </c>
      <c r="Z556" s="16" t="s">
        <v>242</v>
      </c>
      <c r="AA556" s="16" t="s">
        <v>243</v>
      </c>
      <c r="AB556" s="17" t="s">
        <v>6309</v>
      </c>
      <c r="AC556" s="16" t="s">
        <v>71</v>
      </c>
      <c r="AD556" s="17" t="s">
        <v>6309</v>
      </c>
      <c r="AE556" s="17" t="s">
        <v>6310</v>
      </c>
      <c r="AG556" s="16" t="s">
        <v>3302</v>
      </c>
      <c r="AH556" s="16" t="s">
        <v>780</v>
      </c>
      <c r="AI556" s="16"/>
      <c r="AJ556" s="16"/>
      <c r="AK556" s="16"/>
      <c r="AL556" s="16"/>
    </row>
    <row r="557" spans="1:38" x14ac:dyDescent="0.5">
      <c r="A557">
        <v>21478</v>
      </c>
      <c r="B557" s="16" t="s">
        <v>6311</v>
      </c>
      <c r="C557" s="16" t="s">
        <v>6311</v>
      </c>
      <c r="D557" s="16"/>
      <c r="E557" s="16" t="s">
        <v>6312</v>
      </c>
      <c r="F557" s="17" t="s">
        <v>6313</v>
      </c>
      <c r="H557" s="16" t="s">
        <v>6314</v>
      </c>
      <c r="I557" s="16" t="s">
        <v>6315</v>
      </c>
      <c r="J557" s="33">
        <v>42572</v>
      </c>
      <c r="K557" s="33">
        <v>43465</v>
      </c>
      <c r="L557" s="16" t="s">
        <v>66</v>
      </c>
      <c r="M557" s="16" t="s">
        <v>67</v>
      </c>
      <c r="N557" s="16" t="s">
        <v>68</v>
      </c>
      <c r="O557" s="16" t="s">
        <v>436</v>
      </c>
      <c r="P557" s="16"/>
      <c r="Q557" s="16" t="s">
        <v>71</v>
      </c>
      <c r="R557" s="17" t="s">
        <v>6316</v>
      </c>
      <c r="S557" s="16" t="s">
        <v>936</v>
      </c>
      <c r="T557" s="16" t="s">
        <v>74</v>
      </c>
      <c r="U557" s="16" t="s">
        <v>75</v>
      </c>
      <c r="V557" s="16" t="s">
        <v>6317</v>
      </c>
      <c r="W557" s="16"/>
      <c r="X557" s="16" t="s">
        <v>6318</v>
      </c>
      <c r="Y557" s="16" t="s">
        <v>78</v>
      </c>
      <c r="Z557" s="16" t="s">
        <v>242</v>
      </c>
      <c r="AA557" s="16" t="s">
        <v>243</v>
      </c>
      <c r="AB557" s="17" t="s">
        <v>6319</v>
      </c>
      <c r="AC557" s="16" t="s">
        <v>71</v>
      </c>
      <c r="AD557" s="17" t="s">
        <v>6319</v>
      </c>
      <c r="AE557" s="17" t="s">
        <v>6320</v>
      </c>
      <c r="AG557" s="16" t="s">
        <v>2108</v>
      </c>
      <c r="AH557" s="16" t="s">
        <v>653</v>
      </c>
      <c r="AI557" s="16"/>
      <c r="AJ557" s="16"/>
      <c r="AK557" s="16"/>
      <c r="AL557" s="16"/>
    </row>
    <row r="558" spans="1:38" x14ac:dyDescent="0.5">
      <c r="A558">
        <v>21481</v>
      </c>
      <c r="B558" s="16" t="s">
        <v>276</v>
      </c>
      <c r="C558" s="16" t="s">
        <v>276</v>
      </c>
      <c r="D558" s="16"/>
      <c r="E558" s="16" t="s">
        <v>6321</v>
      </c>
      <c r="F558" s="17" t="s">
        <v>6322</v>
      </c>
      <c r="H558" s="16" t="s">
        <v>699</v>
      </c>
      <c r="I558" s="16" t="s">
        <v>6323</v>
      </c>
      <c r="J558" s="33">
        <v>42570</v>
      </c>
      <c r="K558" s="33">
        <v>43465</v>
      </c>
      <c r="L558" s="16" t="s">
        <v>66</v>
      </c>
      <c r="M558" s="16" t="s">
        <v>167</v>
      </c>
      <c r="N558" s="16" t="s">
        <v>110</v>
      </c>
      <c r="O558" s="16" t="s">
        <v>280</v>
      </c>
      <c r="P558" s="16" t="s">
        <v>572</v>
      </c>
      <c r="Q558" s="16" t="s">
        <v>71</v>
      </c>
      <c r="R558" s="17" t="s">
        <v>6324</v>
      </c>
      <c r="S558" s="16" t="s">
        <v>1165</v>
      </c>
      <c r="T558" s="16" t="s">
        <v>740</v>
      </c>
      <c r="U558" s="16" t="s">
        <v>741</v>
      </c>
      <c r="V558" s="16" t="s">
        <v>6325</v>
      </c>
      <c r="W558" s="16"/>
      <c r="X558" s="16" t="s">
        <v>6326</v>
      </c>
      <c r="Y558" s="16" t="s">
        <v>744</v>
      </c>
      <c r="Z558" s="16"/>
      <c r="AA558" s="16"/>
      <c r="AB558" s="17" t="s">
        <v>6327</v>
      </c>
      <c r="AC558" s="16" t="s">
        <v>71</v>
      </c>
      <c r="AD558" s="17" t="s">
        <v>6327</v>
      </c>
      <c r="AG558" s="16" t="s">
        <v>4062</v>
      </c>
      <c r="AH558" s="16" t="s">
        <v>1285</v>
      </c>
      <c r="AI558" s="16"/>
      <c r="AJ558" s="16"/>
      <c r="AK558" s="16"/>
      <c r="AL558" s="16"/>
    </row>
    <row r="559" spans="1:38" x14ac:dyDescent="0.5">
      <c r="A559">
        <v>21482</v>
      </c>
      <c r="B559" s="16" t="s">
        <v>4738</v>
      </c>
      <c r="C559" s="16" t="s">
        <v>4738</v>
      </c>
      <c r="D559" s="16"/>
      <c r="E559" s="16" t="s">
        <v>6328</v>
      </c>
      <c r="F559" s="17" t="s">
        <v>6329</v>
      </c>
      <c r="G559" s="17" t="s">
        <v>6330</v>
      </c>
      <c r="H559" s="16" t="s">
        <v>142</v>
      </c>
      <c r="I559" s="16" t="s">
        <v>6331</v>
      </c>
      <c r="J559" s="33">
        <v>42557</v>
      </c>
      <c r="K559" s="33">
        <v>43465</v>
      </c>
      <c r="L559" s="16" t="s">
        <v>66</v>
      </c>
      <c r="M559" s="16" t="s">
        <v>167</v>
      </c>
      <c r="N559" s="16" t="s">
        <v>110</v>
      </c>
      <c r="O559" s="16" t="s">
        <v>280</v>
      </c>
      <c r="P559" s="16" t="s">
        <v>572</v>
      </c>
      <c r="Q559" s="16" t="s">
        <v>71</v>
      </c>
      <c r="R559" s="17" t="s">
        <v>6332</v>
      </c>
      <c r="S559" s="16" t="s">
        <v>6333</v>
      </c>
      <c r="T559" s="16" t="s">
        <v>74</v>
      </c>
      <c r="U559" s="16" t="s">
        <v>75</v>
      </c>
      <c r="V559" s="16" t="s">
        <v>6334</v>
      </c>
      <c r="W559" s="16"/>
      <c r="X559" s="16" t="s">
        <v>6335</v>
      </c>
      <c r="Y559" s="16" t="s">
        <v>78</v>
      </c>
      <c r="Z559" s="16" t="s">
        <v>189</v>
      </c>
      <c r="AA559" s="16" t="s">
        <v>190</v>
      </c>
      <c r="AB559" s="17" t="s">
        <v>6336</v>
      </c>
      <c r="AC559" s="16" t="s">
        <v>71</v>
      </c>
      <c r="AD559" s="17" t="s">
        <v>6336</v>
      </c>
      <c r="AE559" s="17" t="s">
        <v>6337</v>
      </c>
      <c r="AG559" s="16" t="s">
        <v>1259</v>
      </c>
      <c r="AH559" s="16" t="s">
        <v>781</v>
      </c>
      <c r="AI559" s="16"/>
      <c r="AJ559" s="16"/>
      <c r="AK559" s="16"/>
      <c r="AL559" s="16"/>
    </row>
    <row r="560" spans="1:38" x14ac:dyDescent="0.5">
      <c r="A560">
        <v>21484</v>
      </c>
      <c r="B560" s="16" t="s">
        <v>6338</v>
      </c>
      <c r="C560" s="16" t="s">
        <v>6338</v>
      </c>
      <c r="D560" s="16"/>
      <c r="E560" s="16" t="s">
        <v>6339</v>
      </c>
      <c r="F560" s="17" t="s">
        <v>6340</v>
      </c>
      <c r="H560" s="16" t="s">
        <v>4894</v>
      </c>
      <c r="I560" s="16" t="s">
        <v>6341</v>
      </c>
      <c r="J560" s="33">
        <v>42557</v>
      </c>
      <c r="K560" s="33">
        <v>43465</v>
      </c>
      <c r="L560" s="16" t="s">
        <v>66</v>
      </c>
      <c r="M560" s="16" t="s">
        <v>167</v>
      </c>
      <c r="N560" s="16" t="s">
        <v>110</v>
      </c>
      <c r="O560" s="16" t="s">
        <v>280</v>
      </c>
      <c r="P560" s="16" t="s">
        <v>572</v>
      </c>
      <c r="Q560" s="16" t="s">
        <v>71</v>
      </c>
      <c r="R560" s="17" t="s">
        <v>6342</v>
      </c>
      <c r="S560" s="16" t="s">
        <v>6343</v>
      </c>
      <c r="T560" s="16" t="s">
        <v>74</v>
      </c>
      <c r="U560" s="16" t="s">
        <v>75</v>
      </c>
      <c r="V560" s="16" t="s">
        <v>6344</v>
      </c>
      <c r="W560" s="16"/>
      <c r="X560" s="16" t="s">
        <v>6345</v>
      </c>
      <c r="Y560" s="16" t="s">
        <v>78</v>
      </c>
      <c r="Z560" s="16" t="s">
        <v>296</v>
      </c>
      <c r="AA560" s="16" t="s">
        <v>297</v>
      </c>
      <c r="AB560" s="17" t="s">
        <v>6346</v>
      </c>
      <c r="AC560" s="16" t="s">
        <v>71</v>
      </c>
      <c r="AD560" s="17" t="s">
        <v>6346</v>
      </c>
      <c r="AG560" s="16" t="s">
        <v>3249</v>
      </c>
      <c r="AH560" s="16" t="s">
        <v>1259</v>
      </c>
      <c r="AI560" s="16"/>
      <c r="AJ560" s="16"/>
      <c r="AK560" s="16"/>
      <c r="AL560" s="16"/>
    </row>
    <row r="561" spans="1:38" x14ac:dyDescent="0.5">
      <c r="A561">
        <v>21486</v>
      </c>
      <c r="B561" s="16" t="s">
        <v>6347</v>
      </c>
      <c r="C561" s="16" t="s">
        <v>6347</v>
      </c>
      <c r="D561" s="16"/>
      <c r="E561" s="16" t="s">
        <v>6348</v>
      </c>
      <c r="F561" s="17" t="s">
        <v>6349</v>
      </c>
      <c r="H561" s="16" t="s">
        <v>6350</v>
      </c>
      <c r="I561" s="16" t="s">
        <v>6351</v>
      </c>
      <c r="J561" s="33">
        <v>42556</v>
      </c>
      <c r="K561" s="33">
        <v>43465</v>
      </c>
      <c r="L561" s="16" t="s">
        <v>66</v>
      </c>
      <c r="M561" s="16" t="s">
        <v>90</v>
      </c>
      <c r="N561" s="16" t="s">
        <v>91</v>
      </c>
      <c r="O561" s="16" t="s">
        <v>91</v>
      </c>
      <c r="P561" s="16" t="s">
        <v>572</v>
      </c>
      <c r="Q561" s="16" t="s">
        <v>71</v>
      </c>
      <c r="R561" s="17" t="s">
        <v>6352</v>
      </c>
      <c r="S561" s="16" t="s">
        <v>6353</v>
      </c>
      <c r="T561" s="16" t="s">
        <v>74</v>
      </c>
      <c r="U561" s="16" t="s">
        <v>75</v>
      </c>
      <c r="V561" s="16" t="s">
        <v>6354</v>
      </c>
      <c r="W561" s="16"/>
      <c r="X561" s="16" t="s">
        <v>6355</v>
      </c>
      <c r="Y561" s="16" t="s">
        <v>78</v>
      </c>
      <c r="Z561" s="16" t="s">
        <v>1211</v>
      </c>
      <c r="AA561" s="16" t="s">
        <v>1212</v>
      </c>
      <c r="AB561" s="17" t="s">
        <v>6356</v>
      </c>
      <c r="AC561" s="16" t="s">
        <v>71</v>
      </c>
      <c r="AD561" s="17" t="s">
        <v>6356</v>
      </c>
      <c r="AG561" s="16" t="s">
        <v>3225</v>
      </c>
      <c r="AH561" s="16" t="s">
        <v>780</v>
      </c>
      <c r="AI561" s="16"/>
      <c r="AJ561" s="16"/>
      <c r="AK561" s="16"/>
      <c r="AL561" s="16"/>
    </row>
    <row r="562" spans="1:38" x14ac:dyDescent="0.5">
      <c r="A562">
        <v>21488</v>
      </c>
      <c r="B562" s="16" t="s">
        <v>326</v>
      </c>
      <c r="C562" s="16" t="s">
        <v>327</v>
      </c>
      <c r="D562" s="16"/>
      <c r="E562" s="16" t="s">
        <v>5691</v>
      </c>
      <c r="F562" s="17" t="s">
        <v>6357</v>
      </c>
      <c r="H562" s="16" t="s">
        <v>4294</v>
      </c>
      <c r="I562" s="16" t="s">
        <v>6358</v>
      </c>
      <c r="J562" s="33">
        <v>42585</v>
      </c>
      <c r="K562" s="33">
        <v>43465</v>
      </c>
      <c r="L562" s="16" t="s">
        <v>66</v>
      </c>
      <c r="M562" s="16" t="s">
        <v>235</v>
      </c>
      <c r="N562" s="16" t="s">
        <v>236</v>
      </c>
      <c r="O562" s="16" t="s">
        <v>237</v>
      </c>
      <c r="P562" s="16" t="s">
        <v>572</v>
      </c>
      <c r="Q562" s="16" t="s">
        <v>71</v>
      </c>
      <c r="R562" s="17" t="s">
        <v>6359</v>
      </c>
      <c r="S562" s="16" t="s">
        <v>662</v>
      </c>
      <c r="T562" s="16" t="s">
        <v>74</v>
      </c>
      <c r="U562" s="16" t="s">
        <v>75</v>
      </c>
      <c r="V562" s="16" t="s">
        <v>6360</v>
      </c>
      <c r="W562" s="16"/>
      <c r="X562" s="16" t="s">
        <v>3975</v>
      </c>
      <c r="Y562" s="16" t="s">
        <v>78</v>
      </c>
      <c r="Z562" s="16" t="s">
        <v>666</v>
      </c>
      <c r="AA562" s="16" t="s">
        <v>667</v>
      </c>
      <c r="AB562" s="17" t="s">
        <v>6361</v>
      </c>
      <c r="AC562" s="16" t="s">
        <v>71</v>
      </c>
      <c r="AD562" s="17" t="s">
        <v>6361</v>
      </c>
      <c r="AG562" s="16" t="s">
        <v>871</v>
      </c>
      <c r="AH562" s="16" t="s">
        <v>780</v>
      </c>
      <c r="AI562" s="16"/>
      <c r="AJ562" s="16"/>
      <c r="AK562" s="16"/>
      <c r="AL562" s="16"/>
    </row>
    <row r="563" spans="1:38" x14ac:dyDescent="0.5">
      <c r="A563">
        <v>21516</v>
      </c>
      <c r="B563" s="16" t="s">
        <v>3463</v>
      </c>
      <c r="C563" s="16" t="s">
        <v>3463</v>
      </c>
      <c r="D563" s="16"/>
      <c r="E563" s="16" t="s">
        <v>6362</v>
      </c>
      <c r="F563" s="17" t="s">
        <v>6363</v>
      </c>
      <c r="H563" s="16" t="s">
        <v>456</v>
      </c>
      <c r="I563" s="16" t="s">
        <v>6364</v>
      </c>
      <c r="J563" s="33">
        <v>42612</v>
      </c>
      <c r="K563" s="33">
        <v>43465</v>
      </c>
      <c r="L563" s="16" t="s">
        <v>66</v>
      </c>
      <c r="M563" s="16" t="s">
        <v>67</v>
      </c>
      <c r="N563" s="16" t="s">
        <v>68</v>
      </c>
      <c r="O563" s="16" t="s">
        <v>436</v>
      </c>
      <c r="P563" s="16" t="s">
        <v>572</v>
      </c>
      <c r="Q563" s="16" t="s">
        <v>71</v>
      </c>
      <c r="R563" s="17" t="s">
        <v>6365</v>
      </c>
      <c r="S563" s="16" t="s">
        <v>6366</v>
      </c>
      <c r="T563" s="16" t="s">
        <v>2137</v>
      </c>
      <c r="U563" s="16" t="s">
        <v>2138</v>
      </c>
      <c r="V563" s="16" t="s">
        <v>6367</v>
      </c>
      <c r="W563" s="16"/>
      <c r="X563" s="16" t="s">
        <v>6368</v>
      </c>
      <c r="Y563" s="16" t="s">
        <v>744</v>
      </c>
      <c r="Z563" s="16"/>
      <c r="AA563" s="16"/>
      <c r="AB563" s="17" t="s">
        <v>6369</v>
      </c>
      <c r="AC563" s="16" t="s">
        <v>71</v>
      </c>
      <c r="AD563" s="17" t="s">
        <v>6369</v>
      </c>
      <c r="AG563" s="16" t="s">
        <v>2616</v>
      </c>
      <c r="AH563" s="16" t="s">
        <v>579</v>
      </c>
      <c r="AI563" s="16"/>
      <c r="AJ563" s="16"/>
      <c r="AK563" s="16"/>
      <c r="AL563" s="16"/>
    </row>
    <row r="564" spans="1:38" x14ac:dyDescent="0.5">
      <c r="A564">
        <v>21517</v>
      </c>
      <c r="B564" s="16" t="s">
        <v>6370</v>
      </c>
      <c r="C564" s="16" t="s">
        <v>6370</v>
      </c>
      <c r="D564" s="16"/>
      <c r="E564" s="16" t="s">
        <v>6371</v>
      </c>
      <c r="F564" s="17" t="s">
        <v>6372</v>
      </c>
      <c r="H564" s="16" t="s">
        <v>6373</v>
      </c>
      <c r="I564" s="16" t="s">
        <v>6374</v>
      </c>
      <c r="J564" s="33">
        <v>42640</v>
      </c>
      <c r="K564" s="33">
        <v>43100</v>
      </c>
      <c r="L564" s="16" t="s">
        <v>66</v>
      </c>
      <c r="M564" s="16" t="s">
        <v>67</v>
      </c>
      <c r="N564" s="16" t="s">
        <v>68</v>
      </c>
      <c r="O564" s="16" t="s">
        <v>436</v>
      </c>
      <c r="P564" s="16" t="s">
        <v>4047</v>
      </c>
      <c r="Q564" s="16" t="s">
        <v>71</v>
      </c>
      <c r="R564" s="17" t="s">
        <v>6375</v>
      </c>
      <c r="S564" s="16" t="s">
        <v>6376</v>
      </c>
      <c r="T564" s="16" t="s">
        <v>3827</v>
      </c>
      <c r="U564" s="16" t="s">
        <v>3828</v>
      </c>
      <c r="V564" s="16" t="s">
        <v>6377</v>
      </c>
      <c r="W564" s="16" t="s">
        <v>6378</v>
      </c>
      <c r="X564" s="16" t="s">
        <v>6379</v>
      </c>
      <c r="Y564" s="16" t="s">
        <v>744</v>
      </c>
      <c r="Z564" s="16"/>
      <c r="AA564" s="16"/>
      <c r="AB564" s="17" t="s">
        <v>6380</v>
      </c>
      <c r="AC564" s="16" t="s">
        <v>71</v>
      </c>
      <c r="AD564" s="17" t="s">
        <v>6380</v>
      </c>
      <c r="AG564" s="16" t="s">
        <v>6381</v>
      </c>
      <c r="AH564" s="16" t="s">
        <v>6382</v>
      </c>
      <c r="AI564" s="16"/>
      <c r="AJ564" s="16"/>
      <c r="AK564" s="16"/>
      <c r="AL564" s="16"/>
    </row>
    <row r="565" spans="1:38" x14ac:dyDescent="0.5">
      <c r="A565">
        <v>21520</v>
      </c>
      <c r="B565" s="16" t="s">
        <v>381</v>
      </c>
      <c r="C565" s="16" t="s">
        <v>381</v>
      </c>
      <c r="D565" s="16"/>
      <c r="E565" s="16" t="s">
        <v>6383</v>
      </c>
      <c r="F565" s="17" t="s">
        <v>6384</v>
      </c>
      <c r="H565" s="16" t="s">
        <v>6385</v>
      </c>
      <c r="I565" s="16" t="s">
        <v>6386</v>
      </c>
      <c r="J565" s="33">
        <v>42640</v>
      </c>
      <c r="K565" s="33">
        <v>43465</v>
      </c>
      <c r="L565" s="16" t="s">
        <v>66</v>
      </c>
      <c r="M565" s="16" t="s">
        <v>90</v>
      </c>
      <c r="N565" s="16" t="s">
        <v>91</v>
      </c>
      <c r="O565" s="16" t="s">
        <v>91</v>
      </c>
      <c r="P565" s="16" t="s">
        <v>572</v>
      </c>
      <c r="Q565" s="16" t="s">
        <v>71</v>
      </c>
      <c r="R565" s="17" t="s">
        <v>6387</v>
      </c>
      <c r="S565" s="16" t="s">
        <v>6388</v>
      </c>
      <c r="T565" s="16" t="s">
        <v>4146</v>
      </c>
      <c r="U565" s="16" t="s">
        <v>4147</v>
      </c>
      <c r="V565" s="16" t="s">
        <v>6389</v>
      </c>
      <c r="W565" s="16" t="s">
        <v>6390</v>
      </c>
      <c r="X565" s="16" t="s">
        <v>6391</v>
      </c>
      <c r="Y565" s="16" t="s">
        <v>4151</v>
      </c>
      <c r="Z565" s="16" t="s">
        <v>6392</v>
      </c>
      <c r="AA565" s="16"/>
      <c r="AC565" s="16"/>
      <c r="AG565" s="16" t="s">
        <v>3530</v>
      </c>
      <c r="AH565" s="16" t="s">
        <v>3531</v>
      </c>
      <c r="AI565" s="16"/>
      <c r="AJ565" s="16"/>
      <c r="AK565" s="16"/>
      <c r="AL565" s="16"/>
    </row>
    <row r="566" spans="1:38" x14ac:dyDescent="0.5">
      <c r="A566">
        <v>21521</v>
      </c>
      <c r="B566" s="16" t="s">
        <v>2004</v>
      </c>
      <c r="C566" s="16" t="s">
        <v>2004</v>
      </c>
      <c r="D566" s="16"/>
      <c r="E566" s="16" t="s">
        <v>6393</v>
      </c>
      <c r="F566" s="17" t="s">
        <v>6394</v>
      </c>
      <c r="H566" s="16" t="s">
        <v>699</v>
      </c>
      <c r="I566" s="16" t="s">
        <v>6395</v>
      </c>
      <c r="J566" s="33">
        <v>42640</v>
      </c>
      <c r="K566" s="33">
        <v>43465</v>
      </c>
      <c r="L566" s="16" t="s">
        <v>66</v>
      </c>
      <c r="M566" s="16" t="s">
        <v>235</v>
      </c>
      <c r="N566" s="16" t="s">
        <v>236</v>
      </c>
      <c r="O566" s="16" t="s">
        <v>1482</v>
      </c>
      <c r="P566" s="16" t="s">
        <v>572</v>
      </c>
      <c r="Q566" s="16" t="s">
        <v>71</v>
      </c>
      <c r="R566" s="17" t="s">
        <v>6396</v>
      </c>
      <c r="S566" s="16" t="s">
        <v>1165</v>
      </c>
      <c r="T566" s="16" t="s">
        <v>740</v>
      </c>
      <c r="U566" s="16" t="s">
        <v>741</v>
      </c>
      <c r="V566" s="16" t="s">
        <v>6397</v>
      </c>
      <c r="W566" s="16"/>
      <c r="X566" s="16" t="s">
        <v>6398</v>
      </c>
      <c r="Y566" s="16" t="s">
        <v>744</v>
      </c>
      <c r="Z566" s="16"/>
      <c r="AA566" s="16"/>
      <c r="AB566" s="17" t="s">
        <v>6399</v>
      </c>
      <c r="AC566" s="16" t="s">
        <v>71</v>
      </c>
      <c r="AD566" s="17" t="s">
        <v>6399</v>
      </c>
      <c r="AG566" s="16" t="s">
        <v>2457</v>
      </c>
      <c r="AH566" s="16" t="s">
        <v>3530</v>
      </c>
      <c r="AI566" s="16"/>
      <c r="AJ566" s="16"/>
      <c r="AK566" s="16"/>
      <c r="AL566" s="16"/>
    </row>
    <row r="567" spans="1:38" x14ac:dyDescent="0.5">
      <c r="A567">
        <v>21523</v>
      </c>
      <c r="B567" s="16" t="s">
        <v>4463</v>
      </c>
      <c r="C567" s="16" t="s">
        <v>4463</v>
      </c>
      <c r="D567" s="16"/>
      <c r="E567" s="16" t="s">
        <v>6400</v>
      </c>
      <c r="F567" s="17" t="s">
        <v>6401</v>
      </c>
      <c r="H567" s="16" t="s">
        <v>2257</v>
      </c>
      <c r="I567" s="16" t="s">
        <v>6402</v>
      </c>
      <c r="J567" s="33">
        <v>42640</v>
      </c>
      <c r="K567" s="33">
        <v>43465</v>
      </c>
      <c r="L567" s="16" t="s">
        <v>66</v>
      </c>
      <c r="M567" s="16" t="s">
        <v>67</v>
      </c>
      <c r="N567" s="16" t="s">
        <v>68</v>
      </c>
      <c r="O567" s="16" t="s">
        <v>436</v>
      </c>
      <c r="P567" s="16" t="s">
        <v>572</v>
      </c>
      <c r="Q567" s="16" t="s">
        <v>71</v>
      </c>
      <c r="R567" s="17" t="s">
        <v>6403</v>
      </c>
      <c r="S567" s="16" t="s">
        <v>1619</v>
      </c>
      <c r="T567" s="16" t="s">
        <v>74</v>
      </c>
      <c r="U567" s="16" t="s">
        <v>75</v>
      </c>
      <c r="V567" s="16" t="s">
        <v>6404</v>
      </c>
      <c r="W567" s="16"/>
      <c r="X567" s="16" t="s">
        <v>1621</v>
      </c>
      <c r="Y567" s="16" t="s">
        <v>78</v>
      </c>
      <c r="Z567" s="16" t="s">
        <v>1622</v>
      </c>
      <c r="AA567" s="16" t="s">
        <v>662</v>
      </c>
      <c r="AB567" s="17" t="s">
        <v>6405</v>
      </c>
      <c r="AC567" s="16" t="s">
        <v>71</v>
      </c>
      <c r="AD567" s="17" t="s">
        <v>6405</v>
      </c>
      <c r="AF567" s="17" t="s">
        <v>6406</v>
      </c>
      <c r="AG567" s="16" t="s">
        <v>4870</v>
      </c>
      <c r="AH567" s="16"/>
      <c r="AI567" s="16"/>
      <c r="AJ567" s="16"/>
      <c r="AK567" s="16"/>
      <c r="AL567" s="16"/>
    </row>
    <row r="568" spans="1:38" x14ac:dyDescent="0.5">
      <c r="A568">
        <v>21525</v>
      </c>
      <c r="B568" s="16" t="s">
        <v>5486</v>
      </c>
      <c r="C568" s="16" t="s">
        <v>6407</v>
      </c>
      <c r="D568" s="16"/>
      <c r="E568" s="16" t="s">
        <v>6408</v>
      </c>
      <c r="F568" s="17" t="s">
        <v>6409</v>
      </c>
      <c r="H568" s="16" t="s">
        <v>6410</v>
      </c>
      <c r="I568" s="16" t="s">
        <v>6411</v>
      </c>
      <c r="J568" s="33">
        <v>42641</v>
      </c>
      <c r="K568" s="33">
        <v>43465</v>
      </c>
      <c r="L568" s="16" t="s">
        <v>66</v>
      </c>
      <c r="M568" s="16" t="s">
        <v>67</v>
      </c>
      <c r="N568" s="16" t="s">
        <v>68</v>
      </c>
      <c r="O568" s="16" t="s">
        <v>436</v>
      </c>
      <c r="P568" s="16" t="s">
        <v>572</v>
      </c>
      <c r="Q568" s="16" t="s">
        <v>71</v>
      </c>
      <c r="R568" s="17" t="s">
        <v>6412</v>
      </c>
      <c r="S568" s="16" t="s">
        <v>2611</v>
      </c>
      <c r="T568" s="16" t="s">
        <v>74</v>
      </c>
      <c r="U568" s="16" t="s">
        <v>75</v>
      </c>
      <c r="V568" s="16" t="s">
        <v>6413</v>
      </c>
      <c r="W568" s="16"/>
      <c r="X568" s="16" t="s">
        <v>6414</v>
      </c>
      <c r="Y568" s="16" t="s">
        <v>78</v>
      </c>
      <c r="Z568" s="16" t="s">
        <v>242</v>
      </c>
      <c r="AA568" s="16" t="s">
        <v>243</v>
      </c>
      <c r="AB568" s="17" t="s">
        <v>6415</v>
      </c>
      <c r="AC568" s="16" t="s">
        <v>71</v>
      </c>
      <c r="AD568" s="17" t="s">
        <v>6415</v>
      </c>
      <c r="AG568" s="16" t="s">
        <v>2290</v>
      </c>
      <c r="AH568" s="16" t="s">
        <v>3302</v>
      </c>
      <c r="AI568" s="16"/>
      <c r="AJ568" s="16"/>
      <c r="AK568" s="16"/>
      <c r="AL568" s="16"/>
    </row>
    <row r="569" spans="1:38" x14ac:dyDescent="0.5">
      <c r="A569">
        <v>21529</v>
      </c>
      <c r="B569" s="16" t="s">
        <v>301</v>
      </c>
      <c r="C569" s="16" t="s">
        <v>301</v>
      </c>
      <c r="D569" s="16"/>
      <c r="E569" s="16" t="s">
        <v>6417</v>
      </c>
      <c r="F569" s="17" t="s">
        <v>6418</v>
      </c>
      <c r="H569" s="16" t="s">
        <v>6419</v>
      </c>
      <c r="I569" s="16" t="s">
        <v>6420</v>
      </c>
      <c r="J569" s="33">
        <v>42640</v>
      </c>
      <c r="K569" s="33">
        <v>43465</v>
      </c>
      <c r="L569" s="16" t="s">
        <v>66</v>
      </c>
      <c r="M569" s="16" t="s">
        <v>90</v>
      </c>
      <c r="N569" s="16" t="s">
        <v>91</v>
      </c>
      <c r="O569" s="16" t="s">
        <v>91</v>
      </c>
      <c r="P569" s="16" t="s">
        <v>572</v>
      </c>
      <c r="Q569" s="16" t="s">
        <v>71</v>
      </c>
      <c r="R569" s="17" t="s">
        <v>6421</v>
      </c>
      <c r="S569" s="16" t="s">
        <v>6422</v>
      </c>
      <c r="T569" s="16" t="s">
        <v>74</v>
      </c>
      <c r="U569" s="16" t="s">
        <v>75</v>
      </c>
      <c r="V569" s="16" t="s">
        <v>6423</v>
      </c>
      <c r="W569" s="16"/>
      <c r="X569" s="16" t="s">
        <v>6424</v>
      </c>
      <c r="Y569" s="16" t="s">
        <v>78</v>
      </c>
      <c r="Z569" s="16" t="s">
        <v>172</v>
      </c>
      <c r="AA569" s="16" t="s">
        <v>173</v>
      </c>
      <c r="AB569" s="17" t="s">
        <v>6425</v>
      </c>
      <c r="AC569" s="16" t="s">
        <v>71</v>
      </c>
      <c r="AD569" s="17" t="s">
        <v>6425</v>
      </c>
      <c r="AG569" s="16" t="s">
        <v>4760</v>
      </c>
      <c r="AH569" s="16" t="s">
        <v>1637</v>
      </c>
      <c r="AI569" s="16"/>
      <c r="AJ569" s="16"/>
      <c r="AK569" s="16"/>
      <c r="AL569" s="16"/>
    </row>
    <row r="570" spans="1:38" x14ac:dyDescent="0.5">
      <c r="A570">
        <v>21530</v>
      </c>
      <c r="B570" s="16" t="s">
        <v>6426</v>
      </c>
      <c r="C570" s="16" t="s">
        <v>6426</v>
      </c>
      <c r="D570" s="16"/>
      <c r="E570" s="16" t="s">
        <v>6427</v>
      </c>
      <c r="F570" s="17" t="s">
        <v>6428</v>
      </c>
      <c r="H570" s="16" t="s">
        <v>6429</v>
      </c>
      <c r="I570" s="16" t="s">
        <v>6430</v>
      </c>
      <c r="J570" s="33">
        <v>42716</v>
      </c>
      <c r="K570" s="33">
        <v>43465</v>
      </c>
      <c r="L570" s="16" t="s">
        <v>66</v>
      </c>
      <c r="M570" s="16" t="s">
        <v>90</v>
      </c>
      <c r="N570" s="16" t="s">
        <v>91</v>
      </c>
      <c r="O570" s="16" t="s">
        <v>91</v>
      </c>
      <c r="P570" s="16" t="s">
        <v>572</v>
      </c>
      <c r="Q570" s="16" t="s">
        <v>71</v>
      </c>
      <c r="R570" s="17" t="s">
        <v>6431</v>
      </c>
      <c r="S570" s="16" t="s">
        <v>6432</v>
      </c>
      <c r="T570" s="16" t="s">
        <v>74</v>
      </c>
      <c r="U570" s="16" t="s">
        <v>75</v>
      </c>
      <c r="V570" s="16" t="s">
        <v>6433</v>
      </c>
      <c r="W570" s="16"/>
      <c r="X570" s="16" t="s">
        <v>6434</v>
      </c>
      <c r="Y570" s="16" t="s">
        <v>78</v>
      </c>
      <c r="Z570" s="16" t="s">
        <v>207</v>
      </c>
      <c r="AA570" s="16" t="s">
        <v>208</v>
      </c>
      <c r="AB570" s="17" t="s">
        <v>6435</v>
      </c>
      <c r="AC570" s="16" t="s">
        <v>71</v>
      </c>
      <c r="AD570" s="17" t="s">
        <v>6435</v>
      </c>
      <c r="AG570" s="16" t="s">
        <v>3530</v>
      </c>
      <c r="AH570" s="16" t="s">
        <v>3531</v>
      </c>
      <c r="AI570" s="16" t="s">
        <v>1357</v>
      </c>
      <c r="AJ570" s="16"/>
      <c r="AK570" s="16"/>
      <c r="AL570" s="16"/>
    </row>
    <row r="571" spans="1:38" x14ac:dyDescent="0.5">
      <c r="A571">
        <v>21545</v>
      </c>
      <c r="B571" s="16" t="s">
        <v>6436</v>
      </c>
      <c r="C571" s="16" t="s">
        <v>6436</v>
      </c>
      <c r="D571" s="16"/>
      <c r="E571" s="16" t="s">
        <v>6437</v>
      </c>
      <c r="F571" s="17" t="s">
        <v>6438</v>
      </c>
      <c r="H571" s="16" t="s">
        <v>6439</v>
      </c>
      <c r="I571" s="16" t="s">
        <v>6440</v>
      </c>
      <c r="J571" s="33">
        <v>43131</v>
      </c>
      <c r="K571" s="33">
        <v>43496</v>
      </c>
      <c r="L571" s="16" t="s">
        <v>66</v>
      </c>
      <c r="M571" s="16" t="s">
        <v>67</v>
      </c>
      <c r="N571" s="16" t="s">
        <v>68</v>
      </c>
      <c r="O571" s="16" t="s">
        <v>436</v>
      </c>
      <c r="P571" s="16"/>
      <c r="Q571" s="16" t="s">
        <v>71</v>
      </c>
      <c r="R571" s="17" t="s">
        <v>6441</v>
      </c>
      <c r="S571" s="16" t="s">
        <v>6442</v>
      </c>
      <c r="T571" s="16" t="s">
        <v>4588</v>
      </c>
      <c r="U571" s="16" t="s">
        <v>4589</v>
      </c>
      <c r="V571" s="16" t="s">
        <v>6443</v>
      </c>
      <c r="W571" s="16"/>
      <c r="X571" s="16" t="s">
        <v>6444</v>
      </c>
      <c r="Y571" s="16" t="s">
        <v>744</v>
      </c>
      <c r="Z571" s="16"/>
      <c r="AA571" s="16"/>
      <c r="AB571" s="17" t="s">
        <v>6445</v>
      </c>
      <c r="AC571" s="16" t="s">
        <v>71</v>
      </c>
      <c r="AD571" s="17" t="s">
        <v>6445</v>
      </c>
      <c r="AG571" s="16" t="s">
        <v>6446</v>
      </c>
      <c r="AH571" s="16" t="s">
        <v>2632</v>
      </c>
      <c r="AI571" s="16"/>
      <c r="AJ571" s="16"/>
      <c r="AK571" s="16"/>
      <c r="AL571" s="16" t="s">
        <v>6447</v>
      </c>
    </row>
    <row r="572" spans="1:38" x14ac:dyDescent="0.5">
      <c r="A572">
        <v>21551</v>
      </c>
      <c r="B572" s="16" t="s">
        <v>5486</v>
      </c>
      <c r="C572" s="16" t="s">
        <v>6407</v>
      </c>
      <c r="D572" s="16"/>
      <c r="E572" s="16" t="s">
        <v>3532</v>
      </c>
      <c r="F572" s="17" t="s">
        <v>6448</v>
      </c>
      <c r="G572" s="17" t="s">
        <v>6449</v>
      </c>
      <c r="H572" s="16" t="s">
        <v>456</v>
      </c>
      <c r="I572" s="16" t="s">
        <v>6450</v>
      </c>
      <c r="J572" s="33">
        <v>42640</v>
      </c>
      <c r="K572" s="33">
        <v>43465</v>
      </c>
      <c r="L572" s="16" t="s">
        <v>66</v>
      </c>
      <c r="M572" s="16" t="s">
        <v>67</v>
      </c>
      <c r="N572" s="16" t="s">
        <v>68</v>
      </c>
      <c r="O572" s="16" t="s">
        <v>436</v>
      </c>
      <c r="P572" s="16" t="s">
        <v>572</v>
      </c>
      <c r="Q572" s="16" t="s">
        <v>71</v>
      </c>
      <c r="R572" s="17" t="s">
        <v>6451</v>
      </c>
      <c r="S572" s="16" t="s">
        <v>113</v>
      </c>
      <c r="T572" s="16" t="s">
        <v>74</v>
      </c>
      <c r="U572" s="16" t="s">
        <v>75</v>
      </c>
      <c r="V572" s="16" t="s">
        <v>6452</v>
      </c>
      <c r="W572" s="16"/>
      <c r="X572" s="16" t="s">
        <v>6453</v>
      </c>
      <c r="Y572" s="16" t="s">
        <v>78</v>
      </c>
      <c r="Z572" s="16" t="s">
        <v>117</v>
      </c>
      <c r="AA572" s="16" t="s">
        <v>113</v>
      </c>
      <c r="AB572" s="17" t="s">
        <v>6454</v>
      </c>
      <c r="AC572" s="16" t="s">
        <v>71</v>
      </c>
      <c r="AD572" s="17" t="s">
        <v>6454</v>
      </c>
      <c r="AF572" s="17" t="s">
        <v>6455</v>
      </c>
      <c r="AG572" s="16" t="s">
        <v>1720</v>
      </c>
      <c r="AH572" s="16" t="s">
        <v>1784</v>
      </c>
      <c r="AI572" s="16"/>
      <c r="AJ572" s="16"/>
      <c r="AK572" s="16"/>
      <c r="AL572" s="16"/>
    </row>
    <row r="573" spans="1:38" x14ac:dyDescent="0.5">
      <c r="A573">
        <v>21552</v>
      </c>
      <c r="B573" s="16" t="s">
        <v>6456</v>
      </c>
      <c r="C573" s="16" t="s">
        <v>6456</v>
      </c>
      <c r="D573" s="16"/>
      <c r="E573" s="16" t="s">
        <v>6457</v>
      </c>
      <c r="F573" s="17" t="s">
        <v>6458</v>
      </c>
      <c r="H573" s="16" t="s">
        <v>6459</v>
      </c>
      <c r="I573" s="16" t="s">
        <v>6460</v>
      </c>
      <c r="J573" s="33">
        <v>42647</v>
      </c>
      <c r="K573" s="33">
        <v>43465</v>
      </c>
      <c r="L573" s="16" t="s">
        <v>66</v>
      </c>
      <c r="M573" s="16" t="s">
        <v>67</v>
      </c>
      <c r="N573" s="16" t="s">
        <v>68</v>
      </c>
      <c r="O573" s="16" t="s">
        <v>436</v>
      </c>
      <c r="P573" s="16" t="s">
        <v>572</v>
      </c>
      <c r="Q573" s="16" t="s">
        <v>71</v>
      </c>
      <c r="R573" s="17" t="s">
        <v>6461</v>
      </c>
      <c r="S573" s="16" t="s">
        <v>4848</v>
      </c>
      <c r="T573" s="16" t="s">
        <v>2137</v>
      </c>
      <c r="U573" s="16" t="s">
        <v>2138</v>
      </c>
      <c r="V573" s="16" t="s">
        <v>6462</v>
      </c>
      <c r="W573" s="16"/>
      <c r="X573" s="16" t="s">
        <v>6463</v>
      </c>
      <c r="Y573" s="16" t="s">
        <v>744</v>
      </c>
      <c r="Z573" s="16"/>
      <c r="AA573" s="16"/>
      <c r="AB573" s="17" t="s">
        <v>6464</v>
      </c>
      <c r="AC573" s="16" t="s">
        <v>71</v>
      </c>
      <c r="AD573" s="17" t="s">
        <v>6464</v>
      </c>
      <c r="AG573" s="16" t="s">
        <v>3302</v>
      </c>
      <c r="AH573" s="16" t="s">
        <v>2297</v>
      </c>
      <c r="AI573" s="16"/>
      <c r="AJ573" s="16"/>
      <c r="AK573" s="16"/>
      <c r="AL573" s="16"/>
    </row>
    <row r="574" spans="1:38" x14ac:dyDescent="0.5">
      <c r="A574">
        <v>21555</v>
      </c>
      <c r="B574" s="16" t="s">
        <v>4822</v>
      </c>
      <c r="C574" s="16" t="s">
        <v>4822</v>
      </c>
      <c r="D574" s="16" t="s">
        <v>4725</v>
      </c>
      <c r="E574" s="16" t="s">
        <v>6465</v>
      </c>
      <c r="F574" s="17" t="s">
        <v>6466</v>
      </c>
      <c r="H574" s="16" t="s">
        <v>6467</v>
      </c>
      <c r="I574" s="16" t="s">
        <v>6468</v>
      </c>
      <c r="J574" s="33">
        <v>42670</v>
      </c>
      <c r="K574" s="33">
        <v>43465</v>
      </c>
      <c r="L574" s="16" t="s">
        <v>66</v>
      </c>
      <c r="M574" s="16" t="s">
        <v>5682</v>
      </c>
      <c r="N574" s="16" t="s">
        <v>5683</v>
      </c>
      <c r="O574" s="16" t="s">
        <v>5684</v>
      </c>
      <c r="P574" s="16" t="s">
        <v>572</v>
      </c>
      <c r="Q574" s="16" t="s">
        <v>71</v>
      </c>
      <c r="R574" s="17" t="s">
        <v>6469</v>
      </c>
      <c r="S574" s="16" t="s">
        <v>2675</v>
      </c>
      <c r="T574" s="16" t="s">
        <v>1411</v>
      </c>
      <c r="U574" s="16" t="s">
        <v>1412</v>
      </c>
      <c r="V574" s="16" t="s">
        <v>6470</v>
      </c>
      <c r="W574" s="16"/>
      <c r="X574" s="16" t="s">
        <v>6471</v>
      </c>
      <c r="Y574" s="16" t="s">
        <v>744</v>
      </c>
      <c r="Z574" s="16"/>
      <c r="AA574" s="16"/>
      <c r="AB574" s="17" t="s">
        <v>6472</v>
      </c>
      <c r="AC574" s="16" t="s">
        <v>71</v>
      </c>
      <c r="AD574" s="17" t="s">
        <v>6472</v>
      </c>
      <c r="AG574" s="16" t="s">
        <v>2632</v>
      </c>
      <c r="AH574" s="16" t="s">
        <v>4810</v>
      </c>
      <c r="AI574" s="16"/>
      <c r="AJ574" s="16"/>
      <c r="AK574" s="16"/>
      <c r="AL574" s="16"/>
    </row>
    <row r="575" spans="1:38" x14ac:dyDescent="0.5">
      <c r="A575">
        <v>21576</v>
      </c>
      <c r="B575" s="16" t="s">
        <v>247</v>
      </c>
      <c r="C575" s="16" t="s">
        <v>247</v>
      </c>
      <c r="D575" s="16"/>
      <c r="E575" s="16" t="s">
        <v>6473</v>
      </c>
      <c r="F575" s="17" t="s">
        <v>6474</v>
      </c>
      <c r="H575" s="16"/>
      <c r="I575" s="16"/>
      <c r="J575" s="33">
        <v>42717</v>
      </c>
      <c r="K575" s="33">
        <v>43465</v>
      </c>
      <c r="L575" s="16" t="s">
        <v>66</v>
      </c>
      <c r="M575" s="16" t="s">
        <v>67</v>
      </c>
      <c r="N575" s="16" t="s">
        <v>68</v>
      </c>
      <c r="O575" s="16" t="s">
        <v>1082</v>
      </c>
      <c r="P575" s="16" t="s">
        <v>572</v>
      </c>
      <c r="Q575" s="16" t="s">
        <v>71</v>
      </c>
      <c r="R575" s="17" t="s">
        <v>6475</v>
      </c>
      <c r="S575" s="16" t="s">
        <v>6476</v>
      </c>
      <c r="T575" s="16" t="s">
        <v>74</v>
      </c>
      <c r="U575" s="16" t="s">
        <v>75</v>
      </c>
      <c r="V575" s="16" t="s">
        <v>6477</v>
      </c>
      <c r="W575" s="16"/>
      <c r="X575" s="16" t="s">
        <v>6478</v>
      </c>
      <c r="Y575" s="16" t="s">
        <v>78</v>
      </c>
      <c r="Z575" s="16" t="s">
        <v>96</v>
      </c>
      <c r="AA575" s="16" t="s">
        <v>97</v>
      </c>
      <c r="AB575" s="17" t="s">
        <v>6479</v>
      </c>
      <c r="AC575" s="16" t="s">
        <v>71</v>
      </c>
      <c r="AD575" s="17" t="s">
        <v>6479</v>
      </c>
      <c r="AG575" s="16" t="s">
        <v>2289</v>
      </c>
      <c r="AH575" s="16" t="s">
        <v>578</v>
      </c>
      <c r="AI575" s="16"/>
      <c r="AJ575" s="16"/>
      <c r="AK575" s="16"/>
      <c r="AL575" s="16"/>
    </row>
    <row r="576" spans="1:38" x14ac:dyDescent="0.5">
      <c r="A576">
        <v>21577</v>
      </c>
      <c r="B576" s="16" t="s">
        <v>567</v>
      </c>
      <c r="C576" s="16" t="s">
        <v>567</v>
      </c>
      <c r="D576" s="16" t="s">
        <v>6480</v>
      </c>
      <c r="E576" s="16" t="s">
        <v>6480</v>
      </c>
      <c r="F576" s="17" t="s">
        <v>6481</v>
      </c>
      <c r="H576" s="16" t="s">
        <v>6482</v>
      </c>
      <c r="I576" s="16" t="s">
        <v>6483</v>
      </c>
      <c r="J576" s="33">
        <v>42712</v>
      </c>
      <c r="K576" s="33">
        <v>43465</v>
      </c>
      <c r="L576" s="16" t="s">
        <v>66</v>
      </c>
      <c r="M576" s="16" t="s">
        <v>67</v>
      </c>
      <c r="N576" s="16" t="s">
        <v>68</v>
      </c>
      <c r="O576" s="16" t="s">
        <v>436</v>
      </c>
      <c r="P576" s="16" t="s">
        <v>572</v>
      </c>
      <c r="Q576" s="16" t="s">
        <v>71</v>
      </c>
      <c r="R576" s="17" t="s">
        <v>6484</v>
      </c>
      <c r="S576" s="16" t="s">
        <v>113</v>
      </c>
      <c r="T576" s="16" t="s">
        <v>74</v>
      </c>
      <c r="U576" s="16" t="s">
        <v>75</v>
      </c>
      <c r="V576" s="16" t="s">
        <v>6485</v>
      </c>
      <c r="W576" s="16"/>
      <c r="X576" s="16" t="s">
        <v>6486</v>
      </c>
      <c r="Y576" s="16" t="s">
        <v>78</v>
      </c>
      <c r="Z576" s="16" t="s">
        <v>117</v>
      </c>
      <c r="AA576" s="16" t="s">
        <v>113</v>
      </c>
      <c r="AB576" s="17" t="s">
        <v>6487</v>
      </c>
      <c r="AC576" s="16" t="s">
        <v>71</v>
      </c>
      <c r="AD576" s="17" t="s">
        <v>6487</v>
      </c>
      <c r="AG576" s="16" t="s">
        <v>781</v>
      </c>
      <c r="AH576" s="16" t="s">
        <v>1285</v>
      </c>
      <c r="AI576" s="16"/>
      <c r="AJ576" s="16"/>
      <c r="AK576" s="16"/>
      <c r="AL576" s="16"/>
    </row>
    <row r="577" spans="1:38" x14ac:dyDescent="0.5">
      <c r="A577">
        <v>21580</v>
      </c>
      <c r="B577" s="16" t="s">
        <v>1685</v>
      </c>
      <c r="C577" s="16" t="s">
        <v>2146</v>
      </c>
      <c r="D577" s="16"/>
      <c r="E577" s="16" t="s">
        <v>6488</v>
      </c>
      <c r="F577" s="17" t="s">
        <v>6489</v>
      </c>
      <c r="H577" s="16" t="s">
        <v>6490</v>
      </c>
      <c r="I577" s="16" t="s">
        <v>6491</v>
      </c>
      <c r="J577" s="33">
        <v>42712</v>
      </c>
      <c r="K577" s="33">
        <v>43465</v>
      </c>
      <c r="L577" s="16" t="s">
        <v>66</v>
      </c>
      <c r="M577" s="16" t="s">
        <v>67</v>
      </c>
      <c r="N577" s="16" t="s">
        <v>68</v>
      </c>
      <c r="O577" s="16" t="s">
        <v>436</v>
      </c>
      <c r="P577" s="16" t="s">
        <v>572</v>
      </c>
      <c r="Q577" s="16" t="s">
        <v>71</v>
      </c>
      <c r="R577" s="17" t="s">
        <v>6492</v>
      </c>
      <c r="S577" s="16" t="s">
        <v>621</v>
      </c>
      <c r="T577" s="16" t="s">
        <v>74</v>
      </c>
      <c r="U577" s="16" t="s">
        <v>75</v>
      </c>
      <c r="V577" s="16" t="s">
        <v>6493</v>
      </c>
      <c r="W577" s="16"/>
      <c r="X577" s="16" t="s">
        <v>3734</v>
      </c>
      <c r="Y577" s="16" t="s">
        <v>78</v>
      </c>
      <c r="Z577" s="16" t="s">
        <v>172</v>
      </c>
      <c r="AA577" s="16" t="s">
        <v>173</v>
      </c>
      <c r="AB577" s="17" t="s">
        <v>6494</v>
      </c>
      <c r="AC577" s="16" t="s">
        <v>71</v>
      </c>
      <c r="AD577" s="17" t="s">
        <v>6494</v>
      </c>
      <c r="AE577" s="17" t="s">
        <v>6495</v>
      </c>
      <c r="AG577" s="16" t="s">
        <v>1357</v>
      </c>
      <c r="AH577" s="16" t="s">
        <v>1076</v>
      </c>
      <c r="AI577" s="16"/>
      <c r="AJ577" s="16"/>
      <c r="AK577" s="16"/>
      <c r="AL577" s="16" t="s">
        <v>6496</v>
      </c>
    </row>
    <row r="578" spans="1:38" x14ac:dyDescent="0.5">
      <c r="A578">
        <v>21581</v>
      </c>
      <c r="B578" s="16" t="s">
        <v>6497</v>
      </c>
      <c r="C578" s="16" t="s">
        <v>6497</v>
      </c>
      <c r="D578" s="16"/>
      <c r="E578" s="16" t="s">
        <v>6498</v>
      </c>
      <c r="F578" s="17" t="s">
        <v>6499</v>
      </c>
      <c r="H578" s="16" t="s">
        <v>6500</v>
      </c>
      <c r="I578" s="16" t="s">
        <v>6501</v>
      </c>
      <c r="J578" s="33">
        <v>42745</v>
      </c>
      <c r="K578" s="33">
        <v>43465</v>
      </c>
      <c r="L578" s="16" t="s">
        <v>66</v>
      </c>
      <c r="M578" s="16" t="s">
        <v>235</v>
      </c>
      <c r="N578" s="16" t="s">
        <v>236</v>
      </c>
      <c r="O578" s="16" t="s">
        <v>237</v>
      </c>
      <c r="P578" s="16" t="s">
        <v>572</v>
      </c>
      <c r="Q578" s="16" t="s">
        <v>71</v>
      </c>
      <c r="R578" s="17" t="s">
        <v>6502</v>
      </c>
      <c r="S578" s="16" t="s">
        <v>662</v>
      </c>
      <c r="T578" s="16" t="s">
        <v>74</v>
      </c>
      <c r="U578" s="16" t="s">
        <v>75</v>
      </c>
      <c r="V578" s="16" t="s">
        <v>6503</v>
      </c>
      <c r="W578" s="16" t="s">
        <v>6504</v>
      </c>
      <c r="X578" s="16" t="s">
        <v>6505</v>
      </c>
      <c r="Y578" s="16" t="s">
        <v>78</v>
      </c>
      <c r="Z578" s="16" t="s">
        <v>666</v>
      </c>
      <c r="AA578" s="16" t="s">
        <v>667</v>
      </c>
      <c r="AB578" s="17" t="s">
        <v>6506</v>
      </c>
      <c r="AC578" s="16" t="s">
        <v>71</v>
      </c>
      <c r="AD578" s="17" t="s">
        <v>6506</v>
      </c>
      <c r="AF578" s="17" t="s">
        <v>6507</v>
      </c>
      <c r="AG578" s="16" t="s">
        <v>3841</v>
      </c>
      <c r="AH578" s="16" t="s">
        <v>1502</v>
      </c>
      <c r="AI578" s="16"/>
      <c r="AJ578" s="16"/>
      <c r="AK578" s="16"/>
      <c r="AL578" s="16"/>
    </row>
    <row r="579" spans="1:38" x14ac:dyDescent="0.5">
      <c r="A579">
        <v>21582</v>
      </c>
      <c r="B579" s="16" t="s">
        <v>6508</v>
      </c>
      <c r="C579" s="16" t="s">
        <v>6508</v>
      </c>
      <c r="D579" s="16"/>
      <c r="E579" s="16" t="s">
        <v>6509</v>
      </c>
      <c r="F579" s="17" t="s">
        <v>6510</v>
      </c>
      <c r="H579" s="16" t="s">
        <v>6511</v>
      </c>
      <c r="I579" s="16" t="s">
        <v>6512</v>
      </c>
      <c r="J579" s="33">
        <v>42712</v>
      </c>
      <c r="K579" s="33">
        <v>43465</v>
      </c>
      <c r="L579" s="16" t="s">
        <v>66</v>
      </c>
      <c r="M579" s="16" t="s">
        <v>90</v>
      </c>
      <c r="N579" s="16" t="s">
        <v>91</v>
      </c>
      <c r="O579" s="16" t="s">
        <v>91</v>
      </c>
      <c r="P579" s="16" t="s">
        <v>572</v>
      </c>
      <c r="Q579" s="16" t="s">
        <v>71</v>
      </c>
      <c r="R579" s="17" t="s">
        <v>6513</v>
      </c>
      <c r="S579" s="16" t="s">
        <v>6514</v>
      </c>
      <c r="T579" s="16" t="s">
        <v>74</v>
      </c>
      <c r="U579" s="16" t="s">
        <v>75</v>
      </c>
      <c r="V579" s="16" t="s">
        <v>6515</v>
      </c>
      <c r="W579" s="16" t="s">
        <v>6516</v>
      </c>
      <c r="X579" s="16" t="s">
        <v>6517</v>
      </c>
      <c r="Y579" s="16" t="s">
        <v>78</v>
      </c>
      <c r="Z579" s="16" t="s">
        <v>1025</v>
      </c>
      <c r="AA579" s="16" t="s">
        <v>1026</v>
      </c>
      <c r="AB579" s="17" t="s">
        <v>6518</v>
      </c>
      <c r="AC579" s="16" t="s">
        <v>71</v>
      </c>
      <c r="AD579" s="17" t="s">
        <v>6518</v>
      </c>
      <c r="AG579" s="16" t="s">
        <v>1637</v>
      </c>
      <c r="AH579" s="16" t="s">
        <v>1502</v>
      </c>
      <c r="AI579" s="16"/>
      <c r="AJ579" s="16"/>
      <c r="AK579" s="16"/>
      <c r="AL579" s="16"/>
    </row>
    <row r="580" spans="1:38" x14ac:dyDescent="0.5">
      <c r="A580">
        <v>21583</v>
      </c>
      <c r="B580" s="16" t="s">
        <v>229</v>
      </c>
      <c r="C580" s="16" t="s">
        <v>229</v>
      </c>
      <c r="D580" s="16"/>
      <c r="E580" s="16" t="s">
        <v>6519</v>
      </c>
      <c r="F580" s="17" t="s">
        <v>6520</v>
      </c>
      <c r="H580" s="16" t="s">
        <v>4786</v>
      </c>
      <c r="I580" s="16" t="s">
        <v>6521</v>
      </c>
      <c r="J580" s="33">
        <v>42713</v>
      </c>
      <c r="K580" s="33">
        <v>43465</v>
      </c>
      <c r="L580" s="16" t="s">
        <v>66</v>
      </c>
      <c r="M580" s="16" t="s">
        <v>1036</v>
      </c>
      <c r="N580" s="16"/>
      <c r="O580" s="16" t="s">
        <v>1037</v>
      </c>
      <c r="P580" s="16" t="s">
        <v>572</v>
      </c>
      <c r="Q580" s="16" t="s">
        <v>71</v>
      </c>
      <c r="R580" s="17" t="s">
        <v>6522</v>
      </c>
      <c r="S580" s="16" t="s">
        <v>1165</v>
      </c>
      <c r="T580" s="16" t="s">
        <v>740</v>
      </c>
      <c r="U580" s="16" t="s">
        <v>741</v>
      </c>
      <c r="V580" s="16" t="s">
        <v>6523</v>
      </c>
      <c r="W580" s="16"/>
      <c r="X580" s="16" t="s">
        <v>6524</v>
      </c>
      <c r="Y580" s="16" t="s">
        <v>744</v>
      </c>
      <c r="Z580" s="16"/>
      <c r="AA580" s="16"/>
      <c r="AB580" s="17" t="s">
        <v>6525</v>
      </c>
      <c r="AC580" s="16" t="s">
        <v>71</v>
      </c>
      <c r="AD580" s="17" t="s">
        <v>6525</v>
      </c>
      <c r="AF580" s="17" t="s">
        <v>6526</v>
      </c>
      <c r="AG580" s="16" t="s">
        <v>4704</v>
      </c>
      <c r="AH580" s="16" t="s">
        <v>6527</v>
      </c>
      <c r="AI580" s="16"/>
      <c r="AJ580" s="16"/>
      <c r="AK580" s="16"/>
      <c r="AL580" s="16"/>
    </row>
    <row r="581" spans="1:38" x14ac:dyDescent="0.5">
      <c r="A581">
        <v>21589</v>
      </c>
      <c r="B581" s="16" t="s">
        <v>842</v>
      </c>
      <c r="C581" s="16" t="s">
        <v>842</v>
      </c>
      <c r="D581" s="16"/>
      <c r="E581" s="16" t="s">
        <v>6528</v>
      </c>
      <c r="F581" s="17" t="s">
        <v>6529</v>
      </c>
      <c r="G581" s="17" t="s">
        <v>6530</v>
      </c>
      <c r="H581" s="16" t="s">
        <v>3777</v>
      </c>
      <c r="I581" s="16" t="s">
        <v>6531</v>
      </c>
      <c r="J581" s="33">
        <v>42908</v>
      </c>
      <c r="K581" s="33">
        <v>43465</v>
      </c>
      <c r="L581" s="16" t="s">
        <v>66</v>
      </c>
      <c r="M581" s="16" t="s">
        <v>67</v>
      </c>
      <c r="N581" s="16" t="s">
        <v>68</v>
      </c>
      <c r="O581" s="16" t="s">
        <v>436</v>
      </c>
      <c r="P581" s="16" t="s">
        <v>572</v>
      </c>
      <c r="Q581" s="16" t="s">
        <v>71</v>
      </c>
      <c r="R581" s="17" t="s">
        <v>6532</v>
      </c>
      <c r="S581" s="16" t="s">
        <v>113</v>
      </c>
      <c r="T581" s="16" t="s">
        <v>74</v>
      </c>
      <c r="U581" s="16" t="s">
        <v>75</v>
      </c>
      <c r="V581" s="16" t="s">
        <v>6533</v>
      </c>
      <c r="W581" s="16"/>
      <c r="X581" s="16" t="s">
        <v>6534</v>
      </c>
      <c r="Y581" s="16" t="s">
        <v>78</v>
      </c>
      <c r="Z581" s="16" t="s">
        <v>117</v>
      </c>
      <c r="AA581" s="16" t="s">
        <v>113</v>
      </c>
      <c r="AB581" s="17" t="s">
        <v>6535</v>
      </c>
      <c r="AC581" s="16" t="s">
        <v>71</v>
      </c>
      <c r="AD581" s="17" t="s">
        <v>6535</v>
      </c>
      <c r="AG581" s="16" t="s">
        <v>2817</v>
      </c>
      <c r="AH581" s="16" t="s">
        <v>2818</v>
      </c>
      <c r="AI581" s="16"/>
      <c r="AJ581" s="16"/>
      <c r="AK581" s="16"/>
      <c r="AL581" s="16" t="s">
        <v>6536</v>
      </c>
    </row>
    <row r="582" spans="1:38" x14ac:dyDescent="0.5">
      <c r="A582">
        <v>21631</v>
      </c>
      <c r="B582" s="16" t="s">
        <v>6537</v>
      </c>
      <c r="C582" s="16" t="s">
        <v>6537</v>
      </c>
      <c r="D582" s="16"/>
      <c r="E582" s="16" t="s">
        <v>1079</v>
      </c>
      <c r="F582" s="17" t="s">
        <v>6538</v>
      </c>
      <c r="G582" s="17" t="s">
        <v>6538</v>
      </c>
      <c r="H582" s="16" t="s">
        <v>4158</v>
      </c>
      <c r="I582" s="16" t="s">
        <v>6539</v>
      </c>
      <c r="J582" s="33">
        <v>39570</v>
      </c>
      <c r="K582" s="33">
        <v>43465</v>
      </c>
      <c r="L582" s="16" t="s">
        <v>66</v>
      </c>
      <c r="M582" s="16" t="s">
        <v>167</v>
      </c>
      <c r="N582" s="16" t="s">
        <v>110</v>
      </c>
      <c r="O582" s="16" t="s">
        <v>436</v>
      </c>
      <c r="P582" s="16" t="s">
        <v>70</v>
      </c>
      <c r="Q582" s="16" t="s">
        <v>71</v>
      </c>
      <c r="R582" s="17" t="s">
        <v>6540</v>
      </c>
      <c r="S582" s="16" t="s">
        <v>373</v>
      </c>
      <c r="T582" s="16" t="s">
        <v>74</v>
      </c>
      <c r="U582" s="16" t="s">
        <v>75</v>
      </c>
      <c r="V582" s="16" t="s">
        <v>6541</v>
      </c>
      <c r="W582" s="16"/>
      <c r="X582" s="16" t="s">
        <v>6542</v>
      </c>
      <c r="Y582" s="16"/>
      <c r="Z582" s="16" t="s">
        <v>376</v>
      </c>
      <c r="AA582" s="16" t="s">
        <v>377</v>
      </c>
      <c r="AB582" s="17" t="s">
        <v>6543</v>
      </c>
      <c r="AC582" s="16" t="s">
        <v>71</v>
      </c>
      <c r="AD582" s="17" t="s">
        <v>6543</v>
      </c>
      <c r="AE582" s="17" t="s">
        <v>6544</v>
      </c>
      <c r="AF582" s="17" t="s">
        <v>6544</v>
      </c>
      <c r="AG582" s="16" t="s">
        <v>2655</v>
      </c>
      <c r="AH582" s="16" t="s">
        <v>1548</v>
      </c>
      <c r="AI582" s="16"/>
      <c r="AJ582" s="16"/>
      <c r="AK582" s="16"/>
      <c r="AL582" s="16" t="s">
        <v>1549</v>
      </c>
    </row>
    <row r="583" spans="1:38" x14ac:dyDescent="0.5">
      <c r="A583">
        <v>21632</v>
      </c>
      <c r="B583" s="16" t="s">
        <v>381</v>
      </c>
      <c r="C583" s="16" t="s">
        <v>382</v>
      </c>
      <c r="D583" s="16" t="s">
        <v>162</v>
      </c>
      <c r="E583" s="16" t="s">
        <v>6545</v>
      </c>
      <c r="F583" s="17" t="s">
        <v>6546</v>
      </c>
      <c r="G583" s="17" t="s">
        <v>6547</v>
      </c>
      <c r="H583" s="16" t="s">
        <v>6548</v>
      </c>
      <c r="I583" s="16" t="s">
        <v>6549</v>
      </c>
      <c r="J583" s="33">
        <v>40476</v>
      </c>
      <c r="K583" s="33">
        <v>43465</v>
      </c>
      <c r="L583" s="16" t="s">
        <v>66</v>
      </c>
      <c r="M583" s="16" t="s">
        <v>67</v>
      </c>
      <c r="N583" s="16" t="s">
        <v>68</v>
      </c>
      <c r="O583" s="16" t="s">
        <v>436</v>
      </c>
      <c r="P583" s="16" t="s">
        <v>70</v>
      </c>
      <c r="Q583" s="16" t="s">
        <v>71</v>
      </c>
      <c r="R583" s="17" t="s">
        <v>6550</v>
      </c>
      <c r="S583" s="16" t="s">
        <v>5297</v>
      </c>
      <c r="T583" s="16" t="s">
        <v>74</v>
      </c>
      <c r="U583" s="16" t="s">
        <v>75</v>
      </c>
      <c r="V583" s="16" t="s">
        <v>6551</v>
      </c>
      <c r="W583" s="16"/>
      <c r="X583" s="16" t="s">
        <v>6552</v>
      </c>
      <c r="Y583" s="16" t="s">
        <v>78</v>
      </c>
      <c r="Z583" s="16" t="s">
        <v>242</v>
      </c>
      <c r="AA583" s="16" t="s">
        <v>243</v>
      </c>
      <c r="AB583" s="17" t="s">
        <v>6553</v>
      </c>
      <c r="AC583" s="16" t="s">
        <v>71</v>
      </c>
      <c r="AD583" s="17" t="s">
        <v>6553</v>
      </c>
      <c r="AE583" s="17" t="s">
        <v>6554</v>
      </c>
      <c r="AF583" s="17" t="s">
        <v>6555</v>
      </c>
      <c r="AG583" s="16" t="s">
        <v>2434</v>
      </c>
      <c r="AH583" s="16" t="s">
        <v>653</v>
      </c>
      <c r="AI583" s="16" t="s">
        <v>1572</v>
      </c>
      <c r="AJ583" s="16"/>
      <c r="AK583" s="16"/>
      <c r="AL583" s="16" t="s">
        <v>6556</v>
      </c>
    </row>
    <row r="584" spans="1:38" x14ac:dyDescent="0.5">
      <c r="A584">
        <v>21633</v>
      </c>
      <c r="B584" s="16" t="s">
        <v>2934</v>
      </c>
      <c r="C584" s="16" t="s">
        <v>2934</v>
      </c>
      <c r="D584" s="16" t="s">
        <v>261</v>
      </c>
      <c r="E584" s="16" t="s">
        <v>6557</v>
      </c>
      <c r="F584" s="17" t="s">
        <v>8634</v>
      </c>
      <c r="G584" s="17" t="s">
        <v>6558</v>
      </c>
      <c r="H584" s="16"/>
      <c r="I584" s="16"/>
      <c r="J584" s="33">
        <v>38594</v>
      </c>
      <c r="K584" s="33">
        <v>43465</v>
      </c>
      <c r="L584" s="16" t="s">
        <v>66</v>
      </c>
      <c r="M584" s="16" t="s">
        <v>167</v>
      </c>
      <c r="N584" s="16" t="s">
        <v>110</v>
      </c>
      <c r="O584" s="16" t="s">
        <v>4047</v>
      </c>
      <c r="P584" s="16" t="s">
        <v>70</v>
      </c>
      <c r="Q584" s="16" t="s">
        <v>71</v>
      </c>
      <c r="R584" s="17" t="s">
        <v>6559</v>
      </c>
      <c r="S584" s="16" t="s">
        <v>1022</v>
      </c>
      <c r="T584" s="16" t="s">
        <v>74</v>
      </c>
      <c r="U584" s="16" t="s">
        <v>75</v>
      </c>
      <c r="V584" s="16" t="s">
        <v>6560</v>
      </c>
      <c r="W584" s="16"/>
      <c r="X584" s="16" t="s">
        <v>6561</v>
      </c>
      <c r="Y584" s="16" t="s">
        <v>78</v>
      </c>
      <c r="Z584" s="16" t="s">
        <v>1025</v>
      </c>
      <c r="AA584" s="16" t="s">
        <v>1026</v>
      </c>
      <c r="AB584" s="17" t="s">
        <v>6562</v>
      </c>
      <c r="AC584" s="16" t="s">
        <v>71</v>
      </c>
      <c r="AD584" s="17" t="s">
        <v>6562</v>
      </c>
      <c r="AE584" s="17" t="s">
        <v>6563</v>
      </c>
      <c r="AG584" s="16" t="s">
        <v>1002</v>
      </c>
      <c r="AH584" s="16" t="s">
        <v>872</v>
      </c>
      <c r="AI584" s="16"/>
      <c r="AJ584" s="16"/>
      <c r="AK584" s="16"/>
      <c r="AL584" s="16" t="s">
        <v>6564</v>
      </c>
    </row>
    <row r="585" spans="1:38" x14ac:dyDescent="0.5">
      <c r="A585">
        <v>21650</v>
      </c>
      <c r="B585" s="16" t="s">
        <v>5946</v>
      </c>
      <c r="C585" s="16" t="s">
        <v>5946</v>
      </c>
      <c r="D585" s="16"/>
      <c r="E585" s="16" t="s">
        <v>6565</v>
      </c>
      <c r="F585" s="17" t="s">
        <v>6566</v>
      </c>
      <c r="G585" s="17" t="s">
        <v>6567</v>
      </c>
      <c r="H585" s="16" t="s">
        <v>4315</v>
      </c>
      <c r="I585" s="16" t="s">
        <v>8635</v>
      </c>
      <c r="J585" s="33">
        <v>42775</v>
      </c>
      <c r="K585" s="33">
        <v>43465</v>
      </c>
      <c r="L585" s="16" t="s">
        <v>66</v>
      </c>
      <c r="M585" s="16" t="s">
        <v>67</v>
      </c>
      <c r="N585" s="16" t="s">
        <v>68</v>
      </c>
      <c r="O585" s="16" t="s">
        <v>436</v>
      </c>
      <c r="P585" s="16" t="s">
        <v>572</v>
      </c>
      <c r="Q585" s="16" t="s">
        <v>71</v>
      </c>
      <c r="R585" s="17" t="s">
        <v>6568</v>
      </c>
      <c r="S585" s="16" t="s">
        <v>6569</v>
      </c>
      <c r="T585" s="16" t="s">
        <v>74</v>
      </c>
      <c r="U585" s="16" t="s">
        <v>75</v>
      </c>
      <c r="V585" s="16" t="s">
        <v>6570</v>
      </c>
      <c r="W585" s="16"/>
      <c r="X585" s="16" t="s">
        <v>6571</v>
      </c>
      <c r="Y585" s="16" t="s">
        <v>78</v>
      </c>
      <c r="Z585" s="16" t="s">
        <v>1158</v>
      </c>
      <c r="AA585" s="16" t="s">
        <v>1159</v>
      </c>
      <c r="AB585" s="17" t="s">
        <v>6572</v>
      </c>
      <c r="AC585" s="16" t="s">
        <v>71</v>
      </c>
      <c r="AD585" s="17" t="s">
        <v>6572</v>
      </c>
      <c r="AG585" s="16" t="s">
        <v>4063</v>
      </c>
      <c r="AH585" s="16" t="s">
        <v>579</v>
      </c>
      <c r="AI585" s="16"/>
      <c r="AJ585" s="16"/>
      <c r="AK585" s="16"/>
      <c r="AL585" s="16" t="s">
        <v>4315</v>
      </c>
    </row>
    <row r="586" spans="1:38" x14ac:dyDescent="0.5">
      <c r="A586">
        <v>21658</v>
      </c>
      <c r="B586" s="16" t="s">
        <v>326</v>
      </c>
      <c r="C586" s="16" t="s">
        <v>327</v>
      </c>
      <c r="D586" s="16"/>
      <c r="E586" s="16" t="s">
        <v>6573</v>
      </c>
      <c r="F586" s="17" t="s">
        <v>6574</v>
      </c>
      <c r="H586" s="16" t="s">
        <v>6575</v>
      </c>
      <c r="I586" s="16" t="s">
        <v>6576</v>
      </c>
      <c r="J586" s="33">
        <v>41257</v>
      </c>
      <c r="K586" s="33">
        <v>43465</v>
      </c>
      <c r="L586" s="16" t="s">
        <v>66</v>
      </c>
      <c r="M586" s="16" t="s">
        <v>67</v>
      </c>
      <c r="N586" s="16" t="s">
        <v>68</v>
      </c>
      <c r="O586" s="16" t="s">
        <v>436</v>
      </c>
      <c r="P586" s="16" t="s">
        <v>572</v>
      </c>
      <c r="Q586" s="16" t="s">
        <v>71</v>
      </c>
      <c r="R586" s="17" t="s">
        <v>6577</v>
      </c>
      <c r="S586" s="16" t="s">
        <v>6578</v>
      </c>
      <c r="T586" s="16" t="s">
        <v>74</v>
      </c>
      <c r="U586" s="16" t="s">
        <v>75</v>
      </c>
      <c r="V586" s="16" t="s">
        <v>6579</v>
      </c>
      <c r="W586" s="16"/>
      <c r="X586" s="16" t="s">
        <v>6580</v>
      </c>
      <c r="Y586" s="16" t="s">
        <v>78</v>
      </c>
      <c r="Z586" s="16" t="s">
        <v>132</v>
      </c>
      <c r="AA586" s="16" t="s">
        <v>133</v>
      </c>
      <c r="AB586" s="17" t="s">
        <v>6581</v>
      </c>
      <c r="AC586" s="16" t="s">
        <v>71</v>
      </c>
      <c r="AD586" s="17" t="s">
        <v>6581</v>
      </c>
      <c r="AE586" s="17" t="s">
        <v>6582</v>
      </c>
      <c r="AG586" s="16" t="s">
        <v>1784</v>
      </c>
      <c r="AH586" s="16" t="s">
        <v>3939</v>
      </c>
      <c r="AI586" s="16"/>
      <c r="AJ586" s="16"/>
      <c r="AK586" s="16"/>
      <c r="AL586" s="16" t="s">
        <v>6583</v>
      </c>
    </row>
    <row r="587" spans="1:38" x14ac:dyDescent="0.5">
      <c r="A587">
        <v>21728</v>
      </c>
      <c r="B587" s="16" t="s">
        <v>2230</v>
      </c>
      <c r="C587" s="16" t="s">
        <v>2230</v>
      </c>
      <c r="D587" s="16"/>
      <c r="E587" s="16" t="s">
        <v>6584</v>
      </c>
      <c r="F587" s="17" t="s">
        <v>6585</v>
      </c>
      <c r="H587" s="16" t="s">
        <v>6586</v>
      </c>
      <c r="I587" s="16" t="s">
        <v>6587</v>
      </c>
      <c r="J587" s="33">
        <v>41874</v>
      </c>
      <c r="K587" s="33">
        <v>43465</v>
      </c>
      <c r="L587" s="16" t="s">
        <v>66</v>
      </c>
      <c r="M587" s="16" t="s">
        <v>90</v>
      </c>
      <c r="N587" s="16" t="s">
        <v>91</v>
      </c>
      <c r="O587" s="16" t="s">
        <v>91</v>
      </c>
      <c r="P587" s="16" t="s">
        <v>572</v>
      </c>
      <c r="Q587" s="16" t="s">
        <v>71</v>
      </c>
      <c r="R587" s="17" t="s">
        <v>6588</v>
      </c>
      <c r="S587" s="16" t="s">
        <v>1497</v>
      </c>
      <c r="T587" s="16" t="s">
        <v>74</v>
      </c>
      <c r="U587" s="16" t="s">
        <v>75</v>
      </c>
      <c r="V587" s="16" t="s">
        <v>6589</v>
      </c>
      <c r="W587" s="16"/>
      <c r="X587" s="16" t="s">
        <v>6590</v>
      </c>
      <c r="Y587" s="16" t="s">
        <v>78</v>
      </c>
      <c r="Z587" s="16" t="s">
        <v>1025</v>
      </c>
      <c r="AA587" s="16" t="s">
        <v>1026</v>
      </c>
      <c r="AB587" s="17" t="s">
        <v>6591</v>
      </c>
      <c r="AC587" s="16" t="s">
        <v>71</v>
      </c>
      <c r="AD587" s="17" t="s">
        <v>6591</v>
      </c>
      <c r="AF587" s="17" t="s">
        <v>6592</v>
      </c>
      <c r="AG587" s="16" t="s">
        <v>1850</v>
      </c>
      <c r="AH587" s="16" t="s">
        <v>1030</v>
      </c>
      <c r="AI587" s="16"/>
      <c r="AJ587" s="16"/>
      <c r="AK587" s="16"/>
      <c r="AL587" s="16" t="s">
        <v>6593</v>
      </c>
    </row>
    <row r="588" spans="1:38" x14ac:dyDescent="0.5">
      <c r="A588">
        <v>21729</v>
      </c>
      <c r="B588" s="16" t="s">
        <v>816</v>
      </c>
      <c r="C588" s="16" t="s">
        <v>816</v>
      </c>
      <c r="D588" s="16"/>
      <c r="E588" s="16" t="s">
        <v>2984</v>
      </c>
      <c r="F588" s="17" t="s">
        <v>6594</v>
      </c>
      <c r="G588" s="17" t="s">
        <v>6595</v>
      </c>
      <c r="H588" s="16" t="s">
        <v>6596</v>
      </c>
      <c r="I588" s="16" t="s">
        <v>6597</v>
      </c>
      <c r="J588" s="33">
        <v>38056</v>
      </c>
      <c r="K588" s="33">
        <v>43465</v>
      </c>
      <c r="L588" s="16" t="s">
        <v>66</v>
      </c>
      <c r="M588" s="16" t="s">
        <v>67</v>
      </c>
      <c r="N588" s="16" t="s">
        <v>68</v>
      </c>
      <c r="O588" s="16" t="s">
        <v>202</v>
      </c>
      <c r="P588" s="16" t="s">
        <v>70</v>
      </c>
      <c r="Q588" s="16" t="s">
        <v>71</v>
      </c>
      <c r="R588" s="17" t="s">
        <v>6598</v>
      </c>
      <c r="S588" s="16" t="s">
        <v>113</v>
      </c>
      <c r="T588" s="16" t="s">
        <v>74</v>
      </c>
      <c r="U588" s="16" t="s">
        <v>75</v>
      </c>
      <c r="V588" s="16" t="s">
        <v>6599</v>
      </c>
      <c r="W588" s="16"/>
      <c r="X588" s="16" t="s">
        <v>6600</v>
      </c>
      <c r="Y588" s="16" t="s">
        <v>78</v>
      </c>
      <c r="Z588" s="16" t="s">
        <v>117</v>
      </c>
      <c r="AA588" s="16" t="s">
        <v>113</v>
      </c>
      <c r="AB588" s="17" t="s">
        <v>6601</v>
      </c>
      <c r="AC588" s="16" t="s">
        <v>71</v>
      </c>
      <c r="AD588" s="17" t="s">
        <v>6601</v>
      </c>
      <c r="AE588" s="17" t="s">
        <v>6602</v>
      </c>
      <c r="AF588" s="17" t="s">
        <v>6601</v>
      </c>
      <c r="AG588" s="16" t="s">
        <v>1233</v>
      </c>
      <c r="AH588" s="16" t="s">
        <v>6603</v>
      </c>
      <c r="AI588" s="16"/>
      <c r="AJ588" s="16"/>
      <c r="AK588" s="16"/>
      <c r="AL588" s="16" t="s">
        <v>6604</v>
      </c>
    </row>
    <row r="589" spans="1:38" x14ac:dyDescent="0.5">
      <c r="A589">
        <v>21732</v>
      </c>
      <c r="B589" s="16" t="s">
        <v>326</v>
      </c>
      <c r="C589" s="16" t="s">
        <v>327</v>
      </c>
      <c r="D589" s="16"/>
      <c r="E589" s="16" t="s">
        <v>6605</v>
      </c>
      <c r="F589" s="17" t="s">
        <v>6606</v>
      </c>
      <c r="G589" s="17" t="s">
        <v>6607</v>
      </c>
      <c r="H589" s="16" t="s">
        <v>6608</v>
      </c>
      <c r="I589" s="16" t="s">
        <v>219</v>
      </c>
      <c r="J589" s="33">
        <v>43080</v>
      </c>
      <c r="K589" s="33">
        <v>43445</v>
      </c>
      <c r="L589" s="16" t="s">
        <v>66</v>
      </c>
      <c r="M589" s="16" t="s">
        <v>90</v>
      </c>
      <c r="N589" s="16" t="s">
        <v>91</v>
      </c>
      <c r="O589" s="16" t="s">
        <v>91</v>
      </c>
      <c r="P589" s="16"/>
      <c r="Q589" s="16" t="s">
        <v>71</v>
      </c>
      <c r="R589" s="17" t="s">
        <v>6609</v>
      </c>
      <c r="S589" s="16" t="s">
        <v>222</v>
      </c>
      <c r="T589" s="16" t="s">
        <v>74</v>
      </c>
      <c r="U589" s="16" t="s">
        <v>75</v>
      </c>
      <c r="V589" s="16" t="s">
        <v>6610</v>
      </c>
      <c r="W589" s="16"/>
      <c r="X589" s="16" t="s">
        <v>6611</v>
      </c>
      <c r="Y589" s="16" t="s">
        <v>78</v>
      </c>
      <c r="Z589" s="16" t="s">
        <v>189</v>
      </c>
      <c r="AA589" s="16" t="s">
        <v>190</v>
      </c>
      <c r="AB589" s="17" t="s">
        <v>6612</v>
      </c>
      <c r="AC589" s="16" t="s">
        <v>71</v>
      </c>
      <c r="AD589" s="17" t="s">
        <v>6612</v>
      </c>
      <c r="AE589" s="17" t="s">
        <v>6613</v>
      </c>
      <c r="AF589" s="17" t="s">
        <v>6614</v>
      </c>
      <c r="AG589" s="16" t="s">
        <v>1030</v>
      </c>
      <c r="AH589" s="16" t="s">
        <v>6615</v>
      </c>
      <c r="AI589" s="16" t="s">
        <v>4063</v>
      </c>
      <c r="AJ589" s="16"/>
      <c r="AK589" s="16"/>
      <c r="AL589" s="16" t="s">
        <v>6616</v>
      </c>
    </row>
    <row r="590" spans="1:38" x14ac:dyDescent="0.5">
      <c r="A590">
        <v>21743</v>
      </c>
      <c r="B590" s="16" t="s">
        <v>6617</v>
      </c>
      <c r="C590" s="16" t="s">
        <v>6617</v>
      </c>
      <c r="D590" s="16"/>
      <c r="E590" s="16" t="s">
        <v>6618</v>
      </c>
      <c r="F590" s="17" t="s">
        <v>6619</v>
      </c>
      <c r="H590" s="16" t="s">
        <v>6620</v>
      </c>
      <c r="I590" s="16" t="s">
        <v>6621</v>
      </c>
      <c r="J590" s="33">
        <v>42783</v>
      </c>
      <c r="K590" s="33">
        <v>43465</v>
      </c>
      <c r="L590" s="16" t="s">
        <v>66</v>
      </c>
      <c r="M590" s="16" t="s">
        <v>90</v>
      </c>
      <c r="N590" s="16" t="s">
        <v>91</v>
      </c>
      <c r="O590" s="16" t="s">
        <v>91</v>
      </c>
      <c r="P590" s="16" t="s">
        <v>572</v>
      </c>
      <c r="Q590" s="16" t="s">
        <v>71</v>
      </c>
      <c r="R590" s="17" t="s">
        <v>6622</v>
      </c>
      <c r="S590" s="16" t="s">
        <v>2595</v>
      </c>
      <c r="T590" s="16" t="s">
        <v>2596</v>
      </c>
      <c r="U590" s="16" t="s">
        <v>2597</v>
      </c>
      <c r="V590" s="16" t="s">
        <v>3052</v>
      </c>
      <c r="W590" s="16"/>
      <c r="X590" s="16" t="s">
        <v>6623</v>
      </c>
      <c r="Y590" s="16" t="s">
        <v>744</v>
      </c>
      <c r="Z590" s="16"/>
      <c r="AA590" s="16"/>
      <c r="AB590" s="17" t="s">
        <v>6624</v>
      </c>
      <c r="AC590" s="16" t="s">
        <v>71</v>
      </c>
      <c r="AD590" s="17" t="s">
        <v>6624</v>
      </c>
      <c r="AE590" s="17" t="s">
        <v>6625</v>
      </c>
      <c r="AG590" s="16" t="s">
        <v>1637</v>
      </c>
      <c r="AH590" s="16" t="s">
        <v>3531</v>
      </c>
      <c r="AI590" s="16"/>
      <c r="AJ590" s="16"/>
      <c r="AK590" s="16"/>
      <c r="AL590" s="16" t="s">
        <v>6620</v>
      </c>
    </row>
    <row r="591" spans="1:38" x14ac:dyDescent="0.5">
      <c r="A591">
        <v>21744</v>
      </c>
      <c r="B591" s="16" t="s">
        <v>6626</v>
      </c>
      <c r="C591" s="16" t="s">
        <v>6626</v>
      </c>
      <c r="D591" s="16"/>
      <c r="E591" s="16" t="s">
        <v>6627</v>
      </c>
      <c r="F591" s="17" t="s">
        <v>6628</v>
      </c>
      <c r="H591" s="16" t="s">
        <v>6629</v>
      </c>
      <c r="I591" s="16" t="s">
        <v>6630</v>
      </c>
      <c r="J591" s="33">
        <v>42837</v>
      </c>
      <c r="K591" s="33">
        <v>43465</v>
      </c>
      <c r="L591" s="16" t="s">
        <v>66</v>
      </c>
      <c r="M591" s="16" t="s">
        <v>67</v>
      </c>
      <c r="N591" s="16" t="s">
        <v>68</v>
      </c>
      <c r="O591" s="16" t="s">
        <v>436</v>
      </c>
      <c r="P591" s="16" t="s">
        <v>572</v>
      </c>
      <c r="Q591" s="16" t="s">
        <v>71</v>
      </c>
      <c r="R591" s="17" t="s">
        <v>6631</v>
      </c>
      <c r="S591" s="16" t="s">
        <v>2511</v>
      </c>
      <c r="T591" s="16" t="s">
        <v>599</v>
      </c>
      <c r="U591" s="16" t="s">
        <v>2512</v>
      </c>
      <c r="V591" s="16" t="s">
        <v>6632</v>
      </c>
      <c r="W591" s="16"/>
      <c r="X591" s="16" t="s">
        <v>6633</v>
      </c>
      <c r="Y591" s="16" t="s">
        <v>2515</v>
      </c>
      <c r="Z591" s="16"/>
      <c r="AA591" s="16"/>
      <c r="AB591" s="17" t="s">
        <v>6634</v>
      </c>
      <c r="AC591" s="16" t="s">
        <v>71</v>
      </c>
      <c r="AD591" s="17" t="s">
        <v>6634</v>
      </c>
      <c r="AG591" s="16" t="s">
        <v>6635</v>
      </c>
      <c r="AH591" s="16" t="s">
        <v>1345</v>
      </c>
      <c r="AI591" s="16" t="s">
        <v>579</v>
      </c>
      <c r="AJ591" s="16"/>
      <c r="AK591" s="16"/>
      <c r="AL591" s="16" t="s">
        <v>6629</v>
      </c>
    </row>
    <row r="592" spans="1:38" x14ac:dyDescent="0.5">
      <c r="A592">
        <v>21745</v>
      </c>
      <c r="B592" s="16" t="s">
        <v>6636</v>
      </c>
      <c r="C592" s="16" t="s">
        <v>6636</v>
      </c>
      <c r="D592" s="16"/>
      <c r="E592" s="16" t="s">
        <v>3532</v>
      </c>
      <c r="F592" s="17" t="s">
        <v>6637</v>
      </c>
      <c r="H592" s="16" t="s">
        <v>5573</v>
      </c>
      <c r="I592" s="16" t="s">
        <v>6638</v>
      </c>
      <c r="J592" s="33">
        <v>42809</v>
      </c>
      <c r="K592" s="33">
        <v>43465</v>
      </c>
      <c r="L592" s="16" t="s">
        <v>66</v>
      </c>
      <c r="M592" s="16" t="s">
        <v>67</v>
      </c>
      <c r="N592" s="16" t="s">
        <v>68</v>
      </c>
      <c r="O592" s="16" t="s">
        <v>111</v>
      </c>
      <c r="P592" s="16" t="s">
        <v>572</v>
      </c>
      <c r="Q592" s="16" t="s">
        <v>71</v>
      </c>
      <c r="R592" s="17" t="s">
        <v>6639</v>
      </c>
      <c r="S592" s="16" t="s">
        <v>1165</v>
      </c>
      <c r="T592" s="16" t="s">
        <v>740</v>
      </c>
      <c r="U592" s="16" t="s">
        <v>741</v>
      </c>
      <c r="V592" s="16" t="s">
        <v>6640</v>
      </c>
      <c r="W592" s="16" t="s">
        <v>6641</v>
      </c>
      <c r="X592" s="16" t="s">
        <v>6642</v>
      </c>
      <c r="Y592" s="16" t="s">
        <v>744</v>
      </c>
      <c r="Z592" s="16"/>
      <c r="AA592" s="16"/>
      <c r="AB592" s="17" t="s">
        <v>6643</v>
      </c>
      <c r="AC592" s="16" t="s">
        <v>71</v>
      </c>
      <c r="AD592" s="17" t="s">
        <v>6643</v>
      </c>
      <c r="AF592" s="17" t="s">
        <v>6644</v>
      </c>
      <c r="AG592" s="16" t="s">
        <v>2632</v>
      </c>
      <c r="AH592" s="16" t="s">
        <v>4691</v>
      </c>
      <c r="AI592" s="16" t="s">
        <v>579</v>
      </c>
      <c r="AJ592" s="16"/>
      <c r="AK592" s="16"/>
      <c r="AL592" s="16" t="s">
        <v>6645</v>
      </c>
    </row>
    <row r="593" spans="1:38" x14ac:dyDescent="0.5">
      <c r="A593">
        <v>21748</v>
      </c>
      <c r="B593" s="16" t="s">
        <v>6646</v>
      </c>
      <c r="C593" s="16" t="s">
        <v>6646</v>
      </c>
      <c r="D593" s="16"/>
      <c r="E593" s="16" t="s">
        <v>1695</v>
      </c>
      <c r="F593" s="17" t="s">
        <v>6647</v>
      </c>
      <c r="G593" s="17" t="s">
        <v>6648</v>
      </c>
      <c r="H593" s="16" t="s">
        <v>6649</v>
      </c>
      <c r="I593" s="16" t="s">
        <v>6650</v>
      </c>
      <c r="J593" s="33">
        <v>42800</v>
      </c>
      <c r="K593" s="33">
        <v>43465</v>
      </c>
      <c r="L593" s="16" t="s">
        <v>66</v>
      </c>
      <c r="M593" s="16" t="s">
        <v>67</v>
      </c>
      <c r="N593" s="16" t="s">
        <v>68</v>
      </c>
      <c r="O593" s="16" t="s">
        <v>436</v>
      </c>
      <c r="P593" s="16" t="s">
        <v>572</v>
      </c>
      <c r="Q593" s="16" t="s">
        <v>71</v>
      </c>
      <c r="R593" s="17" t="s">
        <v>6651</v>
      </c>
      <c r="S593" s="16" t="s">
        <v>936</v>
      </c>
      <c r="T593" s="16" t="s">
        <v>74</v>
      </c>
      <c r="U593" s="16" t="s">
        <v>75</v>
      </c>
      <c r="V593" s="16" t="s">
        <v>6652</v>
      </c>
      <c r="W593" s="16" t="s">
        <v>6653</v>
      </c>
      <c r="X593" s="16" t="s">
        <v>3267</v>
      </c>
      <c r="Y593" s="16" t="s">
        <v>78</v>
      </c>
      <c r="Z593" s="16" t="s">
        <v>242</v>
      </c>
      <c r="AA593" s="16" t="s">
        <v>243</v>
      </c>
      <c r="AB593" s="17" t="s">
        <v>6654</v>
      </c>
      <c r="AC593" s="16" t="s">
        <v>71</v>
      </c>
      <c r="AD593" s="17" t="s">
        <v>6654</v>
      </c>
      <c r="AF593" s="17" t="s">
        <v>6655</v>
      </c>
      <c r="AG593" s="16" t="s">
        <v>1216</v>
      </c>
      <c r="AH593" s="16" t="s">
        <v>579</v>
      </c>
      <c r="AI593" s="16"/>
      <c r="AJ593" s="16"/>
      <c r="AK593" s="16"/>
      <c r="AL593" s="16" t="s">
        <v>6649</v>
      </c>
    </row>
    <row r="594" spans="1:38" x14ac:dyDescent="0.5">
      <c r="A594">
        <v>21750</v>
      </c>
      <c r="B594" s="16" t="s">
        <v>6656</v>
      </c>
      <c r="C594" s="16" t="s">
        <v>6656</v>
      </c>
      <c r="D594" s="16"/>
      <c r="E594" s="16" t="s">
        <v>6657</v>
      </c>
      <c r="F594" s="17" t="s">
        <v>6658</v>
      </c>
      <c r="H594" s="16" t="s">
        <v>1803</v>
      </c>
      <c r="I594" s="16" t="s">
        <v>6659</v>
      </c>
      <c r="J594" s="33">
        <v>42905</v>
      </c>
      <c r="K594" s="33">
        <v>43465</v>
      </c>
      <c r="L594" s="16" t="s">
        <v>66</v>
      </c>
      <c r="M594" s="16" t="s">
        <v>67</v>
      </c>
      <c r="N594" s="16" t="s">
        <v>68</v>
      </c>
      <c r="O594" s="16" t="s">
        <v>436</v>
      </c>
      <c r="P594" s="16" t="s">
        <v>572</v>
      </c>
      <c r="Q594" s="16" t="s">
        <v>71</v>
      </c>
      <c r="R594" s="17" t="s">
        <v>6660</v>
      </c>
      <c r="S594" s="16" t="s">
        <v>113</v>
      </c>
      <c r="T594" s="16" t="s">
        <v>74</v>
      </c>
      <c r="U594" s="16" t="s">
        <v>75</v>
      </c>
      <c r="V594" s="16" t="s">
        <v>6661</v>
      </c>
      <c r="W594" s="16"/>
      <c r="X594" s="16" t="s">
        <v>6662</v>
      </c>
      <c r="Y594" s="16" t="s">
        <v>78</v>
      </c>
      <c r="Z594" s="16" t="s">
        <v>117</v>
      </c>
      <c r="AA594" s="16" t="s">
        <v>113</v>
      </c>
      <c r="AB594" s="17" t="s">
        <v>6663</v>
      </c>
      <c r="AC594" s="16" t="s">
        <v>71</v>
      </c>
      <c r="AD594" s="17" t="s">
        <v>6663</v>
      </c>
      <c r="AF594" s="17" t="s">
        <v>6664</v>
      </c>
      <c r="AG594" s="16" t="s">
        <v>4704</v>
      </c>
      <c r="AH594" s="16" t="s">
        <v>2108</v>
      </c>
      <c r="AI594" s="16"/>
      <c r="AJ594" s="16"/>
      <c r="AK594" s="16"/>
      <c r="AL594" s="16" t="s">
        <v>1803</v>
      </c>
    </row>
    <row r="595" spans="1:38" x14ac:dyDescent="0.5">
      <c r="A595">
        <v>21751</v>
      </c>
      <c r="B595" s="16" t="s">
        <v>6665</v>
      </c>
      <c r="C595" s="16" t="s">
        <v>6665</v>
      </c>
      <c r="D595" s="16" t="s">
        <v>288</v>
      </c>
      <c r="E595" s="16" t="s">
        <v>6666</v>
      </c>
      <c r="F595" s="17" t="s">
        <v>6667</v>
      </c>
      <c r="H595" s="16" t="s">
        <v>6668</v>
      </c>
      <c r="I595" s="16" t="s">
        <v>6669</v>
      </c>
      <c r="J595" s="33">
        <v>42822</v>
      </c>
      <c r="K595" s="33">
        <v>43465</v>
      </c>
      <c r="L595" s="16" t="s">
        <v>66</v>
      </c>
      <c r="M595" s="16" t="s">
        <v>67</v>
      </c>
      <c r="N595" s="16" t="s">
        <v>68</v>
      </c>
      <c r="O595" s="16" t="s">
        <v>436</v>
      </c>
      <c r="P595" s="16" t="s">
        <v>572</v>
      </c>
      <c r="Q595" s="16" t="s">
        <v>71</v>
      </c>
      <c r="R595" s="17" t="s">
        <v>6670</v>
      </c>
      <c r="S595" s="16" t="s">
        <v>2511</v>
      </c>
      <c r="T595" s="16" t="s">
        <v>599</v>
      </c>
      <c r="U595" s="16" t="s">
        <v>2512</v>
      </c>
      <c r="V595" s="16"/>
      <c r="W595" s="16" t="s">
        <v>6671</v>
      </c>
      <c r="X595" s="16" t="s">
        <v>6672</v>
      </c>
      <c r="Y595" s="16" t="s">
        <v>2515</v>
      </c>
      <c r="Z595" s="16"/>
      <c r="AA595" s="16"/>
      <c r="AB595" s="17" t="s">
        <v>6673</v>
      </c>
      <c r="AC595" s="16" t="s">
        <v>71</v>
      </c>
      <c r="AD595" s="17" t="s">
        <v>6673</v>
      </c>
      <c r="AG595" s="16" t="s">
        <v>6635</v>
      </c>
      <c r="AH595" s="16" t="s">
        <v>1345</v>
      </c>
      <c r="AI595" s="16" t="s">
        <v>579</v>
      </c>
      <c r="AJ595" s="16"/>
      <c r="AK595" s="16"/>
      <c r="AL595" s="16" t="s">
        <v>6674</v>
      </c>
    </row>
    <row r="596" spans="1:38" x14ac:dyDescent="0.5">
      <c r="A596">
        <v>21753</v>
      </c>
      <c r="B596" s="16" t="s">
        <v>4525</v>
      </c>
      <c r="C596" s="16" t="s">
        <v>4525</v>
      </c>
      <c r="D596" s="16"/>
      <c r="E596" s="16" t="s">
        <v>6675</v>
      </c>
      <c r="F596" s="17" t="s">
        <v>6676</v>
      </c>
      <c r="H596" s="16" t="s">
        <v>1429</v>
      </c>
      <c r="I596" s="16" t="s">
        <v>6677</v>
      </c>
      <c r="J596" s="33">
        <v>42804</v>
      </c>
      <c r="K596" s="33">
        <v>43465</v>
      </c>
      <c r="L596" s="16" t="s">
        <v>66</v>
      </c>
      <c r="M596" s="16" t="s">
        <v>67</v>
      </c>
      <c r="N596" s="16" t="s">
        <v>68</v>
      </c>
      <c r="O596" s="16" t="s">
        <v>436</v>
      </c>
      <c r="P596" s="16" t="s">
        <v>572</v>
      </c>
      <c r="Q596" s="16" t="s">
        <v>71</v>
      </c>
      <c r="R596" s="17" t="s">
        <v>6678</v>
      </c>
      <c r="S596" s="16" t="s">
        <v>6679</v>
      </c>
      <c r="T596" s="16" t="s">
        <v>74</v>
      </c>
      <c r="U596" s="16" t="s">
        <v>75</v>
      </c>
      <c r="V596" s="16" t="s">
        <v>6680</v>
      </c>
      <c r="W596" s="16"/>
      <c r="X596" s="16" t="s">
        <v>6681</v>
      </c>
      <c r="Y596" s="16" t="s">
        <v>78</v>
      </c>
      <c r="Z596" s="16" t="s">
        <v>242</v>
      </c>
      <c r="AA596" s="16" t="s">
        <v>243</v>
      </c>
      <c r="AB596" s="17" t="s">
        <v>6682</v>
      </c>
      <c r="AC596" s="16" t="s">
        <v>71</v>
      </c>
      <c r="AD596" s="17" t="s">
        <v>6682</v>
      </c>
      <c r="AF596" s="17" t="s">
        <v>6683</v>
      </c>
      <c r="AG596" s="16" t="s">
        <v>1850</v>
      </c>
      <c r="AH596" s="16" t="s">
        <v>3190</v>
      </c>
      <c r="AI596" s="16"/>
      <c r="AJ596" s="16"/>
      <c r="AK596" s="16"/>
      <c r="AL596" s="16" t="s">
        <v>4491</v>
      </c>
    </row>
    <row r="597" spans="1:38" x14ac:dyDescent="0.5">
      <c r="A597">
        <v>21754</v>
      </c>
      <c r="B597" s="16" t="s">
        <v>3643</v>
      </c>
      <c r="C597" s="16" t="s">
        <v>3643</v>
      </c>
      <c r="D597" s="16"/>
      <c r="E597" s="16" t="s">
        <v>6684</v>
      </c>
      <c r="F597" s="17" t="s">
        <v>6685</v>
      </c>
      <c r="G597" s="17" t="s">
        <v>6686</v>
      </c>
      <c r="H597" s="16" t="s">
        <v>1517</v>
      </c>
      <c r="I597" s="16" t="s">
        <v>6687</v>
      </c>
      <c r="J597" s="33">
        <v>42789</v>
      </c>
      <c r="K597" s="33">
        <v>43465</v>
      </c>
      <c r="L597" s="16" t="s">
        <v>66</v>
      </c>
      <c r="M597" s="16" t="s">
        <v>67</v>
      </c>
      <c r="N597" s="16" t="s">
        <v>68</v>
      </c>
      <c r="O597" s="16" t="s">
        <v>436</v>
      </c>
      <c r="P597" s="16" t="s">
        <v>572</v>
      </c>
      <c r="Q597" s="16" t="s">
        <v>71</v>
      </c>
      <c r="R597" s="17" t="s">
        <v>6688</v>
      </c>
      <c r="S597" s="16" t="s">
        <v>527</v>
      </c>
      <c r="T597" s="16" t="s">
        <v>74</v>
      </c>
      <c r="U597" s="16" t="s">
        <v>75</v>
      </c>
      <c r="V597" s="16" t="s">
        <v>6689</v>
      </c>
      <c r="W597" s="16" t="s">
        <v>6690</v>
      </c>
      <c r="X597" s="16" t="s">
        <v>529</v>
      </c>
      <c r="Y597" s="16" t="s">
        <v>78</v>
      </c>
      <c r="Z597" s="16" t="s">
        <v>207</v>
      </c>
      <c r="AA597" s="16" t="s">
        <v>208</v>
      </c>
      <c r="AB597" s="17" t="s">
        <v>6691</v>
      </c>
      <c r="AC597" s="16" t="s">
        <v>71</v>
      </c>
      <c r="AD597" s="17" t="s">
        <v>6691</v>
      </c>
      <c r="AG597" s="16" t="s">
        <v>3939</v>
      </c>
      <c r="AH597" s="16" t="s">
        <v>2297</v>
      </c>
      <c r="AI597" s="16" t="s">
        <v>4062</v>
      </c>
      <c r="AJ597" s="16"/>
      <c r="AK597" s="16"/>
      <c r="AL597" s="16" t="s">
        <v>1517</v>
      </c>
    </row>
    <row r="598" spans="1:38" x14ac:dyDescent="0.5">
      <c r="A598">
        <v>21756</v>
      </c>
      <c r="B598" s="16" t="s">
        <v>229</v>
      </c>
      <c r="C598" s="16" t="s">
        <v>229</v>
      </c>
      <c r="D598" s="16"/>
      <c r="E598" s="16" t="s">
        <v>3396</v>
      </c>
      <c r="F598" s="17" t="s">
        <v>6692</v>
      </c>
      <c r="H598" s="16" t="s">
        <v>6693</v>
      </c>
      <c r="I598" s="16" t="s">
        <v>6694</v>
      </c>
      <c r="J598" s="33">
        <v>42809</v>
      </c>
      <c r="K598" s="33">
        <v>43465</v>
      </c>
      <c r="L598" s="16" t="s">
        <v>66</v>
      </c>
      <c r="M598" s="16" t="s">
        <v>235</v>
      </c>
      <c r="N598" s="16" t="s">
        <v>236</v>
      </c>
      <c r="O598" s="16" t="s">
        <v>237</v>
      </c>
      <c r="P598" s="16" t="s">
        <v>572</v>
      </c>
      <c r="Q598" s="16" t="s">
        <v>71</v>
      </c>
      <c r="R598" s="17" t="s">
        <v>6695</v>
      </c>
      <c r="S598" s="16" t="s">
        <v>185</v>
      </c>
      <c r="T598" s="16" t="s">
        <v>74</v>
      </c>
      <c r="U598" s="16" t="s">
        <v>75</v>
      </c>
      <c r="V598" s="16" t="s">
        <v>6696</v>
      </c>
      <c r="W598" s="16" t="s">
        <v>6697</v>
      </c>
      <c r="X598" s="16" t="s">
        <v>6698</v>
      </c>
      <c r="Y598" s="16" t="s">
        <v>78</v>
      </c>
      <c r="Z598" s="16" t="s">
        <v>189</v>
      </c>
      <c r="AA598" s="16" t="s">
        <v>190</v>
      </c>
      <c r="AB598" s="17" t="s">
        <v>6699</v>
      </c>
      <c r="AC598" s="16" t="s">
        <v>71</v>
      </c>
      <c r="AD598" s="17" t="s">
        <v>6699</v>
      </c>
      <c r="AG598" s="16" t="s">
        <v>5818</v>
      </c>
      <c r="AH598" s="16" t="s">
        <v>2156</v>
      </c>
      <c r="AI598" s="16"/>
      <c r="AJ598" s="16"/>
      <c r="AK598" s="16"/>
      <c r="AL598" s="16" t="s">
        <v>6693</v>
      </c>
    </row>
    <row r="599" spans="1:38" x14ac:dyDescent="0.5">
      <c r="A599">
        <v>21757</v>
      </c>
      <c r="B599" s="16" t="s">
        <v>6700</v>
      </c>
      <c r="C599" s="16" t="s">
        <v>6700</v>
      </c>
      <c r="D599" s="16"/>
      <c r="E599" s="16" t="s">
        <v>6701</v>
      </c>
      <c r="F599" s="17" t="s">
        <v>6702</v>
      </c>
      <c r="G599" s="17" t="s">
        <v>6702</v>
      </c>
      <c r="H599" s="16" t="s">
        <v>6703</v>
      </c>
      <c r="I599" s="16" t="s">
        <v>6704</v>
      </c>
      <c r="J599" s="33">
        <v>42873</v>
      </c>
      <c r="K599" s="33">
        <v>43465</v>
      </c>
      <c r="L599" s="16" t="s">
        <v>66</v>
      </c>
      <c r="M599" s="16" t="s">
        <v>235</v>
      </c>
      <c r="N599" s="16" t="s">
        <v>236</v>
      </c>
      <c r="O599" s="16" t="s">
        <v>237</v>
      </c>
      <c r="P599" s="16" t="s">
        <v>572</v>
      </c>
      <c r="Q599" s="16" t="s">
        <v>71</v>
      </c>
      <c r="R599" s="17" t="s">
        <v>6705</v>
      </c>
      <c r="S599" s="16" t="s">
        <v>359</v>
      </c>
      <c r="T599" s="16" t="s">
        <v>74</v>
      </c>
      <c r="U599" s="16" t="s">
        <v>75</v>
      </c>
      <c r="V599" s="16" t="s">
        <v>6706</v>
      </c>
      <c r="W599" s="16"/>
      <c r="X599" s="16" t="s">
        <v>6707</v>
      </c>
      <c r="Y599" s="16" t="s">
        <v>78</v>
      </c>
      <c r="Z599" s="16" t="s">
        <v>242</v>
      </c>
      <c r="AA599" s="16" t="s">
        <v>243</v>
      </c>
      <c r="AB599" s="17" t="s">
        <v>8636</v>
      </c>
      <c r="AC599" s="16" t="s">
        <v>71</v>
      </c>
      <c r="AD599" s="17" t="s">
        <v>8636</v>
      </c>
      <c r="AG599" s="16" t="s">
        <v>1003</v>
      </c>
      <c r="AH599" s="16" t="s">
        <v>1259</v>
      </c>
      <c r="AI599" s="16"/>
      <c r="AJ599" s="16"/>
      <c r="AK599" s="16"/>
      <c r="AL599" s="16" t="s">
        <v>8637</v>
      </c>
    </row>
    <row r="600" spans="1:38" x14ac:dyDescent="0.5">
      <c r="A600">
        <v>21773</v>
      </c>
      <c r="B600" s="16" t="s">
        <v>6708</v>
      </c>
      <c r="C600" s="16" t="s">
        <v>6708</v>
      </c>
      <c r="D600" s="16"/>
      <c r="E600" s="16" t="s">
        <v>6709</v>
      </c>
      <c r="F600" s="17" t="s">
        <v>6710</v>
      </c>
      <c r="G600" s="17" t="s">
        <v>6711</v>
      </c>
      <c r="H600" s="16" t="s">
        <v>2257</v>
      </c>
      <c r="I600" s="16" t="s">
        <v>6712</v>
      </c>
      <c r="J600" s="33">
        <v>43325</v>
      </c>
      <c r="K600" s="33">
        <v>43690</v>
      </c>
      <c r="L600" s="16" t="s">
        <v>66</v>
      </c>
      <c r="M600" s="16" t="s">
        <v>67</v>
      </c>
      <c r="N600" s="16" t="s">
        <v>68</v>
      </c>
      <c r="O600" s="16" t="s">
        <v>436</v>
      </c>
      <c r="P600" s="16" t="s">
        <v>572</v>
      </c>
      <c r="Q600" s="16" t="s">
        <v>71</v>
      </c>
      <c r="R600" s="17" t="s">
        <v>6713</v>
      </c>
      <c r="S600" s="16" t="s">
        <v>1806</v>
      </c>
      <c r="T600" s="16" t="s">
        <v>74</v>
      </c>
      <c r="U600" s="16" t="s">
        <v>75</v>
      </c>
      <c r="V600" s="16" t="s">
        <v>6714</v>
      </c>
      <c r="W600" s="16"/>
      <c r="X600" s="16" t="s">
        <v>6715</v>
      </c>
      <c r="Y600" s="16" t="s">
        <v>78</v>
      </c>
      <c r="Z600" s="16" t="s">
        <v>963</v>
      </c>
      <c r="AA600" s="16" t="s">
        <v>964</v>
      </c>
      <c r="AB600" s="17" t="s">
        <v>6716</v>
      </c>
      <c r="AC600" s="16" t="s">
        <v>71</v>
      </c>
      <c r="AD600" s="17" t="s">
        <v>6716</v>
      </c>
      <c r="AG600" s="16" t="s">
        <v>1754</v>
      </c>
      <c r="AH600" s="16" t="s">
        <v>6717</v>
      </c>
      <c r="AI600" s="16"/>
      <c r="AJ600" s="16"/>
      <c r="AK600" s="16"/>
      <c r="AL600" s="16" t="s">
        <v>6718</v>
      </c>
    </row>
    <row r="601" spans="1:38" x14ac:dyDescent="0.5">
      <c r="A601">
        <v>21780</v>
      </c>
      <c r="B601" s="16" t="s">
        <v>4812</v>
      </c>
      <c r="C601" s="16" t="s">
        <v>4812</v>
      </c>
      <c r="D601" s="16"/>
      <c r="E601" s="16" t="s">
        <v>6720</v>
      </c>
      <c r="F601" s="17" t="s">
        <v>6721</v>
      </c>
      <c r="G601" s="17" t="s">
        <v>6722</v>
      </c>
      <c r="H601" s="16" t="s">
        <v>3183</v>
      </c>
      <c r="I601" s="16" t="s">
        <v>5837</v>
      </c>
      <c r="J601" s="33">
        <v>42837</v>
      </c>
      <c r="K601" s="33">
        <v>43465</v>
      </c>
      <c r="L601" s="16" t="s">
        <v>66</v>
      </c>
      <c r="M601" s="16" t="s">
        <v>67</v>
      </c>
      <c r="N601" s="16" t="s">
        <v>68</v>
      </c>
      <c r="O601" s="16" t="s">
        <v>436</v>
      </c>
      <c r="P601" s="16" t="s">
        <v>4047</v>
      </c>
      <c r="Q601" s="16" t="s">
        <v>71</v>
      </c>
      <c r="R601" s="17" t="s">
        <v>6723</v>
      </c>
      <c r="S601" s="16" t="s">
        <v>359</v>
      </c>
      <c r="T601" s="16" t="s">
        <v>74</v>
      </c>
      <c r="U601" s="16" t="s">
        <v>75</v>
      </c>
      <c r="V601" s="16" t="s">
        <v>6724</v>
      </c>
      <c r="W601" s="16"/>
      <c r="X601" s="16" t="s">
        <v>5377</v>
      </c>
      <c r="Y601" s="16" t="s">
        <v>78</v>
      </c>
      <c r="Z601" s="16" t="s">
        <v>242</v>
      </c>
      <c r="AA601" s="16" t="s">
        <v>243</v>
      </c>
      <c r="AB601" s="17" t="s">
        <v>6725</v>
      </c>
      <c r="AC601" s="16" t="s">
        <v>71</v>
      </c>
      <c r="AD601" s="17" t="s">
        <v>6725</v>
      </c>
      <c r="AE601" s="17" t="s">
        <v>6726</v>
      </c>
      <c r="AG601" s="16" t="s">
        <v>2108</v>
      </c>
      <c r="AH601" s="16" t="s">
        <v>653</v>
      </c>
      <c r="AI601" s="16"/>
      <c r="AJ601" s="16"/>
      <c r="AK601" s="16"/>
      <c r="AL601" s="16" t="s">
        <v>6727</v>
      </c>
    </row>
    <row r="602" spans="1:38" x14ac:dyDescent="0.5">
      <c r="A602">
        <v>21781</v>
      </c>
      <c r="B602" s="16" t="s">
        <v>2146</v>
      </c>
      <c r="C602" s="16" t="s">
        <v>2146</v>
      </c>
      <c r="D602" s="16" t="s">
        <v>340</v>
      </c>
      <c r="E602" s="16" t="s">
        <v>6728</v>
      </c>
      <c r="F602" s="17" t="s">
        <v>6729</v>
      </c>
      <c r="G602" s="17" t="s">
        <v>6730</v>
      </c>
      <c r="H602" s="16" t="s">
        <v>6731</v>
      </c>
      <c r="I602" s="16" t="s">
        <v>6732</v>
      </c>
      <c r="J602" s="33">
        <v>42849</v>
      </c>
      <c r="K602" s="33">
        <v>43465</v>
      </c>
      <c r="L602" s="16" t="s">
        <v>66</v>
      </c>
      <c r="M602" s="16" t="s">
        <v>67</v>
      </c>
      <c r="N602" s="16" t="s">
        <v>68</v>
      </c>
      <c r="O602" s="16" t="s">
        <v>436</v>
      </c>
      <c r="P602" s="16" t="s">
        <v>572</v>
      </c>
      <c r="Q602" s="16" t="s">
        <v>71</v>
      </c>
      <c r="R602" s="17" t="s">
        <v>6733</v>
      </c>
      <c r="S602" s="16" t="s">
        <v>6734</v>
      </c>
      <c r="T602" s="16" t="s">
        <v>4146</v>
      </c>
      <c r="U602" s="16" t="s">
        <v>4147</v>
      </c>
      <c r="V602" s="16" t="s">
        <v>6735</v>
      </c>
      <c r="W602" s="16"/>
      <c r="X602" s="16" t="s">
        <v>6736</v>
      </c>
      <c r="Y602" s="16" t="s">
        <v>4151</v>
      </c>
      <c r="Z602" s="16"/>
      <c r="AA602" s="16"/>
      <c r="AB602" s="17" t="s">
        <v>6737</v>
      </c>
      <c r="AC602" s="16" t="s">
        <v>71</v>
      </c>
      <c r="AD602" s="17" t="s">
        <v>6737</v>
      </c>
      <c r="AF602" s="17" t="s">
        <v>6738</v>
      </c>
      <c r="AG602" s="16" t="s">
        <v>6739</v>
      </c>
      <c r="AH602" s="16" t="s">
        <v>1345</v>
      </c>
      <c r="AI602" s="16"/>
      <c r="AJ602" s="16"/>
      <c r="AK602" s="16"/>
      <c r="AL602" s="16" t="s">
        <v>6731</v>
      </c>
    </row>
    <row r="603" spans="1:38" x14ac:dyDescent="0.5">
      <c r="A603">
        <v>21783</v>
      </c>
      <c r="B603" s="16" t="s">
        <v>5164</v>
      </c>
      <c r="C603" s="16" t="s">
        <v>6740</v>
      </c>
      <c r="D603" s="16"/>
      <c r="E603" s="16" t="s">
        <v>6741</v>
      </c>
      <c r="F603" s="17" t="s">
        <v>6742</v>
      </c>
      <c r="G603" s="17" t="s">
        <v>6743</v>
      </c>
      <c r="H603" s="16" t="s">
        <v>4999</v>
      </c>
      <c r="I603" s="16" t="s">
        <v>6744</v>
      </c>
      <c r="J603" s="33">
        <v>42838</v>
      </c>
      <c r="K603" s="33">
        <v>43465</v>
      </c>
      <c r="L603" s="16" t="s">
        <v>66</v>
      </c>
      <c r="M603" s="16" t="s">
        <v>67</v>
      </c>
      <c r="N603" s="16" t="s">
        <v>68</v>
      </c>
      <c r="O603" s="16" t="s">
        <v>436</v>
      </c>
      <c r="P603" s="16" t="s">
        <v>572</v>
      </c>
      <c r="Q603" s="16" t="s">
        <v>71</v>
      </c>
      <c r="R603" s="17" t="s">
        <v>6745</v>
      </c>
      <c r="S603" s="16" t="s">
        <v>6746</v>
      </c>
      <c r="T603" s="16" t="s">
        <v>74</v>
      </c>
      <c r="U603" s="16" t="s">
        <v>75</v>
      </c>
      <c r="V603" s="16" t="s">
        <v>6747</v>
      </c>
      <c r="W603" s="16"/>
      <c r="X603" s="16" t="s">
        <v>6748</v>
      </c>
      <c r="Y603" s="16" t="s">
        <v>78</v>
      </c>
      <c r="Z603" s="16" t="s">
        <v>132</v>
      </c>
      <c r="AA603" s="16" t="s">
        <v>133</v>
      </c>
      <c r="AB603" s="17" t="s">
        <v>6749</v>
      </c>
      <c r="AC603" s="16" t="s">
        <v>71</v>
      </c>
      <c r="AD603" s="17" t="s">
        <v>6749</v>
      </c>
      <c r="AF603" s="17" t="s">
        <v>6750</v>
      </c>
      <c r="AG603" s="16" t="s">
        <v>2093</v>
      </c>
      <c r="AH603" s="16" t="s">
        <v>4235</v>
      </c>
      <c r="AI603" s="16"/>
      <c r="AJ603" s="16"/>
      <c r="AK603" s="16"/>
      <c r="AL603" s="16" t="s">
        <v>4999</v>
      </c>
    </row>
    <row r="604" spans="1:38" x14ac:dyDescent="0.5">
      <c r="A604">
        <v>21786</v>
      </c>
      <c r="B604" s="16" t="s">
        <v>6751</v>
      </c>
      <c r="C604" s="16" t="s">
        <v>6751</v>
      </c>
      <c r="D604" s="16"/>
      <c r="E604" s="16" t="s">
        <v>6752</v>
      </c>
      <c r="F604" s="17" t="s">
        <v>6753</v>
      </c>
      <c r="G604" s="17" t="s">
        <v>6754</v>
      </c>
      <c r="H604" s="16" t="s">
        <v>2400</v>
      </c>
      <c r="I604" s="16" t="s">
        <v>6755</v>
      </c>
      <c r="J604" s="33">
        <v>42856</v>
      </c>
      <c r="K604" s="33">
        <v>43465</v>
      </c>
      <c r="L604" s="16" t="s">
        <v>66</v>
      </c>
      <c r="M604" s="16" t="s">
        <v>67</v>
      </c>
      <c r="N604" s="16" t="s">
        <v>68</v>
      </c>
      <c r="O604" s="16" t="s">
        <v>436</v>
      </c>
      <c r="P604" s="16" t="s">
        <v>572</v>
      </c>
      <c r="Q604" s="16" t="s">
        <v>71</v>
      </c>
      <c r="R604" s="17" t="s">
        <v>6756</v>
      </c>
      <c r="S604" s="16" t="s">
        <v>6757</v>
      </c>
      <c r="T604" s="16" t="s">
        <v>74</v>
      </c>
      <c r="U604" s="16" t="s">
        <v>75</v>
      </c>
      <c r="V604" s="16" t="s">
        <v>6758</v>
      </c>
      <c r="W604" s="16"/>
      <c r="X604" s="16" t="s">
        <v>6759</v>
      </c>
      <c r="Y604" s="16" t="s">
        <v>78</v>
      </c>
      <c r="Z604" s="16" t="s">
        <v>242</v>
      </c>
      <c r="AA604" s="16" t="s">
        <v>243</v>
      </c>
      <c r="AB604" s="17" t="s">
        <v>6760</v>
      </c>
      <c r="AC604" s="16" t="s">
        <v>71</v>
      </c>
      <c r="AD604" s="17" t="s">
        <v>6760</v>
      </c>
      <c r="AF604" s="17" t="s">
        <v>6761</v>
      </c>
      <c r="AG604" s="16" t="s">
        <v>1488</v>
      </c>
      <c r="AH604" s="16" t="s">
        <v>1754</v>
      </c>
      <c r="AI604" s="16"/>
      <c r="AJ604" s="16"/>
      <c r="AK604" s="16"/>
      <c r="AL604" s="16" t="s">
        <v>2400</v>
      </c>
    </row>
    <row r="605" spans="1:38" x14ac:dyDescent="0.5">
      <c r="A605">
        <v>21787</v>
      </c>
      <c r="B605" s="16" t="s">
        <v>6762</v>
      </c>
      <c r="C605" s="16" t="s">
        <v>6762</v>
      </c>
      <c r="D605" s="16"/>
      <c r="E605" s="16" t="s">
        <v>6763</v>
      </c>
      <c r="F605" s="17" t="s">
        <v>6764</v>
      </c>
      <c r="G605" s="17" t="s">
        <v>6765</v>
      </c>
      <c r="H605" s="16" t="s">
        <v>456</v>
      </c>
      <c r="I605" s="16" t="s">
        <v>6766</v>
      </c>
      <c r="J605" s="33">
        <v>42915</v>
      </c>
      <c r="K605" s="33">
        <v>43465</v>
      </c>
      <c r="L605" s="16" t="s">
        <v>66</v>
      </c>
      <c r="M605" s="16" t="s">
        <v>67</v>
      </c>
      <c r="N605" s="16" t="s">
        <v>68</v>
      </c>
      <c r="O605" s="16" t="s">
        <v>436</v>
      </c>
      <c r="P605" s="16" t="s">
        <v>572</v>
      </c>
      <c r="Q605" s="16" t="s">
        <v>495</v>
      </c>
      <c r="R605" s="17" t="s">
        <v>6767</v>
      </c>
      <c r="S605" s="16" t="s">
        <v>6768</v>
      </c>
      <c r="T605" s="16" t="s">
        <v>74</v>
      </c>
      <c r="U605" s="16" t="s">
        <v>75</v>
      </c>
      <c r="V605" s="16" t="s">
        <v>6769</v>
      </c>
      <c r="W605" s="16"/>
      <c r="X605" s="16" t="s">
        <v>6770</v>
      </c>
      <c r="Y605" s="16" t="s">
        <v>78</v>
      </c>
      <c r="Z605" s="16" t="s">
        <v>296</v>
      </c>
      <c r="AA605" s="16" t="s">
        <v>297</v>
      </c>
      <c r="AB605" s="17" t="s">
        <v>6771</v>
      </c>
      <c r="AC605" s="16" t="s">
        <v>71</v>
      </c>
      <c r="AD605" s="17" t="s">
        <v>6771</v>
      </c>
      <c r="AF605" s="17" t="s">
        <v>6772</v>
      </c>
      <c r="AG605" s="16" t="s">
        <v>2817</v>
      </c>
      <c r="AH605" s="16" t="s">
        <v>2094</v>
      </c>
      <c r="AI605" s="16"/>
      <c r="AJ605" s="16"/>
      <c r="AK605" s="16"/>
      <c r="AL605" s="16" t="s">
        <v>6773</v>
      </c>
    </row>
    <row r="606" spans="1:38" x14ac:dyDescent="0.5">
      <c r="A606">
        <v>21788</v>
      </c>
      <c r="B606" s="16" t="s">
        <v>6774</v>
      </c>
      <c r="C606" s="16" t="s">
        <v>59</v>
      </c>
      <c r="D606" s="16" t="s">
        <v>85</v>
      </c>
      <c r="E606" s="16" t="s">
        <v>3864</v>
      </c>
      <c r="F606" s="17" t="s">
        <v>6775</v>
      </c>
      <c r="H606" s="16" t="s">
        <v>6776</v>
      </c>
      <c r="I606" s="16" t="s">
        <v>6777</v>
      </c>
      <c r="J606" s="33">
        <v>42837</v>
      </c>
      <c r="K606" s="33">
        <v>43465</v>
      </c>
      <c r="L606" s="16" t="s">
        <v>66</v>
      </c>
      <c r="M606" s="16" t="s">
        <v>90</v>
      </c>
      <c r="N606" s="16" t="s">
        <v>91</v>
      </c>
      <c r="O606" s="16" t="s">
        <v>91</v>
      </c>
      <c r="P606" s="16" t="s">
        <v>572</v>
      </c>
      <c r="Q606" s="16" t="s">
        <v>71</v>
      </c>
      <c r="R606" s="17" t="s">
        <v>6778</v>
      </c>
      <c r="S606" s="16" t="s">
        <v>6779</v>
      </c>
      <c r="T606" s="16" t="s">
        <v>74</v>
      </c>
      <c r="U606" s="16" t="s">
        <v>75</v>
      </c>
      <c r="V606" s="16" t="s">
        <v>6780</v>
      </c>
      <c r="W606" s="16"/>
      <c r="X606" s="16" t="s">
        <v>6781</v>
      </c>
      <c r="Y606" s="16" t="s">
        <v>78</v>
      </c>
      <c r="Z606" s="16" t="s">
        <v>172</v>
      </c>
      <c r="AA606" s="16" t="s">
        <v>173</v>
      </c>
      <c r="AB606" s="17" t="s">
        <v>6782</v>
      </c>
      <c r="AC606" s="16" t="s">
        <v>71</v>
      </c>
      <c r="AD606" s="17" t="s">
        <v>6782</v>
      </c>
      <c r="AG606" s="16" t="s">
        <v>1850</v>
      </c>
      <c r="AH606" s="16" t="s">
        <v>3190</v>
      </c>
      <c r="AI606" s="16"/>
      <c r="AJ606" s="16"/>
      <c r="AK606" s="16"/>
      <c r="AL606" s="16" t="s">
        <v>6776</v>
      </c>
    </row>
    <row r="607" spans="1:38" x14ac:dyDescent="0.5">
      <c r="A607">
        <v>21789</v>
      </c>
      <c r="B607" s="16" t="s">
        <v>229</v>
      </c>
      <c r="C607" s="16" t="s">
        <v>229</v>
      </c>
      <c r="D607" s="16"/>
      <c r="E607" s="16" t="s">
        <v>6783</v>
      </c>
      <c r="F607" s="17" t="s">
        <v>6784</v>
      </c>
      <c r="H607" s="16" t="s">
        <v>3356</v>
      </c>
      <c r="I607" s="16" t="s">
        <v>6785</v>
      </c>
      <c r="J607" s="33">
        <v>42921</v>
      </c>
      <c r="K607" s="33">
        <v>43465</v>
      </c>
      <c r="L607" s="16" t="s">
        <v>66</v>
      </c>
      <c r="M607" s="16" t="s">
        <v>235</v>
      </c>
      <c r="N607" s="16" t="s">
        <v>236</v>
      </c>
      <c r="O607" s="16" t="s">
        <v>237</v>
      </c>
      <c r="P607" s="16" t="s">
        <v>572</v>
      </c>
      <c r="Q607" s="16" t="s">
        <v>71</v>
      </c>
      <c r="R607" s="17" t="s">
        <v>6786</v>
      </c>
      <c r="S607" s="16" t="s">
        <v>5254</v>
      </c>
      <c r="T607" s="16" t="s">
        <v>242</v>
      </c>
      <c r="U607" s="16" t="s">
        <v>1633</v>
      </c>
      <c r="V607" s="16" t="s">
        <v>6787</v>
      </c>
      <c r="W607" s="16" t="s">
        <v>6788</v>
      </c>
      <c r="X607" s="16" t="s">
        <v>6789</v>
      </c>
      <c r="Y607" s="16" t="s">
        <v>1633</v>
      </c>
      <c r="Z607" s="16" t="s">
        <v>1750</v>
      </c>
      <c r="AA607" s="16" t="s">
        <v>1751</v>
      </c>
      <c r="AB607" s="17" t="s">
        <v>6790</v>
      </c>
      <c r="AC607" s="16" t="s">
        <v>71</v>
      </c>
      <c r="AD607" s="17" t="s">
        <v>6790</v>
      </c>
      <c r="AE607" s="17" t="s">
        <v>6791</v>
      </c>
      <c r="AF607" s="17" t="s">
        <v>6792</v>
      </c>
      <c r="AG607" s="16" t="s">
        <v>3531</v>
      </c>
      <c r="AH607" s="16" t="s">
        <v>5917</v>
      </c>
      <c r="AI607" s="16"/>
      <c r="AJ607" s="16"/>
      <c r="AK607" s="16"/>
      <c r="AL607" s="16" t="s">
        <v>3356</v>
      </c>
    </row>
    <row r="608" spans="1:38" x14ac:dyDescent="0.5">
      <c r="A608">
        <v>21803</v>
      </c>
      <c r="B608" s="16" t="s">
        <v>1150</v>
      </c>
      <c r="C608" s="16" t="s">
        <v>1150</v>
      </c>
      <c r="D608" s="16"/>
      <c r="E608" s="16" t="s">
        <v>8638</v>
      </c>
      <c r="F608" s="17" t="s">
        <v>8639</v>
      </c>
      <c r="H608" s="16" t="s">
        <v>8640</v>
      </c>
      <c r="I608" s="16" t="s">
        <v>1791</v>
      </c>
      <c r="J608" s="33">
        <v>43354</v>
      </c>
      <c r="K608" s="33">
        <v>43719</v>
      </c>
      <c r="L608" s="16" t="s">
        <v>66</v>
      </c>
      <c r="M608" s="16" t="s">
        <v>167</v>
      </c>
      <c r="N608" s="16" t="s">
        <v>110</v>
      </c>
      <c r="O608" s="16" t="s">
        <v>280</v>
      </c>
      <c r="P608" s="16" t="s">
        <v>572</v>
      </c>
      <c r="Q608" s="16" t="s">
        <v>71</v>
      </c>
      <c r="R608" s="17" t="s">
        <v>1793</v>
      </c>
      <c r="S608" s="16" t="s">
        <v>113</v>
      </c>
      <c r="T608" s="16" t="s">
        <v>74</v>
      </c>
      <c r="U608" s="16" t="s">
        <v>75</v>
      </c>
      <c r="V608" s="16" t="s">
        <v>1794</v>
      </c>
      <c r="W608" s="16"/>
      <c r="X608" s="16" t="s">
        <v>1795</v>
      </c>
      <c r="Y608" s="16" t="s">
        <v>78</v>
      </c>
      <c r="Z608" s="16" t="s">
        <v>117</v>
      </c>
      <c r="AA608" s="16" t="s">
        <v>113</v>
      </c>
      <c r="AB608" s="17" t="s">
        <v>8641</v>
      </c>
      <c r="AC608" s="16" t="s">
        <v>71</v>
      </c>
      <c r="AD608" s="17" t="s">
        <v>8641</v>
      </c>
      <c r="AF608" s="17" t="s">
        <v>8642</v>
      </c>
      <c r="AG608" s="16" t="s">
        <v>1612</v>
      </c>
      <c r="AH608" s="16" t="s">
        <v>8643</v>
      </c>
      <c r="AI608" s="16"/>
      <c r="AJ608" s="16"/>
      <c r="AK608" s="16"/>
      <c r="AL608" s="16" t="s">
        <v>8644</v>
      </c>
    </row>
    <row r="609" spans="1:38" x14ac:dyDescent="0.5">
      <c r="A609">
        <v>21806</v>
      </c>
      <c r="B609" s="16" t="s">
        <v>6793</v>
      </c>
      <c r="C609" s="16" t="s">
        <v>6793</v>
      </c>
      <c r="D609" s="16"/>
      <c r="E609" s="16" t="s">
        <v>6794</v>
      </c>
      <c r="F609" s="17" t="s">
        <v>6795</v>
      </c>
      <c r="G609" s="17" t="s">
        <v>6796</v>
      </c>
      <c r="H609" s="16" t="s">
        <v>3356</v>
      </c>
      <c r="I609" s="16" t="s">
        <v>6797</v>
      </c>
      <c r="J609" s="33">
        <v>42837</v>
      </c>
      <c r="K609" s="33">
        <v>43465</v>
      </c>
      <c r="L609" s="16" t="s">
        <v>66</v>
      </c>
      <c r="M609" s="16" t="s">
        <v>67</v>
      </c>
      <c r="N609" s="16" t="s">
        <v>68</v>
      </c>
      <c r="O609" s="16" t="s">
        <v>436</v>
      </c>
      <c r="P609" s="16" t="s">
        <v>572</v>
      </c>
      <c r="Q609" s="16" t="s">
        <v>71</v>
      </c>
      <c r="R609" s="17" t="s">
        <v>6798</v>
      </c>
      <c r="S609" s="16" t="s">
        <v>6799</v>
      </c>
      <c r="T609" s="16" t="s">
        <v>74</v>
      </c>
      <c r="U609" s="16" t="s">
        <v>75</v>
      </c>
      <c r="V609" s="16" t="s">
        <v>6800</v>
      </c>
      <c r="W609" s="16"/>
      <c r="X609" s="16" t="s">
        <v>6801</v>
      </c>
      <c r="Y609" s="16" t="s">
        <v>78</v>
      </c>
      <c r="Z609" s="16" t="s">
        <v>270</v>
      </c>
      <c r="AA609" s="16" t="s">
        <v>271</v>
      </c>
      <c r="AB609" s="17" t="s">
        <v>6802</v>
      </c>
      <c r="AC609" s="16" t="s">
        <v>71</v>
      </c>
      <c r="AD609" s="17" t="s">
        <v>6802</v>
      </c>
      <c r="AF609" s="17" t="s">
        <v>6803</v>
      </c>
      <c r="AG609" s="16" t="s">
        <v>3190</v>
      </c>
      <c r="AH609" s="16" t="s">
        <v>6804</v>
      </c>
      <c r="AI609" s="16"/>
      <c r="AJ609" s="16"/>
      <c r="AK609" s="16"/>
      <c r="AL609" s="16" t="s">
        <v>3356</v>
      </c>
    </row>
    <row r="610" spans="1:38" x14ac:dyDescent="0.5">
      <c r="A610">
        <v>21807</v>
      </c>
      <c r="B610" s="16" t="s">
        <v>6805</v>
      </c>
      <c r="C610" s="16" t="s">
        <v>805</v>
      </c>
      <c r="D610" s="16"/>
      <c r="E610" s="16" t="s">
        <v>6806</v>
      </c>
      <c r="F610" s="17" t="s">
        <v>6807</v>
      </c>
      <c r="H610" s="16" t="s">
        <v>6808</v>
      </c>
      <c r="I610" s="16" t="s">
        <v>6809</v>
      </c>
      <c r="J610" s="33">
        <v>42873</v>
      </c>
      <c r="K610" s="33">
        <v>43465</v>
      </c>
      <c r="L610" s="16" t="s">
        <v>66</v>
      </c>
      <c r="M610" s="16" t="s">
        <v>235</v>
      </c>
      <c r="N610" s="16" t="s">
        <v>236</v>
      </c>
      <c r="O610" s="16" t="s">
        <v>237</v>
      </c>
      <c r="P610" s="16" t="s">
        <v>572</v>
      </c>
      <c r="Q610" s="16" t="s">
        <v>71</v>
      </c>
      <c r="R610" s="17" t="s">
        <v>6810</v>
      </c>
      <c r="S610" s="16" t="s">
        <v>662</v>
      </c>
      <c r="T610" s="16" t="s">
        <v>74</v>
      </c>
      <c r="U610" s="16" t="s">
        <v>75</v>
      </c>
      <c r="V610" s="16" t="s">
        <v>6811</v>
      </c>
      <c r="W610" s="16" t="s">
        <v>6812</v>
      </c>
      <c r="X610" s="16" t="s">
        <v>1601</v>
      </c>
      <c r="Y610" s="16" t="s">
        <v>78</v>
      </c>
      <c r="Z610" s="16" t="s">
        <v>666</v>
      </c>
      <c r="AA610" s="16" t="s">
        <v>667</v>
      </c>
      <c r="AB610" s="17" t="s">
        <v>6813</v>
      </c>
      <c r="AC610" s="16" t="s">
        <v>71</v>
      </c>
      <c r="AD610" s="17" t="s">
        <v>6813</v>
      </c>
      <c r="AF610" s="17" t="s">
        <v>8645</v>
      </c>
      <c r="AG610" s="16" t="s">
        <v>2156</v>
      </c>
      <c r="AH610" s="16" t="s">
        <v>3414</v>
      </c>
      <c r="AI610" s="16"/>
      <c r="AJ610" s="16"/>
      <c r="AK610" s="16"/>
      <c r="AL610" s="16" t="s">
        <v>6808</v>
      </c>
    </row>
    <row r="611" spans="1:38" x14ac:dyDescent="0.5">
      <c r="A611">
        <v>21808</v>
      </c>
      <c r="B611" s="16" t="s">
        <v>626</v>
      </c>
      <c r="C611" s="16" t="s">
        <v>626</v>
      </c>
      <c r="D611" s="16" t="s">
        <v>581</v>
      </c>
      <c r="E611" s="16" t="s">
        <v>6814</v>
      </c>
      <c r="F611" s="17" t="s">
        <v>6815</v>
      </c>
      <c r="H611" s="16" t="s">
        <v>6816</v>
      </c>
      <c r="I611" s="16" t="s">
        <v>6817</v>
      </c>
      <c r="J611" s="33">
        <v>42837</v>
      </c>
      <c r="K611" s="33">
        <v>43465</v>
      </c>
      <c r="L611" s="16" t="s">
        <v>66</v>
      </c>
      <c r="M611" s="16" t="s">
        <v>90</v>
      </c>
      <c r="N611" s="16" t="s">
        <v>91</v>
      </c>
      <c r="O611" s="16" t="s">
        <v>91</v>
      </c>
      <c r="P611" s="16" t="s">
        <v>572</v>
      </c>
      <c r="Q611" s="16" t="s">
        <v>71</v>
      </c>
      <c r="R611" s="17" t="s">
        <v>6818</v>
      </c>
      <c r="S611" s="16" t="s">
        <v>5520</v>
      </c>
      <c r="T611" s="16" t="s">
        <v>74</v>
      </c>
      <c r="U611" s="16" t="s">
        <v>75</v>
      </c>
      <c r="V611" s="16" t="s">
        <v>6819</v>
      </c>
      <c r="W611" s="16"/>
      <c r="X611" s="16" t="s">
        <v>6820</v>
      </c>
      <c r="Y611" s="16" t="s">
        <v>78</v>
      </c>
      <c r="Z611" s="16" t="s">
        <v>963</v>
      </c>
      <c r="AA611" s="16" t="s">
        <v>964</v>
      </c>
      <c r="AB611" s="17" t="s">
        <v>6821</v>
      </c>
      <c r="AC611" s="16" t="s">
        <v>71</v>
      </c>
      <c r="AD611" s="17" t="s">
        <v>6821</v>
      </c>
      <c r="AG611" s="16" t="s">
        <v>1637</v>
      </c>
      <c r="AH611" s="16" t="s">
        <v>6822</v>
      </c>
      <c r="AI611" s="16"/>
      <c r="AJ611" s="16"/>
      <c r="AK611" s="16"/>
      <c r="AL611" s="16" t="s">
        <v>6511</v>
      </c>
    </row>
    <row r="612" spans="1:38" x14ac:dyDescent="0.5">
      <c r="A612">
        <v>21809</v>
      </c>
      <c r="B612" s="16" t="s">
        <v>566</v>
      </c>
      <c r="C612" s="16" t="s">
        <v>566</v>
      </c>
      <c r="D612" s="16" t="s">
        <v>85</v>
      </c>
      <c r="E612" s="16" t="s">
        <v>6823</v>
      </c>
      <c r="F612" s="17" t="s">
        <v>6824</v>
      </c>
      <c r="G612" s="17" t="s">
        <v>6824</v>
      </c>
      <c r="H612" s="16" t="s">
        <v>6825</v>
      </c>
      <c r="I612" s="16" t="s">
        <v>155</v>
      </c>
      <c r="J612" s="33">
        <v>35796</v>
      </c>
      <c r="K612" s="33">
        <v>43465</v>
      </c>
      <c r="L612" s="16" t="s">
        <v>66</v>
      </c>
      <c r="M612" s="16" t="s">
        <v>67</v>
      </c>
      <c r="N612" s="16" t="s">
        <v>68</v>
      </c>
      <c r="O612" s="16" t="s">
        <v>111</v>
      </c>
      <c r="P612" s="16" t="s">
        <v>70</v>
      </c>
      <c r="Q612" s="16" t="s">
        <v>71</v>
      </c>
      <c r="R612" s="17" t="s">
        <v>6826</v>
      </c>
      <c r="S612" s="16" t="s">
        <v>113</v>
      </c>
      <c r="T612" s="16" t="s">
        <v>74</v>
      </c>
      <c r="U612" s="16" t="s">
        <v>75</v>
      </c>
      <c r="V612" s="16" t="s">
        <v>6827</v>
      </c>
      <c r="W612" s="16" t="s">
        <v>6828</v>
      </c>
      <c r="X612" s="16" t="s">
        <v>116</v>
      </c>
      <c r="Y612" s="16" t="s">
        <v>78</v>
      </c>
      <c r="Z612" s="16" t="s">
        <v>117</v>
      </c>
      <c r="AA612" s="16" t="s">
        <v>113</v>
      </c>
      <c r="AB612" s="17" t="s">
        <v>6829</v>
      </c>
      <c r="AC612" s="16" t="s">
        <v>71</v>
      </c>
      <c r="AD612" s="17" t="s">
        <v>6829</v>
      </c>
      <c r="AE612" s="17" t="s">
        <v>6829</v>
      </c>
      <c r="AF612" s="17" t="s">
        <v>6830</v>
      </c>
      <c r="AG612" s="16"/>
      <c r="AH612" s="16"/>
      <c r="AI612" s="16"/>
      <c r="AJ612" s="16"/>
      <c r="AK612" s="16"/>
      <c r="AL612" s="16" t="s">
        <v>6831</v>
      </c>
    </row>
    <row r="613" spans="1:38" x14ac:dyDescent="0.5">
      <c r="A613">
        <v>21810</v>
      </c>
      <c r="B613" s="16" t="s">
        <v>6832</v>
      </c>
      <c r="C613" s="16" t="s">
        <v>6832</v>
      </c>
      <c r="D613" s="16"/>
      <c r="E613" s="16" t="s">
        <v>6833</v>
      </c>
      <c r="F613" s="17" t="s">
        <v>6834</v>
      </c>
      <c r="H613" s="16" t="s">
        <v>3379</v>
      </c>
      <c r="I613" s="16" t="s">
        <v>6835</v>
      </c>
      <c r="J613" s="33">
        <v>42850</v>
      </c>
      <c r="K613" s="33">
        <v>43465</v>
      </c>
      <c r="L613" s="16" t="s">
        <v>66</v>
      </c>
      <c r="M613" s="16" t="s">
        <v>67</v>
      </c>
      <c r="N613" s="16" t="s">
        <v>68</v>
      </c>
      <c r="O613" s="16" t="s">
        <v>436</v>
      </c>
      <c r="P613" s="16" t="s">
        <v>572</v>
      </c>
      <c r="Q613" s="16" t="s">
        <v>71</v>
      </c>
      <c r="R613" s="17" t="s">
        <v>6836</v>
      </c>
      <c r="S613" s="16" t="s">
        <v>6837</v>
      </c>
      <c r="T613" s="16" t="s">
        <v>74</v>
      </c>
      <c r="U613" s="16" t="s">
        <v>75</v>
      </c>
      <c r="V613" s="16" t="s">
        <v>6838</v>
      </c>
      <c r="W613" s="16" t="s">
        <v>6839</v>
      </c>
      <c r="X613" s="16" t="s">
        <v>6840</v>
      </c>
      <c r="Y613" s="16" t="s">
        <v>78</v>
      </c>
      <c r="Z613" s="16" t="s">
        <v>242</v>
      </c>
      <c r="AA613" s="16" t="s">
        <v>243</v>
      </c>
      <c r="AB613" s="17" t="s">
        <v>6841</v>
      </c>
      <c r="AC613" s="16" t="s">
        <v>71</v>
      </c>
      <c r="AD613" s="17" t="s">
        <v>6841</v>
      </c>
      <c r="AG613" s="16" t="s">
        <v>3540</v>
      </c>
      <c r="AH613" s="16" t="s">
        <v>2297</v>
      </c>
      <c r="AI613" s="16"/>
      <c r="AJ613" s="16"/>
      <c r="AK613" s="16"/>
      <c r="AL613" s="16"/>
    </row>
    <row r="614" spans="1:38" x14ac:dyDescent="0.5">
      <c r="A614">
        <v>21812</v>
      </c>
      <c r="B614" s="16" t="s">
        <v>6842</v>
      </c>
      <c r="C614" s="16" t="s">
        <v>6842</v>
      </c>
      <c r="D614" s="16"/>
      <c r="E614" s="16" t="s">
        <v>6843</v>
      </c>
      <c r="F614" s="17" t="s">
        <v>6844</v>
      </c>
      <c r="H614" s="16" t="s">
        <v>6845</v>
      </c>
      <c r="I614" s="16" t="s">
        <v>6846</v>
      </c>
      <c r="J614" s="33">
        <v>43321</v>
      </c>
      <c r="K614" s="33">
        <v>43686</v>
      </c>
      <c r="L614" s="16" t="s">
        <v>66</v>
      </c>
      <c r="M614" s="16" t="s">
        <v>67</v>
      </c>
      <c r="N614" s="16" t="s">
        <v>68</v>
      </c>
      <c r="O614" s="16" t="s">
        <v>202</v>
      </c>
      <c r="P614" s="16"/>
      <c r="Q614" s="16" t="s">
        <v>495</v>
      </c>
      <c r="R614" s="17" t="s">
        <v>6847</v>
      </c>
      <c r="S614" s="16" t="s">
        <v>6848</v>
      </c>
      <c r="T614" s="16" t="s">
        <v>74</v>
      </c>
      <c r="U614" s="16" t="s">
        <v>75</v>
      </c>
      <c r="V614" s="16" t="s">
        <v>6849</v>
      </c>
      <c r="W614" s="16"/>
      <c r="X614" s="16" t="s">
        <v>6850</v>
      </c>
      <c r="Y614" s="16" t="s">
        <v>78</v>
      </c>
      <c r="Z614" s="16" t="s">
        <v>242</v>
      </c>
      <c r="AA614" s="16" t="s">
        <v>243</v>
      </c>
      <c r="AB614" s="17" t="s">
        <v>6851</v>
      </c>
      <c r="AC614" s="16" t="s">
        <v>71</v>
      </c>
      <c r="AD614" s="17" t="s">
        <v>6851</v>
      </c>
      <c r="AG614" s="16"/>
      <c r="AH614" s="16"/>
      <c r="AI614" s="16"/>
      <c r="AJ614" s="16"/>
      <c r="AK614" s="16"/>
      <c r="AL614" s="16"/>
    </row>
    <row r="615" spans="1:38" x14ac:dyDescent="0.5">
      <c r="A615">
        <v>21813</v>
      </c>
      <c r="B615" s="16" t="s">
        <v>6852</v>
      </c>
      <c r="C615" s="16" t="s">
        <v>6852</v>
      </c>
      <c r="D615" s="16"/>
      <c r="E615" s="16" t="s">
        <v>6853</v>
      </c>
      <c r="F615" s="17" t="s">
        <v>6854</v>
      </c>
      <c r="G615" s="17" t="s">
        <v>6855</v>
      </c>
      <c r="H615" s="16" t="s">
        <v>2328</v>
      </c>
      <c r="I615" s="16" t="s">
        <v>6856</v>
      </c>
      <c r="J615" s="33">
        <v>42850</v>
      </c>
      <c r="K615" s="33">
        <v>43465</v>
      </c>
      <c r="L615" s="16" t="s">
        <v>66</v>
      </c>
      <c r="M615" s="16" t="s">
        <v>235</v>
      </c>
      <c r="N615" s="16" t="s">
        <v>236</v>
      </c>
      <c r="O615" s="16" t="s">
        <v>237</v>
      </c>
      <c r="P615" s="16" t="s">
        <v>572</v>
      </c>
      <c r="Q615" s="16" t="s">
        <v>71</v>
      </c>
      <c r="R615" s="17" t="s">
        <v>6857</v>
      </c>
      <c r="S615" s="16" t="s">
        <v>113</v>
      </c>
      <c r="T615" s="16" t="s">
        <v>74</v>
      </c>
      <c r="U615" s="16" t="s">
        <v>75</v>
      </c>
      <c r="V615" s="16" t="s">
        <v>6858</v>
      </c>
      <c r="W615" s="16" t="s">
        <v>6859</v>
      </c>
      <c r="X615" s="16" t="s">
        <v>1556</v>
      </c>
      <c r="Y615" s="16" t="s">
        <v>78</v>
      </c>
      <c r="Z615" s="16" t="s">
        <v>117</v>
      </c>
      <c r="AA615" s="16" t="s">
        <v>113</v>
      </c>
      <c r="AB615" s="17" t="s">
        <v>6860</v>
      </c>
      <c r="AC615" s="16" t="s">
        <v>71</v>
      </c>
      <c r="AD615" s="17" t="s">
        <v>6860</v>
      </c>
      <c r="AF615" s="17" t="s">
        <v>6861</v>
      </c>
      <c r="AG615" s="16" t="s">
        <v>6862</v>
      </c>
      <c r="AH615" s="16" t="s">
        <v>579</v>
      </c>
      <c r="AI615" s="16"/>
      <c r="AJ615" s="16"/>
      <c r="AK615" s="16"/>
      <c r="AL615" s="16"/>
    </row>
    <row r="616" spans="1:38" x14ac:dyDescent="0.5">
      <c r="A616">
        <v>21824</v>
      </c>
      <c r="B616" s="16" t="s">
        <v>6863</v>
      </c>
      <c r="C616" s="16" t="s">
        <v>6863</v>
      </c>
      <c r="D616" s="16"/>
      <c r="E616" s="16" t="s">
        <v>6864</v>
      </c>
      <c r="F616" s="17" t="s">
        <v>6865</v>
      </c>
      <c r="H616" s="16" t="s">
        <v>6866</v>
      </c>
      <c r="I616" s="16" t="s">
        <v>6867</v>
      </c>
      <c r="J616" s="33">
        <v>43335</v>
      </c>
      <c r="K616" s="33">
        <v>43700</v>
      </c>
      <c r="L616" s="16" t="s">
        <v>66</v>
      </c>
      <c r="M616" s="16" t="s">
        <v>67</v>
      </c>
      <c r="N616" s="16" t="s">
        <v>68</v>
      </c>
      <c r="O616" s="16" t="s">
        <v>436</v>
      </c>
      <c r="P616" s="16"/>
      <c r="Q616" s="16" t="s">
        <v>495</v>
      </c>
      <c r="R616" s="17" t="s">
        <v>6868</v>
      </c>
      <c r="S616" s="16" t="s">
        <v>6869</v>
      </c>
      <c r="T616" s="16" t="s">
        <v>74</v>
      </c>
      <c r="U616" s="16" t="s">
        <v>75</v>
      </c>
      <c r="V616" s="16" t="s">
        <v>6870</v>
      </c>
      <c r="W616" s="16"/>
      <c r="X616" s="16" t="s">
        <v>6871</v>
      </c>
      <c r="Y616" s="16" t="s">
        <v>78</v>
      </c>
      <c r="Z616" s="16" t="s">
        <v>242</v>
      </c>
      <c r="AA616" s="16" t="s">
        <v>243</v>
      </c>
      <c r="AB616" s="17" t="s">
        <v>6872</v>
      </c>
      <c r="AC616" s="16" t="s">
        <v>71</v>
      </c>
      <c r="AD616" s="17" t="s">
        <v>6872</v>
      </c>
      <c r="AG616" s="16" t="s">
        <v>3540</v>
      </c>
      <c r="AH616" s="16" t="s">
        <v>6104</v>
      </c>
      <c r="AI616" s="16"/>
      <c r="AJ616" s="16"/>
      <c r="AK616" s="16"/>
      <c r="AL616" s="16" t="s">
        <v>6873</v>
      </c>
    </row>
    <row r="617" spans="1:38" x14ac:dyDescent="0.5">
      <c r="A617">
        <v>21825</v>
      </c>
      <c r="B617" s="16" t="s">
        <v>6874</v>
      </c>
      <c r="C617" s="16" t="s">
        <v>6874</v>
      </c>
      <c r="D617" s="16"/>
      <c r="E617" s="16" t="s">
        <v>6875</v>
      </c>
      <c r="F617" s="17" t="s">
        <v>6876</v>
      </c>
      <c r="H617" s="16" t="s">
        <v>6877</v>
      </c>
      <c r="I617" s="16" t="s">
        <v>6878</v>
      </c>
      <c r="J617" s="33">
        <v>42935</v>
      </c>
      <c r="K617" s="33">
        <v>43465</v>
      </c>
      <c r="L617" s="16" t="s">
        <v>66</v>
      </c>
      <c r="M617" s="16" t="s">
        <v>67</v>
      </c>
      <c r="N617" s="16" t="s">
        <v>68</v>
      </c>
      <c r="O617" s="16" t="s">
        <v>436</v>
      </c>
      <c r="P617" s="16" t="s">
        <v>572</v>
      </c>
      <c r="Q617" s="16" t="s">
        <v>71</v>
      </c>
      <c r="R617" s="17" t="s">
        <v>6879</v>
      </c>
      <c r="S617" s="16" t="s">
        <v>6880</v>
      </c>
      <c r="T617" s="16" t="s">
        <v>74</v>
      </c>
      <c r="U617" s="16" t="s">
        <v>75</v>
      </c>
      <c r="V617" s="16" t="s">
        <v>6881</v>
      </c>
      <c r="W617" s="16" t="s">
        <v>6882</v>
      </c>
      <c r="X617" s="16" t="s">
        <v>6883</v>
      </c>
      <c r="Y617" s="16" t="s">
        <v>78</v>
      </c>
      <c r="Z617" s="16" t="s">
        <v>242</v>
      </c>
      <c r="AA617" s="16" t="s">
        <v>243</v>
      </c>
      <c r="AB617" s="17" t="s">
        <v>6884</v>
      </c>
      <c r="AC617" s="16" t="s">
        <v>71</v>
      </c>
      <c r="AD617" s="17" t="s">
        <v>6884</v>
      </c>
      <c r="AE617" s="17" t="s">
        <v>6885</v>
      </c>
      <c r="AG617" s="16" t="s">
        <v>3540</v>
      </c>
      <c r="AH617" s="16" t="s">
        <v>2108</v>
      </c>
      <c r="AI617" s="16"/>
      <c r="AJ617" s="16"/>
      <c r="AK617" s="16"/>
      <c r="AL617" s="16" t="s">
        <v>6886</v>
      </c>
    </row>
    <row r="618" spans="1:38" x14ac:dyDescent="0.5">
      <c r="A618">
        <v>21826</v>
      </c>
      <c r="B618" s="16" t="s">
        <v>6887</v>
      </c>
      <c r="C618" s="16" t="s">
        <v>6887</v>
      </c>
      <c r="D618" s="16"/>
      <c r="E618" s="16" t="s">
        <v>6888</v>
      </c>
      <c r="F618" s="17" t="s">
        <v>6889</v>
      </c>
      <c r="H618" s="16" t="s">
        <v>2257</v>
      </c>
      <c r="I618" s="16" t="s">
        <v>6890</v>
      </c>
      <c r="J618" s="33">
        <v>42977</v>
      </c>
      <c r="K618" s="33">
        <v>43341</v>
      </c>
      <c r="L618" s="16" t="s">
        <v>66</v>
      </c>
      <c r="M618" s="16" t="s">
        <v>67</v>
      </c>
      <c r="N618" s="16" t="s">
        <v>68</v>
      </c>
      <c r="O618" s="16" t="s">
        <v>436</v>
      </c>
      <c r="P618" s="16" t="s">
        <v>572</v>
      </c>
      <c r="Q618" s="16" t="s">
        <v>71</v>
      </c>
      <c r="R618" s="17" t="s">
        <v>6891</v>
      </c>
      <c r="S618" s="16" t="s">
        <v>5287</v>
      </c>
      <c r="T618" s="16" t="s">
        <v>74</v>
      </c>
      <c r="U618" s="16" t="s">
        <v>75</v>
      </c>
      <c r="V618" s="16" t="s">
        <v>6892</v>
      </c>
      <c r="W618" s="16"/>
      <c r="X618" s="16" t="s">
        <v>6893</v>
      </c>
      <c r="Y618" s="16" t="s">
        <v>78</v>
      </c>
      <c r="Z618" s="16" t="s">
        <v>242</v>
      </c>
      <c r="AA618" s="16" t="s">
        <v>243</v>
      </c>
      <c r="AB618" s="17" t="s">
        <v>6894</v>
      </c>
      <c r="AC618" s="16" t="s">
        <v>71</v>
      </c>
      <c r="AD618" s="17" t="s">
        <v>6894</v>
      </c>
      <c r="AG618" s="16" t="s">
        <v>3542</v>
      </c>
      <c r="AH618" s="16" t="s">
        <v>3540</v>
      </c>
      <c r="AI618" s="16"/>
      <c r="AJ618" s="16"/>
      <c r="AK618" s="16"/>
      <c r="AL618" s="16" t="s">
        <v>6895</v>
      </c>
    </row>
    <row r="619" spans="1:38" x14ac:dyDescent="0.5">
      <c r="A619">
        <v>21827</v>
      </c>
      <c r="B619" s="16" t="s">
        <v>4653</v>
      </c>
      <c r="C619" s="16" t="s">
        <v>4653</v>
      </c>
      <c r="D619" s="16"/>
      <c r="E619" s="16" t="s">
        <v>6896</v>
      </c>
      <c r="F619" s="17" t="s">
        <v>6897</v>
      </c>
      <c r="H619" s="16" t="s">
        <v>6898</v>
      </c>
      <c r="I619" s="16" t="s">
        <v>6899</v>
      </c>
      <c r="J619" s="33">
        <v>38546</v>
      </c>
      <c r="K619" s="33">
        <v>43465</v>
      </c>
      <c r="L619" s="16" t="s">
        <v>66</v>
      </c>
      <c r="M619" s="16" t="s">
        <v>67</v>
      </c>
      <c r="N619" s="16" t="s">
        <v>68</v>
      </c>
      <c r="O619" s="16" t="s">
        <v>436</v>
      </c>
      <c r="P619" s="16" t="s">
        <v>70</v>
      </c>
      <c r="Q619" s="16" t="s">
        <v>71</v>
      </c>
      <c r="R619" s="17" t="s">
        <v>6900</v>
      </c>
      <c r="S619" s="16" t="s">
        <v>6901</v>
      </c>
      <c r="T619" s="16" t="s">
        <v>242</v>
      </c>
      <c r="U619" s="16" t="s">
        <v>1633</v>
      </c>
      <c r="V619" s="16" t="s">
        <v>6902</v>
      </c>
      <c r="W619" s="16"/>
      <c r="X619" s="16" t="s">
        <v>6903</v>
      </c>
      <c r="Y619" s="16" t="s">
        <v>1633</v>
      </c>
      <c r="Z619" s="16"/>
      <c r="AA619" s="16"/>
      <c r="AB619" s="17" t="s">
        <v>6904</v>
      </c>
      <c r="AC619" s="16" t="s">
        <v>71</v>
      </c>
      <c r="AD619" s="17" t="s">
        <v>6904</v>
      </c>
      <c r="AE619" s="17" t="s">
        <v>6905</v>
      </c>
      <c r="AG619" s="16" t="s">
        <v>6906</v>
      </c>
      <c r="AH619" s="16" t="s">
        <v>1076</v>
      </c>
      <c r="AI619" s="16"/>
      <c r="AJ619" s="16"/>
      <c r="AK619" s="16"/>
      <c r="AL619" s="16" t="s">
        <v>6907</v>
      </c>
    </row>
    <row r="620" spans="1:38" x14ac:dyDescent="0.5">
      <c r="A620">
        <v>21829</v>
      </c>
      <c r="B620" s="16" t="s">
        <v>6908</v>
      </c>
      <c r="C620" s="16" t="s">
        <v>6908</v>
      </c>
      <c r="D620" s="16" t="s">
        <v>1466</v>
      </c>
      <c r="E620" s="16" t="s">
        <v>6909</v>
      </c>
      <c r="F620" s="17" t="s">
        <v>6910</v>
      </c>
      <c r="G620" s="17" t="s">
        <v>6911</v>
      </c>
      <c r="H620" s="16" t="s">
        <v>456</v>
      </c>
      <c r="I620" s="16" t="s">
        <v>6912</v>
      </c>
      <c r="J620" s="33">
        <v>42972</v>
      </c>
      <c r="K620" s="33">
        <v>43336</v>
      </c>
      <c r="L620" s="16" t="s">
        <v>66</v>
      </c>
      <c r="M620" s="16" t="s">
        <v>67</v>
      </c>
      <c r="N620" s="16" t="s">
        <v>68</v>
      </c>
      <c r="O620" s="16" t="s">
        <v>436</v>
      </c>
      <c r="P620" s="16" t="s">
        <v>572</v>
      </c>
      <c r="Q620" s="16" t="s">
        <v>71</v>
      </c>
      <c r="R620" s="17" t="s">
        <v>6913</v>
      </c>
      <c r="S620" s="16" t="s">
        <v>6914</v>
      </c>
      <c r="T620" s="16" t="s">
        <v>74</v>
      </c>
      <c r="U620" s="16" t="s">
        <v>75</v>
      </c>
      <c r="V620" s="16" t="s">
        <v>6915</v>
      </c>
      <c r="W620" s="16"/>
      <c r="X620" s="16" t="s">
        <v>6916</v>
      </c>
      <c r="Y620" s="16" t="s">
        <v>78</v>
      </c>
      <c r="Z620" s="16" t="s">
        <v>635</v>
      </c>
      <c r="AA620" s="16" t="s">
        <v>636</v>
      </c>
      <c r="AB620" s="17" t="s">
        <v>6917</v>
      </c>
      <c r="AC620" s="16" t="s">
        <v>71</v>
      </c>
      <c r="AD620" s="17" t="s">
        <v>6917</v>
      </c>
      <c r="AF620" s="17" t="s">
        <v>6918</v>
      </c>
      <c r="AG620" s="16" t="s">
        <v>1884</v>
      </c>
      <c r="AH620" s="16" t="s">
        <v>781</v>
      </c>
      <c r="AI620" s="16"/>
      <c r="AJ620" s="16"/>
      <c r="AK620" s="16"/>
      <c r="AL620" s="16" t="s">
        <v>6919</v>
      </c>
    </row>
    <row r="621" spans="1:38" x14ac:dyDescent="0.5">
      <c r="A621">
        <v>21857</v>
      </c>
      <c r="B621" s="16" t="s">
        <v>6920</v>
      </c>
      <c r="C621" s="16" t="s">
        <v>6920</v>
      </c>
      <c r="D621" s="16"/>
      <c r="E621" s="16" t="s">
        <v>6921</v>
      </c>
      <c r="F621" s="17" t="s">
        <v>6922</v>
      </c>
      <c r="H621" s="16" t="s">
        <v>6923</v>
      </c>
      <c r="I621" s="16" t="s">
        <v>6924</v>
      </c>
      <c r="J621" s="33">
        <v>42921</v>
      </c>
      <c r="K621" s="33">
        <v>43465</v>
      </c>
      <c r="L621" s="16" t="s">
        <v>66</v>
      </c>
      <c r="M621" s="16" t="s">
        <v>167</v>
      </c>
      <c r="N621" s="16" t="s">
        <v>110</v>
      </c>
      <c r="O621" s="16" t="s">
        <v>280</v>
      </c>
      <c r="P621" s="16" t="s">
        <v>572</v>
      </c>
      <c r="Q621" s="16" t="s">
        <v>71</v>
      </c>
      <c r="R621" s="17" t="s">
        <v>6925</v>
      </c>
      <c r="S621" s="16" t="s">
        <v>1165</v>
      </c>
      <c r="T621" s="16" t="s">
        <v>740</v>
      </c>
      <c r="U621" s="16" t="s">
        <v>741</v>
      </c>
      <c r="V621" s="16" t="s">
        <v>6926</v>
      </c>
      <c r="W621" s="16"/>
      <c r="X621" s="16" t="s">
        <v>6927</v>
      </c>
      <c r="Y621" s="16" t="s">
        <v>744</v>
      </c>
      <c r="Z621" s="16"/>
      <c r="AA621" s="16"/>
      <c r="AB621" s="17" t="s">
        <v>6928</v>
      </c>
      <c r="AC621" s="16" t="s">
        <v>71</v>
      </c>
      <c r="AD621" s="17" t="s">
        <v>6928</v>
      </c>
      <c r="AF621" s="17" t="s">
        <v>6929</v>
      </c>
      <c r="AG621" s="16" t="s">
        <v>6381</v>
      </c>
      <c r="AH621" s="16" t="s">
        <v>6930</v>
      </c>
      <c r="AI621" s="16" t="s">
        <v>2632</v>
      </c>
      <c r="AJ621" s="16"/>
      <c r="AK621" s="16"/>
      <c r="AL621" s="16" t="s">
        <v>6931</v>
      </c>
    </row>
    <row r="622" spans="1:38" x14ac:dyDescent="0.5">
      <c r="A622">
        <v>21858</v>
      </c>
      <c r="B622" s="16" t="s">
        <v>1756</v>
      </c>
      <c r="C622" s="16" t="s">
        <v>1756</v>
      </c>
      <c r="D622" s="16"/>
      <c r="E622" s="16" t="s">
        <v>5259</v>
      </c>
      <c r="F622" s="17" t="s">
        <v>6932</v>
      </c>
      <c r="G622" s="17" t="s">
        <v>6933</v>
      </c>
      <c r="H622" s="16" t="s">
        <v>6934</v>
      </c>
      <c r="I622" s="16" t="s">
        <v>6935</v>
      </c>
      <c r="J622" s="33">
        <v>42914</v>
      </c>
      <c r="K622" s="33">
        <v>43644</v>
      </c>
      <c r="L622" s="16" t="s">
        <v>66</v>
      </c>
      <c r="M622" s="16" t="s">
        <v>67</v>
      </c>
      <c r="N622" s="16" t="s">
        <v>68</v>
      </c>
      <c r="O622" s="16" t="s">
        <v>436</v>
      </c>
      <c r="P622" s="16" t="s">
        <v>572</v>
      </c>
      <c r="Q622" s="16" t="s">
        <v>71</v>
      </c>
      <c r="R622" s="17" t="s">
        <v>6936</v>
      </c>
      <c r="S622" s="16" t="s">
        <v>6937</v>
      </c>
      <c r="T622" s="16" t="s">
        <v>4146</v>
      </c>
      <c r="U622" s="16" t="s">
        <v>4147</v>
      </c>
      <c r="V622" s="16" t="s">
        <v>6938</v>
      </c>
      <c r="W622" s="16"/>
      <c r="X622" s="16" t="s">
        <v>6736</v>
      </c>
      <c r="Y622" s="16" t="s">
        <v>4151</v>
      </c>
      <c r="Z622" s="16"/>
      <c r="AA622" s="16"/>
      <c r="AB622" s="17" t="s">
        <v>6939</v>
      </c>
      <c r="AC622" s="16" t="s">
        <v>71</v>
      </c>
      <c r="AD622" s="17" t="s">
        <v>6939</v>
      </c>
      <c r="AG622" s="16" t="s">
        <v>6739</v>
      </c>
      <c r="AH622" s="16" t="s">
        <v>6940</v>
      </c>
      <c r="AI622" s="16"/>
      <c r="AJ622" s="16"/>
      <c r="AK622" s="16"/>
      <c r="AL622" s="16"/>
    </row>
    <row r="623" spans="1:38" x14ac:dyDescent="0.5">
      <c r="A623">
        <v>21859</v>
      </c>
      <c r="B623" s="16" t="s">
        <v>4812</v>
      </c>
      <c r="C623" s="16" t="s">
        <v>4812</v>
      </c>
      <c r="D623" s="16"/>
      <c r="E623" s="16" t="s">
        <v>6941</v>
      </c>
      <c r="F623" s="17" t="s">
        <v>6942</v>
      </c>
      <c r="G623" s="17" t="s">
        <v>6943</v>
      </c>
      <c r="H623" s="16" t="s">
        <v>6944</v>
      </c>
      <c r="I623" s="16" t="s">
        <v>6945</v>
      </c>
      <c r="J623" s="33">
        <v>42916</v>
      </c>
      <c r="K623" s="33">
        <v>43465</v>
      </c>
      <c r="L623" s="16" t="s">
        <v>66</v>
      </c>
      <c r="M623" s="16" t="s">
        <v>67</v>
      </c>
      <c r="N623" s="16" t="s">
        <v>68</v>
      </c>
      <c r="O623" s="16" t="s">
        <v>436</v>
      </c>
      <c r="P623" s="16" t="s">
        <v>572</v>
      </c>
      <c r="Q623" s="16" t="s">
        <v>71</v>
      </c>
      <c r="R623" s="17" t="s">
        <v>6946</v>
      </c>
      <c r="S623" s="16" t="s">
        <v>6947</v>
      </c>
      <c r="T623" s="16" t="s">
        <v>4146</v>
      </c>
      <c r="U623" s="16" t="s">
        <v>4147</v>
      </c>
      <c r="V623" s="16" t="s">
        <v>6948</v>
      </c>
      <c r="W623" s="16"/>
      <c r="X623" s="16" t="s">
        <v>6949</v>
      </c>
      <c r="Y623" s="16" t="s">
        <v>4151</v>
      </c>
      <c r="Z623" s="16"/>
      <c r="AA623" s="16"/>
      <c r="AB623" s="17" t="s">
        <v>6950</v>
      </c>
      <c r="AC623" s="16" t="s">
        <v>71</v>
      </c>
      <c r="AD623" s="17" t="s">
        <v>6950</v>
      </c>
      <c r="AF623" s="17" t="s">
        <v>6951</v>
      </c>
      <c r="AG623" s="16" t="s">
        <v>6739</v>
      </c>
      <c r="AH623" s="16" t="s">
        <v>1345</v>
      </c>
      <c r="AI623" s="16"/>
      <c r="AJ623" s="16"/>
      <c r="AK623" s="16"/>
      <c r="AL623" s="16" t="s">
        <v>6952</v>
      </c>
    </row>
    <row r="624" spans="1:38" x14ac:dyDescent="0.5">
      <c r="A624">
        <v>21860</v>
      </c>
      <c r="B624" s="16" t="s">
        <v>2311</v>
      </c>
      <c r="C624" s="16" t="s">
        <v>2311</v>
      </c>
      <c r="D624" s="16"/>
      <c r="E624" s="16" t="s">
        <v>6953</v>
      </c>
      <c r="F624" s="17" t="s">
        <v>6954</v>
      </c>
      <c r="H624" s="16" t="s">
        <v>6955</v>
      </c>
      <c r="I624" s="16" t="s">
        <v>6956</v>
      </c>
      <c r="J624" s="33">
        <v>42948</v>
      </c>
      <c r="K624" s="33">
        <v>43678</v>
      </c>
      <c r="L624" s="16" t="s">
        <v>66</v>
      </c>
      <c r="M624" s="16" t="s">
        <v>67</v>
      </c>
      <c r="N624" s="16" t="s">
        <v>68</v>
      </c>
      <c r="O624" s="16" t="s">
        <v>436</v>
      </c>
      <c r="P624" s="16" t="s">
        <v>572</v>
      </c>
      <c r="Q624" s="16" t="s">
        <v>71</v>
      </c>
      <c r="R624" s="17" t="s">
        <v>6957</v>
      </c>
      <c r="S624" s="16" t="s">
        <v>222</v>
      </c>
      <c r="T624" s="16" t="s">
        <v>74</v>
      </c>
      <c r="U624" s="16" t="s">
        <v>75</v>
      </c>
      <c r="V624" s="16" t="s">
        <v>6958</v>
      </c>
      <c r="W624" s="16" t="s">
        <v>6959</v>
      </c>
      <c r="X624" s="16" t="s">
        <v>4344</v>
      </c>
      <c r="Y624" s="16" t="s">
        <v>78</v>
      </c>
      <c r="Z624" s="16" t="s">
        <v>189</v>
      </c>
      <c r="AA624" s="16" t="s">
        <v>190</v>
      </c>
      <c r="AB624" s="17" t="s">
        <v>8646</v>
      </c>
      <c r="AC624" s="16" t="s">
        <v>71</v>
      </c>
      <c r="AD624" s="17" t="s">
        <v>8646</v>
      </c>
      <c r="AG624" s="16" t="s">
        <v>6960</v>
      </c>
      <c r="AH624" s="16" t="s">
        <v>4704</v>
      </c>
      <c r="AI624" s="16"/>
      <c r="AJ624" s="16"/>
      <c r="AK624" s="16"/>
      <c r="AL624" s="16" t="s">
        <v>6961</v>
      </c>
    </row>
    <row r="625" spans="1:38" x14ac:dyDescent="0.5">
      <c r="A625">
        <v>21861</v>
      </c>
      <c r="B625" s="16" t="s">
        <v>1274</v>
      </c>
      <c r="C625" s="16" t="s">
        <v>1274</v>
      </c>
      <c r="D625" s="16"/>
      <c r="E625" s="16" t="s">
        <v>6962</v>
      </c>
      <c r="F625" s="17" t="s">
        <v>6963</v>
      </c>
      <c r="H625" s="16" t="s">
        <v>699</v>
      </c>
      <c r="I625" s="16" t="s">
        <v>6964</v>
      </c>
      <c r="J625" s="33">
        <v>42933</v>
      </c>
      <c r="K625" s="33">
        <v>43465</v>
      </c>
      <c r="L625" s="16" t="s">
        <v>66</v>
      </c>
      <c r="M625" s="16" t="s">
        <v>167</v>
      </c>
      <c r="N625" s="16" t="s">
        <v>110</v>
      </c>
      <c r="O625" s="16" t="s">
        <v>280</v>
      </c>
      <c r="P625" s="16" t="s">
        <v>572</v>
      </c>
      <c r="Q625" s="16" t="s">
        <v>71</v>
      </c>
      <c r="R625" s="17" t="s">
        <v>6965</v>
      </c>
      <c r="S625" s="16" t="s">
        <v>1165</v>
      </c>
      <c r="T625" s="16" t="s">
        <v>740</v>
      </c>
      <c r="U625" s="16" t="s">
        <v>741</v>
      </c>
      <c r="V625" s="16" t="s">
        <v>6966</v>
      </c>
      <c r="W625" s="16"/>
      <c r="X625" s="16" t="s">
        <v>6967</v>
      </c>
      <c r="Y625" s="16" t="s">
        <v>744</v>
      </c>
      <c r="Z625" s="16"/>
      <c r="AA625" s="16"/>
      <c r="AB625" s="17" t="s">
        <v>6968</v>
      </c>
      <c r="AC625" s="16" t="s">
        <v>71</v>
      </c>
      <c r="AD625" s="17" t="s">
        <v>6968</v>
      </c>
      <c r="AG625" s="16" t="s">
        <v>2632</v>
      </c>
      <c r="AH625" s="16" t="s">
        <v>579</v>
      </c>
      <c r="AI625" s="16"/>
      <c r="AJ625" s="16"/>
      <c r="AK625" s="16"/>
      <c r="AL625" s="16" t="s">
        <v>6969</v>
      </c>
    </row>
    <row r="626" spans="1:38" x14ac:dyDescent="0.5">
      <c r="A626">
        <v>21863</v>
      </c>
      <c r="B626" s="16" t="s">
        <v>229</v>
      </c>
      <c r="C626" s="16" t="s">
        <v>229</v>
      </c>
      <c r="D626" s="16"/>
      <c r="E626" s="16" t="s">
        <v>6970</v>
      </c>
      <c r="F626" s="17" t="s">
        <v>6971</v>
      </c>
      <c r="H626" s="16" t="s">
        <v>699</v>
      </c>
      <c r="I626" s="16" t="s">
        <v>6970</v>
      </c>
      <c r="J626" s="33">
        <v>42921</v>
      </c>
      <c r="K626" s="33">
        <v>43465</v>
      </c>
      <c r="L626" s="16" t="s">
        <v>66</v>
      </c>
      <c r="M626" s="16" t="s">
        <v>167</v>
      </c>
      <c r="N626" s="16" t="s">
        <v>110</v>
      </c>
      <c r="O626" s="16" t="s">
        <v>280</v>
      </c>
      <c r="P626" s="16" t="s">
        <v>572</v>
      </c>
      <c r="Q626" s="16" t="s">
        <v>71</v>
      </c>
      <c r="R626" s="17" t="s">
        <v>6972</v>
      </c>
      <c r="S626" s="16" t="s">
        <v>4563</v>
      </c>
      <c r="T626" s="16" t="s">
        <v>6973</v>
      </c>
      <c r="U626" s="16" t="s">
        <v>6974</v>
      </c>
      <c r="V626" s="16" t="s">
        <v>6975</v>
      </c>
      <c r="W626" s="16"/>
      <c r="X626" s="16"/>
      <c r="Y626" s="16" t="s">
        <v>744</v>
      </c>
      <c r="Z626" s="16"/>
      <c r="AA626" s="16"/>
      <c r="AB626" s="17" t="s">
        <v>6976</v>
      </c>
      <c r="AC626" s="16" t="s">
        <v>71</v>
      </c>
      <c r="AD626" s="17" t="s">
        <v>6976</v>
      </c>
      <c r="AF626" s="17" t="s">
        <v>6977</v>
      </c>
      <c r="AG626" s="16" t="s">
        <v>3249</v>
      </c>
      <c r="AH626" s="16" t="s">
        <v>2817</v>
      </c>
      <c r="AI626" s="16"/>
      <c r="AJ626" s="16"/>
      <c r="AK626" s="16"/>
      <c r="AL626" s="16" t="s">
        <v>6978</v>
      </c>
    </row>
    <row r="627" spans="1:38" x14ac:dyDescent="0.5">
      <c r="A627">
        <v>21878</v>
      </c>
      <c r="B627" s="16" t="s">
        <v>6979</v>
      </c>
      <c r="C627" s="16" t="s">
        <v>6979</v>
      </c>
      <c r="D627" s="16"/>
      <c r="E627" s="16" t="s">
        <v>6980</v>
      </c>
      <c r="F627" s="17" t="s">
        <v>6981</v>
      </c>
      <c r="H627" s="16" t="s">
        <v>6982</v>
      </c>
      <c r="I627" s="16" t="s">
        <v>6630</v>
      </c>
      <c r="J627" s="33">
        <v>42930</v>
      </c>
      <c r="K627" s="33">
        <v>43465</v>
      </c>
      <c r="L627" s="16" t="s">
        <v>66</v>
      </c>
      <c r="M627" s="16" t="s">
        <v>67</v>
      </c>
      <c r="N627" s="16" t="s">
        <v>68</v>
      </c>
      <c r="O627" s="16" t="s">
        <v>436</v>
      </c>
      <c r="P627" s="16" t="s">
        <v>572</v>
      </c>
      <c r="Q627" s="16" t="s">
        <v>71</v>
      </c>
      <c r="R627" s="17" t="s">
        <v>6983</v>
      </c>
      <c r="S627" s="16" t="s">
        <v>6984</v>
      </c>
      <c r="T627" s="16" t="s">
        <v>599</v>
      </c>
      <c r="U627" s="16" t="s">
        <v>2512</v>
      </c>
      <c r="V627" s="16" t="s">
        <v>6985</v>
      </c>
      <c r="W627" s="16" t="s">
        <v>6986</v>
      </c>
      <c r="X627" s="16" t="s">
        <v>6633</v>
      </c>
      <c r="Y627" s="16" t="s">
        <v>2515</v>
      </c>
      <c r="Z627" s="16"/>
      <c r="AA627" s="16"/>
      <c r="AB627" s="17" t="s">
        <v>6987</v>
      </c>
      <c r="AC627" s="16" t="s">
        <v>71</v>
      </c>
      <c r="AD627" s="17" t="s">
        <v>6987</v>
      </c>
      <c r="AF627" s="17" t="s">
        <v>6988</v>
      </c>
      <c r="AG627" s="16" t="s">
        <v>6635</v>
      </c>
      <c r="AH627" s="16" t="s">
        <v>1345</v>
      </c>
      <c r="AI627" s="16"/>
      <c r="AJ627" s="16"/>
      <c r="AK627" s="16"/>
      <c r="AL627" s="16" t="s">
        <v>6989</v>
      </c>
    </row>
    <row r="628" spans="1:38" x14ac:dyDescent="0.5">
      <c r="A628">
        <v>21880</v>
      </c>
      <c r="B628" s="16" t="s">
        <v>6990</v>
      </c>
      <c r="C628" s="16" t="s">
        <v>6990</v>
      </c>
      <c r="D628" s="16"/>
      <c r="E628" s="16" t="s">
        <v>6991</v>
      </c>
      <c r="F628" s="17" t="s">
        <v>6992</v>
      </c>
      <c r="H628" s="16" t="s">
        <v>6993</v>
      </c>
      <c r="I628" s="16" t="s">
        <v>6994</v>
      </c>
      <c r="J628" s="33">
        <v>43304</v>
      </c>
      <c r="K628" s="33">
        <v>43669</v>
      </c>
      <c r="L628" s="16" t="s">
        <v>66</v>
      </c>
      <c r="M628" s="16" t="s">
        <v>67</v>
      </c>
      <c r="N628" s="16" t="s">
        <v>68</v>
      </c>
      <c r="O628" s="16" t="s">
        <v>436</v>
      </c>
      <c r="P628" s="16" t="s">
        <v>572</v>
      </c>
      <c r="Q628" s="16" t="s">
        <v>71</v>
      </c>
      <c r="R628" s="17" t="s">
        <v>6995</v>
      </c>
      <c r="S628" s="16" t="s">
        <v>2511</v>
      </c>
      <c r="T628" s="16" t="s">
        <v>599</v>
      </c>
      <c r="U628" s="16" t="s">
        <v>2512</v>
      </c>
      <c r="V628" s="16" t="s">
        <v>6996</v>
      </c>
      <c r="W628" s="16" t="s">
        <v>6997</v>
      </c>
      <c r="X628" s="16" t="s">
        <v>6998</v>
      </c>
      <c r="Y628" s="16" t="s">
        <v>2515</v>
      </c>
      <c r="Z628" s="16"/>
      <c r="AA628" s="16"/>
      <c r="AB628" s="17" t="s">
        <v>6999</v>
      </c>
      <c r="AC628" s="16" t="s">
        <v>71</v>
      </c>
      <c r="AD628" s="17" t="s">
        <v>6999</v>
      </c>
      <c r="AG628" s="16" t="s">
        <v>6635</v>
      </c>
      <c r="AH628" s="16" t="s">
        <v>1345</v>
      </c>
      <c r="AI628" s="16"/>
      <c r="AJ628" s="16"/>
      <c r="AK628" s="16"/>
      <c r="AL628" s="16" t="s">
        <v>7000</v>
      </c>
    </row>
    <row r="629" spans="1:38" x14ac:dyDescent="0.5">
      <c r="A629">
        <v>21920</v>
      </c>
      <c r="B629" s="16" t="s">
        <v>640</v>
      </c>
      <c r="C629" s="16" t="s">
        <v>640</v>
      </c>
      <c r="D629" s="16"/>
      <c r="E629" s="16" t="s">
        <v>2004</v>
      </c>
      <c r="F629" s="17" t="s">
        <v>7001</v>
      </c>
      <c r="G629" s="17" t="s">
        <v>7002</v>
      </c>
      <c r="H629" s="16" t="s">
        <v>6649</v>
      </c>
      <c r="I629" s="16" t="s">
        <v>7003</v>
      </c>
      <c r="J629" s="33">
        <v>42914</v>
      </c>
      <c r="K629" s="33">
        <v>43465</v>
      </c>
      <c r="L629" s="16" t="s">
        <v>66</v>
      </c>
      <c r="M629" s="16" t="s">
        <v>67</v>
      </c>
      <c r="N629" s="16" t="s">
        <v>68</v>
      </c>
      <c r="O629" s="16" t="s">
        <v>436</v>
      </c>
      <c r="P629" s="16" t="s">
        <v>572</v>
      </c>
      <c r="Q629" s="16" t="s">
        <v>71</v>
      </c>
      <c r="R629" s="17" t="s">
        <v>7004</v>
      </c>
      <c r="S629" s="16" t="s">
        <v>4563</v>
      </c>
      <c r="T629" s="16" t="s">
        <v>74</v>
      </c>
      <c r="U629" s="16" t="s">
        <v>75</v>
      </c>
      <c r="V629" s="16" t="s">
        <v>7005</v>
      </c>
      <c r="W629" s="16"/>
      <c r="X629" s="16" t="s">
        <v>7006</v>
      </c>
      <c r="Y629" s="16" t="s">
        <v>78</v>
      </c>
      <c r="Z629" s="16" t="s">
        <v>79</v>
      </c>
      <c r="AA629" s="16" t="s">
        <v>80</v>
      </c>
      <c r="AB629" s="17" t="s">
        <v>7007</v>
      </c>
      <c r="AC629" s="16" t="s">
        <v>71</v>
      </c>
      <c r="AD629" s="17" t="s">
        <v>7007</v>
      </c>
      <c r="AE629" s="17" t="s">
        <v>7008</v>
      </c>
      <c r="AG629" s="16" t="s">
        <v>4235</v>
      </c>
      <c r="AH629" s="16" t="s">
        <v>1572</v>
      </c>
      <c r="AI629" s="16"/>
      <c r="AJ629" s="16"/>
      <c r="AK629" s="16"/>
      <c r="AL629" s="16" t="s">
        <v>7009</v>
      </c>
    </row>
    <row r="630" spans="1:38" x14ac:dyDescent="0.5">
      <c r="A630">
        <v>21921</v>
      </c>
      <c r="B630" s="16" t="s">
        <v>7010</v>
      </c>
      <c r="C630" s="16" t="s">
        <v>7010</v>
      </c>
      <c r="D630" s="16"/>
      <c r="E630" s="16" t="s">
        <v>7011</v>
      </c>
      <c r="F630" s="17" t="s">
        <v>7012</v>
      </c>
      <c r="H630" s="16" t="s">
        <v>7013</v>
      </c>
      <c r="I630" s="16" t="s">
        <v>7014</v>
      </c>
      <c r="J630" s="33">
        <v>43202</v>
      </c>
      <c r="K630" s="33">
        <v>43567</v>
      </c>
      <c r="L630" s="16" t="s">
        <v>66</v>
      </c>
      <c r="M630" s="16" t="s">
        <v>1036</v>
      </c>
      <c r="N630" s="16" t="s">
        <v>1252</v>
      </c>
      <c r="O630" s="16" t="s">
        <v>1037</v>
      </c>
      <c r="P630" s="16"/>
      <c r="Q630" s="16" t="s">
        <v>71</v>
      </c>
      <c r="R630" s="17" t="s">
        <v>7015</v>
      </c>
      <c r="S630" s="16" t="s">
        <v>222</v>
      </c>
      <c r="T630" s="16" t="s">
        <v>74</v>
      </c>
      <c r="U630" s="16" t="s">
        <v>75</v>
      </c>
      <c r="V630" s="16" t="s">
        <v>7016</v>
      </c>
      <c r="W630" s="16"/>
      <c r="X630" s="16" t="s">
        <v>7017</v>
      </c>
      <c r="Y630" s="16" t="s">
        <v>78</v>
      </c>
      <c r="Z630" s="16" t="s">
        <v>189</v>
      </c>
      <c r="AA630" s="16" t="s">
        <v>190</v>
      </c>
      <c r="AB630" s="17" t="s">
        <v>7018</v>
      </c>
      <c r="AC630" s="16" t="s">
        <v>71</v>
      </c>
      <c r="AD630" s="17" t="s">
        <v>7018</v>
      </c>
      <c r="AG630" s="16" t="s">
        <v>4870</v>
      </c>
      <c r="AH630" s="16" t="s">
        <v>579</v>
      </c>
      <c r="AI630" s="16"/>
      <c r="AJ630" s="16"/>
      <c r="AK630" s="16"/>
      <c r="AL630" s="16" t="s">
        <v>7019</v>
      </c>
    </row>
    <row r="631" spans="1:38" x14ac:dyDescent="0.5">
      <c r="A631">
        <v>21922</v>
      </c>
      <c r="B631" s="16" t="s">
        <v>286</v>
      </c>
      <c r="C631" s="16" t="s">
        <v>286</v>
      </c>
      <c r="D631" s="16"/>
      <c r="E631" s="16" t="s">
        <v>7020</v>
      </c>
      <c r="F631" s="17" t="s">
        <v>7021</v>
      </c>
      <c r="H631" s="16" t="s">
        <v>1517</v>
      </c>
      <c r="I631" s="16" t="s">
        <v>7022</v>
      </c>
      <c r="J631" s="33">
        <v>42975</v>
      </c>
      <c r="K631" s="33">
        <v>43339</v>
      </c>
      <c r="L631" s="16" t="s">
        <v>66</v>
      </c>
      <c r="M631" s="16" t="s">
        <v>67</v>
      </c>
      <c r="N631" s="16" t="s">
        <v>68</v>
      </c>
      <c r="O631" s="16" t="s">
        <v>436</v>
      </c>
      <c r="P631" s="16" t="s">
        <v>572</v>
      </c>
      <c r="Q631" s="16" t="s">
        <v>71</v>
      </c>
      <c r="R631" s="17" t="s">
        <v>7023</v>
      </c>
      <c r="S631" s="16" t="s">
        <v>3256</v>
      </c>
      <c r="T631" s="16" t="s">
        <v>74</v>
      </c>
      <c r="U631" s="16" t="s">
        <v>75</v>
      </c>
      <c r="V631" s="16" t="s">
        <v>7024</v>
      </c>
      <c r="W631" s="16"/>
      <c r="X631" s="16" t="s">
        <v>7025</v>
      </c>
      <c r="Y631" s="16" t="s">
        <v>78</v>
      </c>
      <c r="Z631" s="16" t="s">
        <v>207</v>
      </c>
      <c r="AA631" s="16" t="s">
        <v>208</v>
      </c>
      <c r="AB631" s="17" t="s">
        <v>7026</v>
      </c>
      <c r="AC631" s="16" t="s">
        <v>71</v>
      </c>
      <c r="AD631" s="17" t="s">
        <v>7026</v>
      </c>
      <c r="AG631" s="16" t="s">
        <v>579</v>
      </c>
      <c r="AH631" s="16" t="s">
        <v>3302</v>
      </c>
      <c r="AI631" s="16"/>
      <c r="AJ631" s="16"/>
      <c r="AK631" s="16"/>
      <c r="AL631" s="16"/>
    </row>
    <row r="632" spans="1:38" x14ac:dyDescent="0.5">
      <c r="A632">
        <v>21923</v>
      </c>
      <c r="B632" s="16" t="s">
        <v>969</v>
      </c>
      <c r="C632" s="16" t="s">
        <v>969</v>
      </c>
      <c r="D632" s="16"/>
      <c r="E632" s="16" t="s">
        <v>7027</v>
      </c>
      <c r="F632" s="17" t="s">
        <v>7028</v>
      </c>
      <c r="H632" s="16" t="s">
        <v>7029</v>
      </c>
      <c r="I632" s="16" t="s">
        <v>7030</v>
      </c>
      <c r="J632" s="33">
        <v>43283</v>
      </c>
      <c r="K632" s="33">
        <v>43648</v>
      </c>
      <c r="L632" s="16" t="s">
        <v>66</v>
      </c>
      <c r="M632" s="16" t="s">
        <v>67</v>
      </c>
      <c r="N632" s="16" t="s">
        <v>68</v>
      </c>
      <c r="O632" s="16" t="s">
        <v>436</v>
      </c>
      <c r="P632" s="16"/>
      <c r="Q632" s="16" t="s">
        <v>495</v>
      </c>
      <c r="R632" s="17" t="s">
        <v>7031</v>
      </c>
      <c r="S632" s="16" t="s">
        <v>4388</v>
      </c>
      <c r="T632" s="16" t="s">
        <v>2626</v>
      </c>
      <c r="U632" s="16" t="s">
        <v>2627</v>
      </c>
      <c r="V632" s="16" t="s">
        <v>7032</v>
      </c>
      <c r="W632" s="16"/>
      <c r="X632" s="16"/>
      <c r="Y632" s="16" t="s">
        <v>2630</v>
      </c>
      <c r="Z632" s="16"/>
      <c r="AA632" s="16"/>
      <c r="AB632" s="17" t="s">
        <v>7033</v>
      </c>
      <c r="AC632" s="16" t="s">
        <v>71</v>
      </c>
      <c r="AD632" s="17" t="s">
        <v>7033</v>
      </c>
      <c r="AG632" s="16" t="s">
        <v>2633</v>
      </c>
      <c r="AH632" s="16" t="s">
        <v>579</v>
      </c>
      <c r="AI632" s="16"/>
      <c r="AJ632" s="16"/>
      <c r="AK632" s="16"/>
      <c r="AL632" s="16" t="s">
        <v>7034</v>
      </c>
    </row>
    <row r="633" spans="1:38" x14ac:dyDescent="0.5">
      <c r="A633">
        <v>21924</v>
      </c>
      <c r="B633" s="16" t="s">
        <v>498</v>
      </c>
      <c r="C633" s="16" t="s">
        <v>499</v>
      </c>
      <c r="D633" s="16"/>
      <c r="E633" s="16" t="s">
        <v>1393</v>
      </c>
      <c r="F633" s="17" t="s">
        <v>7035</v>
      </c>
      <c r="H633" s="16" t="s">
        <v>1429</v>
      </c>
      <c r="I633" s="16" t="s">
        <v>2739</v>
      </c>
      <c r="J633" s="33">
        <v>42915</v>
      </c>
      <c r="K633" s="33">
        <v>43465</v>
      </c>
      <c r="L633" s="16" t="s">
        <v>66</v>
      </c>
      <c r="M633" s="16" t="s">
        <v>67</v>
      </c>
      <c r="N633" s="16" t="s">
        <v>68</v>
      </c>
      <c r="O633" s="16" t="s">
        <v>436</v>
      </c>
      <c r="P633" s="16" t="s">
        <v>572</v>
      </c>
      <c r="Q633" s="16" t="s">
        <v>71</v>
      </c>
      <c r="R633" s="17" t="s">
        <v>7036</v>
      </c>
      <c r="S633" s="16" t="s">
        <v>5869</v>
      </c>
      <c r="T633" s="16" t="s">
        <v>74</v>
      </c>
      <c r="U633" s="16" t="s">
        <v>75</v>
      </c>
      <c r="V633" s="16" t="s">
        <v>7037</v>
      </c>
      <c r="W633" s="16"/>
      <c r="X633" s="16" t="s">
        <v>7038</v>
      </c>
      <c r="Y633" s="16" t="s">
        <v>78</v>
      </c>
      <c r="Z633" s="16" t="s">
        <v>349</v>
      </c>
      <c r="AA633" s="16" t="s">
        <v>350</v>
      </c>
      <c r="AB633" s="17" t="s">
        <v>7039</v>
      </c>
      <c r="AC633" s="16" t="s">
        <v>71</v>
      </c>
      <c r="AD633" s="17" t="s">
        <v>7039</v>
      </c>
      <c r="AE633" s="17" t="s">
        <v>7040</v>
      </c>
      <c r="AG633" s="16" t="s">
        <v>7041</v>
      </c>
      <c r="AH633" s="16" t="s">
        <v>4022</v>
      </c>
      <c r="AI633" s="16" t="s">
        <v>1285</v>
      </c>
      <c r="AJ633" s="16"/>
      <c r="AK633" s="16"/>
      <c r="AL633" s="16" t="s">
        <v>7042</v>
      </c>
    </row>
    <row r="634" spans="1:38" x14ac:dyDescent="0.5">
      <c r="A634">
        <v>21926</v>
      </c>
      <c r="B634" s="16" t="s">
        <v>4822</v>
      </c>
      <c r="C634" s="16" t="s">
        <v>4822</v>
      </c>
      <c r="D634" s="16"/>
      <c r="E634" s="16" t="s">
        <v>7043</v>
      </c>
      <c r="F634" s="17" t="s">
        <v>7044</v>
      </c>
      <c r="H634" s="16" t="s">
        <v>4883</v>
      </c>
      <c r="I634" s="16" t="s">
        <v>7045</v>
      </c>
      <c r="J634" s="33">
        <v>42954</v>
      </c>
      <c r="K634" s="33">
        <v>43319</v>
      </c>
      <c r="L634" s="16" t="s">
        <v>66</v>
      </c>
      <c r="M634" s="16" t="s">
        <v>67</v>
      </c>
      <c r="N634" s="16" t="s">
        <v>68</v>
      </c>
      <c r="O634" s="16" t="s">
        <v>436</v>
      </c>
      <c r="P634" s="16" t="s">
        <v>572</v>
      </c>
      <c r="Q634" s="16" t="s">
        <v>71</v>
      </c>
      <c r="R634" s="17" t="s">
        <v>7046</v>
      </c>
      <c r="S634" s="16" t="s">
        <v>4306</v>
      </c>
      <c r="T634" s="16" t="s">
        <v>74</v>
      </c>
      <c r="U634" s="16" t="s">
        <v>75</v>
      </c>
      <c r="V634" s="16" t="s">
        <v>7047</v>
      </c>
      <c r="W634" s="16"/>
      <c r="X634" s="16" t="s">
        <v>4308</v>
      </c>
      <c r="Y634" s="16" t="s">
        <v>78</v>
      </c>
      <c r="Z634" s="16" t="s">
        <v>117</v>
      </c>
      <c r="AA634" s="16" t="s">
        <v>113</v>
      </c>
      <c r="AB634" s="17" t="s">
        <v>7048</v>
      </c>
      <c r="AC634" s="16" t="s">
        <v>71</v>
      </c>
      <c r="AD634" s="17" t="s">
        <v>7048</v>
      </c>
      <c r="AG634" s="16" t="s">
        <v>7049</v>
      </c>
      <c r="AH634" s="16" t="s">
        <v>4106</v>
      </c>
      <c r="AI634" s="16"/>
      <c r="AJ634" s="16"/>
      <c r="AK634" s="16"/>
      <c r="AL634" s="16" t="s">
        <v>4883</v>
      </c>
    </row>
    <row r="635" spans="1:38" x14ac:dyDescent="0.5">
      <c r="A635">
        <v>21927</v>
      </c>
      <c r="B635" s="16" t="s">
        <v>7050</v>
      </c>
      <c r="C635" s="16" t="s">
        <v>7050</v>
      </c>
      <c r="D635" s="16"/>
      <c r="E635" s="16" t="s">
        <v>7051</v>
      </c>
      <c r="F635" s="17" t="s">
        <v>7052</v>
      </c>
      <c r="H635" s="16" t="s">
        <v>1803</v>
      </c>
      <c r="I635" s="16" t="s">
        <v>7053</v>
      </c>
      <c r="J635" s="33">
        <v>42964</v>
      </c>
      <c r="K635" s="33">
        <v>43694</v>
      </c>
      <c r="L635" s="16" t="s">
        <v>66</v>
      </c>
      <c r="M635" s="16" t="s">
        <v>67</v>
      </c>
      <c r="N635" s="16" t="s">
        <v>68</v>
      </c>
      <c r="O635" s="16" t="s">
        <v>436</v>
      </c>
      <c r="P635" s="16" t="s">
        <v>572</v>
      </c>
      <c r="Q635" s="16" t="s">
        <v>71</v>
      </c>
      <c r="R635" s="17" t="s">
        <v>7054</v>
      </c>
      <c r="S635" s="16" t="s">
        <v>346</v>
      </c>
      <c r="T635" s="16" t="s">
        <v>74</v>
      </c>
      <c r="U635" s="16" t="s">
        <v>75</v>
      </c>
      <c r="V635" s="16" t="s">
        <v>7055</v>
      </c>
      <c r="W635" s="16"/>
      <c r="X635" s="16" t="s">
        <v>3042</v>
      </c>
      <c r="Y635" s="16" t="s">
        <v>78</v>
      </c>
      <c r="Z635" s="16" t="s">
        <v>349</v>
      </c>
      <c r="AA635" s="16" t="s">
        <v>350</v>
      </c>
      <c r="AB635" s="17" t="s">
        <v>7056</v>
      </c>
      <c r="AC635" s="16" t="s">
        <v>71</v>
      </c>
      <c r="AD635" s="17" t="s">
        <v>7056</v>
      </c>
      <c r="AG635" s="16" t="s">
        <v>4235</v>
      </c>
      <c r="AH635" s="16" t="s">
        <v>1572</v>
      </c>
      <c r="AI635" s="16"/>
      <c r="AJ635" s="16"/>
      <c r="AK635" s="16"/>
      <c r="AL635" s="16" t="s">
        <v>7057</v>
      </c>
    </row>
    <row r="636" spans="1:38" x14ac:dyDescent="0.5">
      <c r="A636">
        <v>21928</v>
      </c>
      <c r="B636" s="16" t="s">
        <v>286</v>
      </c>
      <c r="C636" s="16" t="s">
        <v>286</v>
      </c>
      <c r="D636" s="16"/>
      <c r="E636" s="16" t="s">
        <v>7058</v>
      </c>
      <c r="F636" s="17" t="s">
        <v>7059</v>
      </c>
      <c r="G636" s="17" t="s">
        <v>7060</v>
      </c>
      <c r="H636" s="16" t="s">
        <v>1759</v>
      </c>
      <c r="I636" s="16" t="s">
        <v>7061</v>
      </c>
      <c r="J636" s="33">
        <v>42957</v>
      </c>
      <c r="K636" s="33">
        <v>43687</v>
      </c>
      <c r="L636" s="16" t="s">
        <v>66</v>
      </c>
      <c r="M636" s="16" t="s">
        <v>67</v>
      </c>
      <c r="N636" s="16" t="s">
        <v>68</v>
      </c>
      <c r="O636" s="16" t="s">
        <v>436</v>
      </c>
      <c r="P636" s="16" t="s">
        <v>572</v>
      </c>
      <c r="Q636" s="16" t="s">
        <v>71</v>
      </c>
      <c r="R636" s="17" t="s">
        <v>7062</v>
      </c>
      <c r="S636" s="16" t="s">
        <v>222</v>
      </c>
      <c r="T636" s="16" t="s">
        <v>74</v>
      </c>
      <c r="U636" s="16" t="s">
        <v>75</v>
      </c>
      <c r="V636" s="16" t="s">
        <v>7063</v>
      </c>
      <c r="W636" s="16"/>
      <c r="X636" s="16" t="s">
        <v>7064</v>
      </c>
      <c r="Y636" s="16" t="s">
        <v>78</v>
      </c>
      <c r="Z636" s="16" t="s">
        <v>189</v>
      </c>
      <c r="AA636" s="16" t="s">
        <v>190</v>
      </c>
      <c r="AB636" s="17" t="s">
        <v>7065</v>
      </c>
      <c r="AC636" s="16" t="s">
        <v>71</v>
      </c>
      <c r="AD636" s="17" t="s">
        <v>7065</v>
      </c>
      <c r="AE636" s="17" t="s">
        <v>7066</v>
      </c>
      <c r="AG636" s="16" t="s">
        <v>2021</v>
      </c>
      <c r="AH636" s="16" t="s">
        <v>1030</v>
      </c>
      <c r="AI636" s="16"/>
      <c r="AJ636" s="16"/>
      <c r="AK636" s="16"/>
      <c r="AL636" s="16" t="s">
        <v>7067</v>
      </c>
    </row>
    <row r="637" spans="1:38" x14ac:dyDescent="0.5">
      <c r="A637">
        <v>21929</v>
      </c>
      <c r="B637" s="16" t="s">
        <v>1756</v>
      </c>
      <c r="C637" s="16" t="s">
        <v>1756</v>
      </c>
      <c r="D637" s="16"/>
      <c r="E637" s="16" t="s">
        <v>4313</v>
      </c>
      <c r="F637" s="17" t="s">
        <v>7068</v>
      </c>
      <c r="G637" s="17" t="s">
        <v>7069</v>
      </c>
      <c r="H637" s="16" t="s">
        <v>7070</v>
      </c>
      <c r="I637" s="16" t="s">
        <v>7071</v>
      </c>
      <c r="J637" s="33">
        <v>42915</v>
      </c>
      <c r="K637" s="33">
        <v>43465</v>
      </c>
      <c r="L637" s="16" t="s">
        <v>66</v>
      </c>
      <c r="M637" s="16" t="s">
        <v>67</v>
      </c>
      <c r="N637" s="16" t="s">
        <v>68</v>
      </c>
      <c r="O637" s="16" t="s">
        <v>436</v>
      </c>
      <c r="P637" s="16" t="s">
        <v>572</v>
      </c>
      <c r="Q637" s="16" t="s">
        <v>71</v>
      </c>
      <c r="R637" s="17" t="s">
        <v>7072</v>
      </c>
      <c r="S637" s="16" t="s">
        <v>7073</v>
      </c>
      <c r="T637" s="16" t="s">
        <v>74</v>
      </c>
      <c r="U637" s="16" t="s">
        <v>75</v>
      </c>
      <c r="V637" s="16" t="s">
        <v>7074</v>
      </c>
      <c r="W637" s="16"/>
      <c r="X637" s="16" t="s">
        <v>7075</v>
      </c>
      <c r="Y637" s="16" t="s">
        <v>78</v>
      </c>
      <c r="Z637" s="16" t="s">
        <v>376</v>
      </c>
      <c r="AA637" s="16" t="s">
        <v>377</v>
      </c>
      <c r="AB637" s="17" t="s">
        <v>7076</v>
      </c>
      <c r="AC637" s="16" t="s">
        <v>71</v>
      </c>
      <c r="AD637" s="17" t="s">
        <v>7076</v>
      </c>
      <c r="AE637" s="17" t="s">
        <v>7077</v>
      </c>
      <c r="AG637" s="16" t="s">
        <v>7078</v>
      </c>
      <c r="AH637" s="16" t="s">
        <v>7079</v>
      </c>
      <c r="AI637" s="16"/>
      <c r="AJ637" s="16"/>
      <c r="AK637" s="16"/>
      <c r="AL637" s="16" t="s">
        <v>7080</v>
      </c>
    </row>
    <row r="638" spans="1:38" x14ac:dyDescent="0.5">
      <c r="A638">
        <v>21930</v>
      </c>
      <c r="B638" s="16" t="s">
        <v>7081</v>
      </c>
      <c r="C638" s="16" t="s">
        <v>7081</v>
      </c>
      <c r="D638" s="16"/>
      <c r="E638" s="16" t="s">
        <v>7082</v>
      </c>
      <c r="F638" s="17" t="s">
        <v>7083</v>
      </c>
      <c r="G638" s="17" t="s">
        <v>7084</v>
      </c>
      <c r="H638" s="16" t="s">
        <v>456</v>
      </c>
      <c r="I638" s="16" t="s">
        <v>7085</v>
      </c>
      <c r="J638" s="33">
        <v>42921</v>
      </c>
      <c r="K638" s="33">
        <v>43100</v>
      </c>
      <c r="L638" s="16" t="s">
        <v>66</v>
      </c>
      <c r="M638" s="16" t="s">
        <v>67</v>
      </c>
      <c r="N638" s="16" t="s">
        <v>68</v>
      </c>
      <c r="O638" s="16" t="s">
        <v>436</v>
      </c>
      <c r="P638" s="16" t="s">
        <v>572</v>
      </c>
      <c r="Q638" s="16" t="s">
        <v>71</v>
      </c>
      <c r="R638" s="17" t="s">
        <v>8647</v>
      </c>
      <c r="S638" s="16" t="s">
        <v>8648</v>
      </c>
      <c r="T638" s="16" t="s">
        <v>2137</v>
      </c>
      <c r="U638" s="16" t="s">
        <v>2138</v>
      </c>
      <c r="V638" s="16" t="s">
        <v>7086</v>
      </c>
      <c r="W638" s="16" t="s">
        <v>7087</v>
      </c>
      <c r="X638" s="16" t="s">
        <v>7088</v>
      </c>
      <c r="Y638" s="16" t="s">
        <v>744</v>
      </c>
      <c r="Z638" s="16"/>
      <c r="AA638" s="16"/>
      <c r="AB638" s="17" t="s">
        <v>7089</v>
      </c>
      <c r="AC638" s="16" t="s">
        <v>71</v>
      </c>
      <c r="AD638" s="17" t="s">
        <v>7089</v>
      </c>
      <c r="AG638" s="16" t="s">
        <v>7090</v>
      </c>
      <c r="AH638" s="16" t="s">
        <v>2632</v>
      </c>
      <c r="AI638" s="16"/>
      <c r="AJ638" s="16"/>
      <c r="AK638" s="16"/>
      <c r="AL638" s="16" t="s">
        <v>7091</v>
      </c>
    </row>
    <row r="639" spans="1:38" x14ac:dyDescent="0.5">
      <c r="A639">
        <v>21931</v>
      </c>
      <c r="B639" s="16" t="s">
        <v>138</v>
      </c>
      <c r="C639" s="16" t="s">
        <v>138</v>
      </c>
      <c r="D639" s="16"/>
      <c r="E639" s="16" t="s">
        <v>7092</v>
      </c>
      <c r="F639" s="17" t="s">
        <v>7093</v>
      </c>
      <c r="H639" s="16" t="s">
        <v>7094</v>
      </c>
      <c r="I639" s="16" t="s">
        <v>7095</v>
      </c>
      <c r="J639" s="33">
        <v>42957</v>
      </c>
      <c r="K639" s="33">
        <v>43322</v>
      </c>
      <c r="L639" s="16" t="s">
        <v>66</v>
      </c>
      <c r="M639" s="16" t="s">
        <v>67</v>
      </c>
      <c r="N639" s="16" t="s">
        <v>68</v>
      </c>
      <c r="O639" s="16" t="s">
        <v>436</v>
      </c>
      <c r="P639" s="16" t="s">
        <v>572</v>
      </c>
      <c r="Q639" s="16" t="s">
        <v>71</v>
      </c>
      <c r="R639" s="17" t="s">
        <v>7096</v>
      </c>
      <c r="S639" s="16" t="s">
        <v>7097</v>
      </c>
      <c r="T639" s="16" t="s">
        <v>74</v>
      </c>
      <c r="U639" s="16" t="s">
        <v>75</v>
      </c>
      <c r="V639" s="16" t="s">
        <v>7098</v>
      </c>
      <c r="W639" s="16"/>
      <c r="X639" s="16" t="s">
        <v>7099</v>
      </c>
      <c r="Y639" s="16" t="s">
        <v>78</v>
      </c>
      <c r="Z639" s="16" t="s">
        <v>508</v>
      </c>
      <c r="AA639" s="16" t="s">
        <v>509</v>
      </c>
      <c r="AB639" s="17" t="s">
        <v>7100</v>
      </c>
      <c r="AC639" s="16" t="s">
        <v>71</v>
      </c>
      <c r="AD639" s="17" t="s">
        <v>7100</v>
      </c>
      <c r="AG639" s="16" t="s">
        <v>1502</v>
      </c>
      <c r="AH639" s="16" t="s">
        <v>3190</v>
      </c>
      <c r="AI639" s="16"/>
      <c r="AJ639" s="16"/>
      <c r="AK639" s="16"/>
      <c r="AL639" s="16" t="s">
        <v>7101</v>
      </c>
    </row>
    <row r="640" spans="1:38" x14ac:dyDescent="0.5">
      <c r="A640">
        <v>21933</v>
      </c>
      <c r="B640" s="16" t="s">
        <v>7102</v>
      </c>
      <c r="C640" s="16" t="s">
        <v>7102</v>
      </c>
      <c r="D640" s="16"/>
      <c r="E640" s="16" t="s">
        <v>7103</v>
      </c>
      <c r="F640" s="17" t="s">
        <v>7104</v>
      </c>
      <c r="G640" s="17" t="s">
        <v>7105</v>
      </c>
      <c r="H640" s="16" t="s">
        <v>5394</v>
      </c>
      <c r="I640" s="16" t="s">
        <v>7106</v>
      </c>
      <c r="J640" s="33">
        <v>42921</v>
      </c>
      <c r="K640" s="33">
        <v>43465</v>
      </c>
      <c r="L640" s="16" t="s">
        <v>66</v>
      </c>
      <c r="M640" s="16" t="s">
        <v>67</v>
      </c>
      <c r="N640" s="16" t="s">
        <v>68</v>
      </c>
      <c r="O640" s="16" t="s">
        <v>436</v>
      </c>
      <c r="P640" s="16" t="s">
        <v>572</v>
      </c>
      <c r="Q640" s="16" t="s">
        <v>71</v>
      </c>
      <c r="R640" s="17" t="s">
        <v>7107</v>
      </c>
      <c r="S640" s="16" t="s">
        <v>4388</v>
      </c>
      <c r="T640" s="16" t="s">
        <v>2626</v>
      </c>
      <c r="U640" s="16" t="s">
        <v>2627</v>
      </c>
      <c r="V640" s="16" t="s">
        <v>7108</v>
      </c>
      <c r="W640" s="16" t="s">
        <v>7109</v>
      </c>
      <c r="X640" s="16" t="s">
        <v>7110</v>
      </c>
      <c r="Y640" s="16" t="s">
        <v>2630</v>
      </c>
      <c r="Z640" s="16"/>
      <c r="AA640" s="16"/>
      <c r="AB640" s="17" t="s">
        <v>7111</v>
      </c>
      <c r="AC640" s="16" t="s">
        <v>71</v>
      </c>
      <c r="AD640" s="17" t="s">
        <v>7111</v>
      </c>
      <c r="AG640" s="16" t="s">
        <v>2633</v>
      </c>
      <c r="AH640" s="16" t="s">
        <v>579</v>
      </c>
      <c r="AI640" s="16"/>
      <c r="AJ640" s="16"/>
      <c r="AK640" s="16"/>
      <c r="AL640" s="16" t="s">
        <v>7112</v>
      </c>
    </row>
    <row r="641" spans="1:38" x14ac:dyDescent="0.5">
      <c r="A641">
        <v>21934</v>
      </c>
      <c r="B641" s="16" t="s">
        <v>228</v>
      </c>
      <c r="C641" s="16" t="s">
        <v>229</v>
      </c>
      <c r="D641" s="16"/>
      <c r="E641" s="16" t="s">
        <v>7113</v>
      </c>
      <c r="F641" s="17" t="s">
        <v>7114</v>
      </c>
      <c r="G641" s="17" t="s">
        <v>7115</v>
      </c>
      <c r="H641" s="16" t="s">
        <v>1976</v>
      </c>
      <c r="I641" s="16" t="s">
        <v>1381</v>
      </c>
      <c r="J641" s="33">
        <v>42926</v>
      </c>
      <c r="K641" s="33">
        <v>43465</v>
      </c>
      <c r="L641" s="16" t="s">
        <v>66</v>
      </c>
      <c r="M641" s="16" t="s">
        <v>67</v>
      </c>
      <c r="N641" s="16" t="s">
        <v>68</v>
      </c>
      <c r="O641" s="16" t="s">
        <v>436</v>
      </c>
      <c r="P641" s="16" t="s">
        <v>572</v>
      </c>
      <c r="Q641" s="16" t="s">
        <v>71</v>
      </c>
      <c r="R641" s="17" t="s">
        <v>7116</v>
      </c>
      <c r="S641" s="16" t="s">
        <v>1383</v>
      </c>
      <c r="T641" s="16" t="s">
        <v>74</v>
      </c>
      <c r="U641" s="16" t="s">
        <v>75</v>
      </c>
      <c r="V641" s="16" t="s">
        <v>7117</v>
      </c>
      <c r="W641" s="16"/>
      <c r="X641" s="16" t="s">
        <v>7118</v>
      </c>
      <c r="Y641" s="16" t="s">
        <v>78</v>
      </c>
      <c r="Z641" s="16" t="s">
        <v>1386</v>
      </c>
      <c r="AA641" s="16" t="s">
        <v>1387</v>
      </c>
      <c r="AB641" s="17" t="s">
        <v>7119</v>
      </c>
      <c r="AC641" s="16" t="s">
        <v>71</v>
      </c>
      <c r="AD641" s="17" t="s">
        <v>7119</v>
      </c>
      <c r="AF641" s="17" t="s">
        <v>7119</v>
      </c>
      <c r="AG641" s="16" t="s">
        <v>2108</v>
      </c>
      <c r="AH641" s="16" t="s">
        <v>5381</v>
      </c>
      <c r="AI641" s="16"/>
      <c r="AJ641" s="16"/>
      <c r="AK641" s="16"/>
      <c r="AL641" s="16" t="s">
        <v>7120</v>
      </c>
    </row>
    <row r="642" spans="1:38" x14ac:dyDescent="0.5">
      <c r="A642">
        <v>21935</v>
      </c>
      <c r="B642" s="16" t="s">
        <v>566</v>
      </c>
      <c r="C642" s="16" t="s">
        <v>567</v>
      </c>
      <c r="D642" s="16"/>
      <c r="E642" s="16" t="s">
        <v>7121</v>
      </c>
      <c r="F642" s="17" t="s">
        <v>7122</v>
      </c>
      <c r="G642" s="17" t="s">
        <v>7123</v>
      </c>
      <c r="H642" s="16" t="s">
        <v>7124</v>
      </c>
      <c r="I642" s="16" t="s">
        <v>7125</v>
      </c>
      <c r="J642" s="33">
        <v>42949</v>
      </c>
      <c r="K642" s="33">
        <v>43314</v>
      </c>
      <c r="L642" s="16" t="s">
        <v>66</v>
      </c>
      <c r="M642" s="16" t="s">
        <v>67</v>
      </c>
      <c r="N642" s="16" t="s">
        <v>68</v>
      </c>
      <c r="O642" s="16" t="s">
        <v>436</v>
      </c>
      <c r="P642" s="16" t="s">
        <v>572</v>
      </c>
      <c r="Q642" s="16" t="s">
        <v>71</v>
      </c>
      <c r="R642" s="17" t="s">
        <v>7126</v>
      </c>
      <c r="S642" s="16" t="s">
        <v>1737</v>
      </c>
      <c r="T642" s="16" t="s">
        <v>74</v>
      </c>
      <c r="U642" s="16" t="s">
        <v>75</v>
      </c>
      <c r="V642" s="16" t="s">
        <v>7127</v>
      </c>
      <c r="W642" s="16" t="s">
        <v>7128</v>
      </c>
      <c r="X642" s="16" t="s">
        <v>7129</v>
      </c>
      <c r="Y642" s="16" t="s">
        <v>78</v>
      </c>
      <c r="Z642" s="16" t="s">
        <v>1025</v>
      </c>
      <c r="AA642" s="16" t="s">
        <v>1026</v>
      </c>
      <c r="AB642" s="17" t="s">
        <v>7130</v>
      </c>
      <c r="AC642" s="16" t="s">
        <v>71</v>
      </c>
      <c r="AD642" s="17" t="s">
        <v>7130</v>
      </c>
      <c r="AE642" s="17" t="s">
        <v>7131</v>
      </c>
      <c r="AG642" s="16" t="s">
        <v>579</v>
      </c>
      <c r="AH642" s="16" t="s">
        <v>1285</v>
      </c>
      <c r="AI642" s="16"/>
      <c r="AJ642" s="16"/>
      <c r="AK642" s="16"/>
      <c r="AL642" s="16" t="s">
        <v>7132</v>
      </c>
    </row>
    <row r="643" spans="1:38" x14ac:dyDescent="0.5">
      <c r="A643">
        <v>21936</v>
      </c>
      <c r="B643" s="16" t="s">
        <v>7133</v>
      </c>
      <c r="C643" s="16" t="s">
        <v>7133</v>
      </c>
      <c r="D643" s="16" t="s">
        <v>383</v>
      </c>
      <c r="E643" s="16" t="s">
        <v>760</v>
      </c>
      <c r="F643" s="17" t="s">
        <v>7134</v>
      </c>
      <c r="H643" s="16" t="s">
        <v>7135</v>
      </c>
      <c r="I643" s="16" t="s">
        <v>7136</v>
      </c>
      <c r="J643" s="33">
        <v>42915</v>
      </c>
      <c r="K643" s="33">
        <v>43465</v>
      </c>
      <c r="L643" s="16" t="s">
        <v>66</v>
      </c>
      <c r="M643" s="16" t="s">
        <v>67</v>
      </c>
      <c r="N643" s="16" t="s">
        <v>68</v>
      </c>
      <c r="O643" s="16" t="s">
        <v>436</v>
      </c>
      <c r="P643" s="16" t="s">
        <v>572</v>
      </c>
      <c r="Q643" s="16" t="s">
        <v>71</v>
      </c>
      <c r="R643" s="17" t="s">
        <v>7137</v>
      </c>
      <c r="S643" s="16" t="s">
        <v>3073</v>
      </c>
      <c r="T643" s="16" t="s">
        <v>74</v>
      </c>
      <c r="U643" s="16" t="s">
        <v>75</v>
      </c>
      <c r="V643" s="16" t="s">
        <v>7138</v>
      </c>
      <c r="W643" s="16"/>
      <c r="X643" s="16" t="s">
        <v>7139</v>
      </c>
      <c r="Y643" s="16" t="s">
        <v>78</v>
      </c>
      <c r="Z643" s="16" t="s">
        <v>2165</v>
      </c>
      <c r="AA643" s="16" t="s">
        <v>2166</v>
      </c>
      <c r="AB643" s="17" t="s">
        <v>7140</v>
      </c>
      <c r="AC643" s="16" t="s">
        <v>71</v>
      </c>
      <c r="AD643" s="17" t="s">
        <v>7140</v>
      </c>
      <c r="AF643" s="17" t="s">
        <v>7141</v>
      </c>
      <c r="AG643" s="16" t="s">
        <v>6615</v>
      </c>
      <c r="AH643" s="16" t="s">
        <v>6269</v>
      </c>
      <c r="AI643" s="16"/>
      <c r="AJ643" s="16"/>
      <c r="AK643" s="16"/>
      <c r="AL643" s="16" t="s">
        <v>7142</v>
      </c>
    </row>
    <row r="644" spans="1:38" x14ac:dyDescent="0.5">
      <c r="A644">
        <v>21937</v>
      </c>
      <c r="B644" s="16" t="s">
        <v>7143</v>
      </c>
      <c r="C644" s="16" t="s">
        <v>7143</v>
      </c>
      <c r="D644" s="16"/>
      <c r="E644" s="16" t="s">
        <v>7144</v>
      </c>
      <c r="F644" s="17" t="s">
        <v>7145</v>
      </c>
      <c r="G644" s="17" t="s">
        <v>7146</v>
      </c>
      <c r="H644" s="16" t="s">
        <v>6629</v>
      </c>
      <c r="I644" s="16" t="s">
        <v>7147</v>
      </c>
      <c r="J644" s="33">
        <v>43024</v>
      </c>
      <c r="K644" s="33">
        <v>43388</v>
      </c>
      <c r="L644" s="16" t="s">
        <v>66</v>
      </c>
      <c r="M644" s="16" t="s">
        <v>67</v>
      </c>
      <c r="N644" s="16" t="s">
        <v>68</v>
      </c>
      <c r="O644" s="16" t="s">
        <v>436</v>
      </c>
      <c r="P644" s="16" t="s">
        <v>572</v>
      </c>
      <c r="Q644" s="16" t="s">
        <v>71</v>
      </c>
      <c r="R644" s="17" t="s">
        <v>7148</v>
      </c>
      <c r="S644" s="16" t="s">
        <v>4388</v>
      </c>
      <c r="T644" s="16" t="s">
        <v>2626</v>
      </c>
      <c r="U644" s="16" t="s">
        <v>2627</v>
      </c>
      <c r="V644" s="16" t="s">
        <v>7149</v>
      </c>
      <c r="W644" s="16"/>
      <c r="X644" s="16"/>
      <c r="Y644" s="16" t="s">
        <v>2630</v>
      </c>
      <c r="Z644" s="16"/>
      <c r="AA644" s="16"/>
      <c r="AB644" s="17" t="s">
        <v>7150</v>
      </c>
      <c r="AC644" s="16" t="s">
        <v>71</v>
      </c>
      <c r="AD644" s="17" t="s">
        <v>7150</v>
      </c>
      <c r="AE644" s="17" t="s">
        <v>7151</v>
      </c>
      <c r="AG644" s="16" t="s">
        <v>2633</v>
      </c>
      <c r="AH644" s="16" t="s">
        <v>3373</v>
      </c>
      <c r="AI644" s="16"/>
      <c r="AJ644" s="16"/>
      <c r="AK644" s="16"/>
      <c r="AL644" s="16" t="s">
        <v>7152</v>
      </c>
    </row>
    <row r="645" spans="1:38" x14ac:dyDescent="0.5">
      <c r="A645">
        <v>21938</v>
      </c>
      <c r="B645" s="16" t="s">
        <v>7153</v>
      </c>
      <c r="C645" s="16" t="s">
        <v>7154</v>
      </c>
      <c r="D645" s="16"/>
      <c r="E645" s="16" t="s">
        <v>7155</v>
      </c>
      <c r="F645" s="17" t="s">
        <v>7156</v>
      </c>
      <c r="G645" s="17" t="s">
        <v>7157</v>
      </c>
      <c r="H645" s="16" t="s">
        <v>7158</v>
      </c>
      <c r="I645" s="16" t="s">
        <v>7159</v>
      </c>
      <c r="J645" s="33">
        <v>42916</v>
      </c>
      <c r="K645" s="33">
        <v>43465</v>
      </c>
      <c r="L645" s="16" t="s">
        <v>66</v>
      </c>
      <c r="M645" s="16" t="s">
        <v>67</v>
      </c>
      <c r="N645" s="16" t="s">
        <v>68</v>
      </c>
      <c r="O645" s="16" t="s">
        <v>436</v>
      </c>
      <c r="P645" s="16" t="s">
        <v>572</v>
      </c>
      <c r="Q645" s="16" t="s">
        <v>71</v>
      </c>
      <c r="R645" s="17" t="s">
        <v>7160</v>
      </c>
      <c r="S645" s="16" t="s">
        <v>662</v>
      </c>
      <c r="T645" s="16" t="s">
        <v>74</v>
      </c>
      <c r="U645" s="16" t="s">
        <v>75</v>
      </c>
      <c r="V645" s="16" t="s">
        <v>7161</v>
      </c>
      <c r="W645" s="16"/>
      <c r="X645" s="16" t="s">
        <v>7162</v>
      </c>
      <c r="Y645" s="16" t="s">
        <v>78</v>
      </c>
      <c r="Z645" s="16" t="s">
        <v>666</v>
      </c>
      <c r="AA645" s="16" t="s">
        <v>667</v>
      </c>
      <c r="AB645" s="17" t="s">
        <v>7163</v>
      </c>
      <c r="AC645" s="16" t="s">
        <v>71</v>
      </c>
      <c r="AD645" s="17" t="s">
        <v>7163</v>
      </c>
      <c r="AE645" s="17" t="s">
        <v>7164</v>
      </c>
      <c r="AG645" s="16" t="s">
        <v>3725</v>
      </c>
      <c r="AH645" s="16" t="s">
        <v>579</v>
      </c>
      <c r="AI645" s="16"/>
      <c r="AJ645" s="16"/>
      <c r="AK645" s="16"/>
      <c r="AL645" s="16" t="s">
        <v>7165</v>
      </c>
    </row>
    <row r="646" spans="1:38" x14ac:dyDescent="0.5">
      <c r="A646">
        <v>21939</v>
      </c>
      <c r="B646" s="16" t="s">
        <v>7166</v>
      </c>
      <c r="C646" s="16" t="s">
        <v>7166</v>
      </c>
      <c r="D646" s="16"/>
      <c r="E646" s="16" t="s">
        <v>7167</v>
      </c>
      <c r="F646" s="17" t="s">
        <v>7168</v>
      </c>
      <c r="G646" s="17" t="s">
        <v>7169</v>
      </c>
      <c r="H646" s="16" t="s">
        <v>7170</v>
      </c>
      <c r="I646" s="16" t="s">
        <v>7171</v>
      </c>
      <c r="J646" s="33">
        <v>42969</v>
      </c>
      <c r="K646" s="33">
        <v>43333</v>
      </c>
      <c r="L646" s="16" t="s">
        <v>66</v>
      </c>
      <c r="M646" s="16" t="s">
        <v>67</v>
      </c>
      <c r="N646" s="16" t="s">
        <v>68</v>
      </c>
      <c r="O646" s="16" t="s">
        <v>69</v>
      </c>
      <c r="P646" s="16" t="s">
        <v>572</v>
      </c>
      <c r="Q646" s="16" t="s">
        <v>71</v>
      </c>
      <c r="R646" s="17" t="s">
        <v>7172</v>
      </c>
      <c r="S646" s="16" t="s">
        <v>1165</v>
      </c>
      <c r="T646" s="16" t="s">
        <v>740</v>
      </c>
      <c r="U646" s="16" t="s">
        <v>741</v>
      </c>
      <c r="V646" s="16" t="s">
        <v>7173</v>
      </c>
      <c r="W646" s="16"/>
      <c r="X646" s="16" t="s">
        <v>7174</v>
      </c>
      <c r="Y646" s="16" t="s">
        <v>744</v>
      </c>
      <c r="Z646" s="16"/>
      <c r="AA646" s="16"/>
      <c r="AB646" s="17" t="s">
        <v>7175</v>
      </c>
      <c r="AC646" s="16" t="s">
        <v>71</v>
      </c>
      <c r="AD646" s="17" t="s">
        <v>7175</v>
      </c>
      <c r="AF646" s="17" t="s">
        <v>7176</v>
      </c>
      <c r="AG646" s="16" t="s">
        <v>1357</v>
      </c>
      <c r="AH646" s="16" t="s">
        <v>2632</v>
      </c>
      <c r="AI646" s="16"/>
      <c r="AJ646" s="16"/>
      <c r="AK646" s="16"/>
      <c r="AL646" s="16" t="s">
        <v>7177</v>
      </c>
    </row>
    <row r="647" spans="1:38" x14ac:dyDescent="0.5">
      <c r="A647">
        <v>21940</v>
      </c>
      <c r="B647" s="16" t="s">
        <v>7178</v>
      </c>
      <c r="C647" s="16" t="s">
        <v>7178</v>
      </c>
      <c r="D647" s="16"/>
      <c r="E647" s="16" t="s">
        <v>7179</v>
      </c>
      <c r="F647" s="17" t="s">
        <v>7180</v>
      </c>
      <c r="H647" s="16" t="s">
        <v>699</v>
      </c>
      <c r="I647" s="16" t="s">
        <v>7181</v>
      </c>
      <c r="J647" s="33">
        <v>42999</v>
      </c>
      <c r="K647" s="33">
        <v>43363</v>
      </c>
      <c r="L647" s="16" t="s">
        <v>66</v>
      </c>
      <c r="M647" s="16" t="s">
        <v>167</v>
      </c>
      <c r="N647" s="16" t="s">
        <v>110</v>
      </c>
      <c r="O647" s="16" t="s">
        <v>280</v>
      </c>
      <c r="P647" s="16" t="s">
        <v>572</v>
      </c>
      <c r="Q647" s="16" t="s">
        <v>71</v>
      </c>
      <c r="R647" s="17" t="s">
        <v>7182</v>
      </c>
      <c r="S647" s="16" t="s">
        <v>4137</v>
      </c>
      <c r="T647" s="16" t="s">
        <v>4138</v>
      </c>
      <c r="U647" s="16" t="s">
        <v>4139</v>
      </c>
      <c r="V647" s="16" t="s">
        <v>7183</v>
      </c>
      <c r="W647" s="16"/>
      <c r="X647" s="16" t="s">
        <v>7184</v>
      </c>
      <c r="Y647" s="16" t="s">
        <v>744</v>
      </c>
      <c r="Z647" s="16"/>
      <c r="AA647" s="16"/>
      <c r="AB647" s="17" t="s">
        <v>7185</v>
      </c>
      <c r="AC647" s="16" t="s">
        <v>71</v>
      </c>
      <c r="AD647" s="17" t="s">
        <v>7185</v>
      </c>
      <c r="AG647" s="16" t="s">
        <v>3302</v>
      </c>
      <c r="AH647" s="16" t="s">
        <v>2108</v>
      </c>
      <c r="AI647" s="16"/>
      <c r="AJ647" s="16"/>
      <c r="AK647" s="16"/>
      <c r="AL647" s="16" t="s">
        <v>7186</v>
      </c>
    </row>
    <row r="648" spans="1:38" x14ac:dyDescent="0.5">
      <c r="A648">
        <v>21941</v>
      </c>
      <c r="B648" s="16" t="s">
        <v>7187</v>
      </c>
      <c r="C648" s="16" t="s">
        <v>7187</v>
      </c>
      <c r="D648" s="16"/>
      <c r="E648" s="16" t="s">
        <v>7188</v>
      </c>
      <c r="F648" s="17" t="s">
        <v>7189</v>
      </c>
      <c r="H648" s="16" t="s">
        <v>699</v>
      </c>
      <c r="I648" s="16" t="s">
        <v>7190</v>
      </c>
      <c r="J648" s="33">
        <v>42928</v>
      </c>
      <c r="K648" s="33">
        <v>43465</v>
      </c>
      <c r="L648" s="16" t="s">
        <v>66</v>
      </c>
      <c r="M648" s="16" t="s">
        <v>167</v>
      </c>
      <c r="N648" s="16" t="s">
        <v>110</v>
      </c>
      <c r="O648" s="16" t="s">
        <v>280</v>
      </c>
      <c r="P648" s="16" t="s">
        <v>572</v>
      </c>
      <c r="Q648" s="16" t="s">
        <v>71</v>
      </c>
      <c r="R648" s="17" t="s">
        <v>7191</v>
      </c>
      <c r="S648" s="16" t="s">
        <v>113</v>
      </c>
      <c r="T648" s="16" t="s">
        <v>74</v>
      </c>
      <c r="U648" s="16" t="s">
        <v>75</v>
      </c>
      <c r="V648" s="16" t="s">
        <v>7192</v>
      </c>
      <c r="W648" s="16"/>
      <c r="X648" s="16" t="s">
        <v>321</v>
      </c>
      <c r="Y648" s="16" t="s">
        <v>78</v>
      </c>
      <c r="Z648" s="16" t="s">
        <v>117</v>
      </c>
      <c r="AA648" s="16" t="s">
        <v>113</v>
      </c>
      <c r="AB648" s="17" t="s">
        <v>7193</v>
      </c>
      <c r="AC648" s="16" t="s">
        <v>71</v>
      </c>
      <c r="AD648" s="17" t="s">
        <v>7193</v>
      </c>
      <c r="AF648" s="17" t="s">
        <v>7194</v>
      </c>
      <c r="AG648" s="16" t="s">
        <v>3302</v>
      </c>
      <c r="AH648" s="16" t="s">
        <v>2108</v>
      </c>
      <c r="AI648" s="16"/>
      <c r="AJ648" s="16"/>
      <c r="AK648" s="16"/>
      <c r="AL648" s="16" t="s">
        <v>7195</v>
      </c>
    </row>
    <row r="649" spans="1:38" x14ac:dyDescent="0.5">
      <c r="A649">
        <v>21942</v>
      </c>
      <c r="B649" s="16" t="s">
        <v>640</v>
      </c>
      <c r="C649" s="16" t="s">
        <v>640</v>
      </c>
      <c r="D649" s="16" t="s">
        <v>3834</v>
      </c>
      <c r="E649" s="16" t="s">
        <v>7196</v>
      </c>
      <c r="F649" s="17" t="s">
        <v>7197</v>
      </c>
      <c r="H649" s="16" t="s">
        <v>7198</v>
      </c>
      <c r="I649" s="16" t="s">
        <v>446</v>
      </c>
      <c r="J649" s="33">
        <v>42961</v>
      </c>
      <c r="K649" s="33">
        <v>43691</v>
      </c>
      <c r="L649" s="16" t="s">
        <v>66</v>
      </c>
      <c r="M649" s="16" t="s">
        <v>167</v>
      </c>
      <c r="N649" s="16" t="s">
        <v>110</v>
      </c>
      <c r="O649" s="16" t="s">
        <v>280</v>
      </c>
      <c r="P649" s="16" t="s">
        <v>572</v>
      </c>
      <c r="Q649" s="16" t="s">
        <v>71</v>
      </c>
      <c r="R649" s="17" t="s">
        <v>7199</v>
      </c>
      <c r="S649" s="16" t="s">
        <v>222</v>
      </c>
      <c r="T649" s="16" t="s">
        <v>74</v>
      </c>
      <c r="U649" s="16" t="s">
        <v>75</v>
      </c>
      <c r="V649" s="16" t="s">
        <v>7200</v>
      </c>
      <c r="W649" s="16" t="s">
        <v>7201</v>
      </c>
      <c r="X649" s="16" t="s">
        <v>7202</v>
      </c>
      <c r="Y649" s="16" t="s">
        <v>78</v>
      </c>
      <c r="Z649" s="16" t="s">
        <v>189</v>
      </c>
      <c r="AA649" s="16" t="s">
        <v>190</v>
      </c>
      <c r="AB649" s="17" t="s">
        <v>7203</v>
      </c>
      <c r="AC649" s="16" t="s">
        <v>71</v>
      </c>
      <c r="AD649" s="17" t="s">
        <v>7203</v>
      </c>
      <c r="AG649" s="16" t="s">
        <v>2021</v>
      </c>
      <c r="AH649" s="16" t="s">
        <v>7204</v>
      </c>
      <c r="AI649" s="16"/>
      <c r="AJ649" s="16"/>
      <c r="AK649" s="16"/>
      <c r="AL649" s="16" t="s">
        <v>7205</v>
      </c>
    </row>
    <row r="650" spans="1:38" x14ac:dyDescent="0.5">
      <c r="A650">
        <v>21943</v>
      </c>
      <c r="B650" s="16" t="s">
        <v>286</v>
      </c>
      <c r="C650" s="16" t="s">
        <v>286</v>
      </c>
      <c r="D650" s="16"/>
      <c r="E650" s="16" t="s">
        <v>6869</v>
      </c>
      <c r="F650" s="17" t="s">
        <v>7206</v>
      </c>
      <c r="G650" s="17" t="s">
        <v>7207</v>
      </c>
      <c r="H650" s="16" t="s">
        <v>819</v>
      </c>
      <c r="I650" s="16" t="s">
        <v>7208</v>
      </c>
      <c r="J650" s="33">
        <v>42933</v>
      </c>
      <c r="K650" s="33">
        <v>43465</v>
      </c>
      <c r="L650" s="16" t="s">
        <v>66</v>
      </c>
      <c r="M650" s="16" t="s">
        <v>1036</v>
      </c>
      <c r="N650" s="16"/>
      <c r="O650" s="16" t="s">
        <v>1037</v>
      </c>
      <c r="P650" s="16" t="s">
        <v>572</v>
      </c>
      <c r="Q650" s="16" t="s">
        <v>71</v>
      </c>
      <c r="R650" s="17" t="s">
        <v>7209</v>
      </c>
      <c r="S650" s="16" t="s">
        <v>1111</v>
      </c>
      <c r="T650" s="16" t="s">
        <v>74</v>
      </c>
      <c r="U650" s="16" t="s">
        <v>75</v>
      </c>
      <c r="V650" s="16" t="s">
        <v>7210</v>
      </c>
      <c r="W650" s="16"/>
      <c r="X650" s="16" t="s">
        <v>4672</v>
      </c>
      <c r="Y650" s="16" t="s">
        <v>78</v>
      </c>
      <c r="Z650" s="16" t="s">
        <v>207</v>
      </c>
      <c r="AA650" s="16" t="s">
        <v>208</v>
      </c>
      <c r="AB650" s="17" t="s">
        <v>7211</v>
      </c>
      <c r="AC650" s="16" t="s">
        <v>71</v>
      </c>
      <c r="AD650" s="17" t="s">
        <v>7211</v>
      </c>
      <c r="AE650" s="17" t="s">
        <v>7212</v>
      </c>
      <c r="AG650" s="16" t="s">
        <v>7213</v>
      </c>
      <c r="AH650" s="16" t="s">
        <v>7214</v>
      </c>
      <c r="AI650" s="16"/>
      <c r="AJ650" s="16"/>
      <c r="AK650" s="16"/>
      <c r="AL650" s="16" t="s">
        <v>7215</v>
      </c>
    </row>
    <row r="651" spans="1:38" x14ac:dyDescent="0.5">
      <c r="A651">
        <v>21944</v>
      </c>
      <c r="B651" s="16" t="s">
        <v>7216</v>
      </c>
      <c r="C651" s="16" t="s">
        <v>7216</v>
      </c>
      <c r="D651" s="16"/>
      <c r="E651" s="16" t="s">
        <v>7217</v>
      </c>
      <c r="F651" s="17" t="s">
        <v>7218</v>
      </c>
      <c r="G651" s="17" t="s">
        <v>7219</v>
      </c>
      <c r="H651" s="16" t="s">
        <v>3777</v>
      </c>
      <c r="I651" s="16" t="s">
        <v>7220</v>
      </c>
      <c r="J651" s="33">
        <v>42914</v>
      </c>
      <c r="K651" s="33">
        <v>43465</v>
      </c>
      <c r="L651" s="16" t="s">
        <v>66</v>
      </c>
      <c r="M651" s="16" t="s">
        <v>235</v>
      </c>
      <c r="N651" s="16" t="s">
        <v>236</v>
      </c>
      <c r="O651" s="16" t="s">
        <v>237</v>
      </c>
      <c r="P651" s="16" t="s">
        <v>572</v>
      </c>
      <c r="Q651" s="16" t="s">
        <v>71</v>
      </c>
      <c r="R651" s="17" t="s">
        <v>7221</v>
      </c>
      <c r="S651" s="16" t="s">
        <v>662</v>
      </c>
      <c r="T651" s="16" t="s">
        <v>74</v>
      </c>
      <c r="U651" s="16" t="s">
        <v>75</v>
      </c>
      <c r="V651" s="16" t="s">
        <v>7222</v>
      </c>
      <c r="W651" s="16"/>
      <c r="X651" s="16" t="s">
        <v>3975</v>
      </c>
      <c r="Y651" s="16" t="s">
        <v>78</v>
      </c>
      <c r="Z651" s="16" t="s">
        <v>666</v>
      </c>
      <c r="AA651" s="16" t="s">
        <v>667</v>
      </c>
      <c r="AB651" s="17" t="s">
        <v>7223</v>
      </c>
      <c r="AC651" s="16" t="s">
        <v>71</v>
      </c>
      <c r="AD651" s="17" t="s">
        <v>7223</v>
      </c>
      <c r="AF651" s="17" t="s">
        <v>7224</v>
      </c>
      <c r="AG651" s="16" t="s">
        <v>1285</v>
      </c>
      <c r="AH651" s="16" t="s">
        <v>579</v>
      </c>
      <c r="AI651" s="16"/>
      <c r="AJ651" s="16"/>
      <c r="AK651" s="16"/>
      <c r="AL651" s="16" t="s">
        <v>3777</v>
      </c>
    </row>
    <row r="652" spans="1:38" x14ac:dyDescent="0.5">
      <c r="A652">
        <v>21945</v>
      </c>
      <c r="B652" s="16" t="s">
        <v>7225</v>
      </c>
      <c r="C652" s="16" t="s">
        <v>7226</v>
      </c>
      <c r="D652" s="16"/>
      <c r="E652" s="16" t="s">
        <v>7227</v>
      </c>
      <c r="F652" s="17" t="s">
        <v>7228</v>
      </c>
      <c r="H652" s="16" t="s">
        <v>3356</v>
      </c>
      <c r="I652" s="16" t="s">
        <v>8649</v>
      </c>
      <c r="J652" s="33">
        <v>42935</v>
      </c>
      <c r="K652" s="33">
        <v>43465</v>
      </c>
      <c r="L652" s="16" t="s">
        <v>66</v>
      </c>
      <c r="M652" s="16" t="s">
        <v>235</v>
      </c>
      <c r="N652" s="16" t="s">
        <v>236</v>
      </c>
      <c r="O652" s="16" t="s">
        <v>237</v>
      </c>
      <c r="P652" s="16" t="s">
        <v>572</v>
      </c>
      <c r="Q652" s="16" t="s">
        <v>71</v>
      </c>
      <c r="R652" s="17" t="s">
        <v>7229</v>
      </c>
      <c r="S652" s="16" t="s">
        <v>6020</v>
      </c>
      <c r="T652" s="16" t="s">
        <v>74</v>
      </c>
      <c r="U652" s="16" t="s">
        <v>75</v>
      </c>
      <c r="V652" s="16" t="s">
        <v>7230</v>
      </c>
      <c r="W652" s="16" t="s">
        <v>7231</v>
      </c>
      <c r="X652" s="16" t="s">
        <v>7232</v>
      </c>
      <c r="Y652" s="16" t="s">
        <v>78</v>
      </c>
      <c r="Z652" s="16" t="s">
        <v>376</v>
      </c>
      <c r="AA652" s="16" t="s">
        <v>377</v>
      </c>
      <c r="AB652" s="17" t="s">
        <v>7233</v>
      </c>
      <c r="AC652" s="16" t="s">
        <v>71</v>
      </c>
      <c r="AD652" s="17" t="s">
        <v>7233</v>
      </c>
      <c r="AF652" s="17" t="s">
        <v>7234</v>
      </c>
      <c r="AG652" s="16" t="s">
        <v>1059</v>
      </c>
      <c r="AH652" s="16" t="s">
        <v>579</v>
      </c>
      <c r="AI652" s="16"/>
      <c r="AJ652" s="16"/>
      <c r="AK652" s="16"/>
      <c r="AL652" s="16" t="s">
        <v>7235</v>
      </c>
    </row>
    <row r="653" spans="1:38" x14ac:dyDescent="0.5">
      <c r="A653">
        <v>21946</v>
      </c>
      <c r="B653" s="16" t="s">
        <v>7236</v>
      </c>
      <c r="C653" s="16" t="s">
        <v>7236</v>
      </c>
      <c r="D653" s="16"/>
      <c r="E653" s="16" t="s">
        <v>7237</v>
      </c>
      <c r="F653" s="17" t="s">
        <v>7238</v>
      </c>
      <c r="G653" s="17" t="s">
        <v>7239</v>
      </c>
      <c r="H653" s="16" t="s">
        <v>6125</v>
      </c>
      <c r="I653" s="16" t="s">
        <v>7240</v>
      </c>
      <c r="J653" s="33">
        <v>42954</v>
      </c>
      <c r="K653" s="33">
        <v>43684</v>
      </c>
      <c r="L653" s="16" t="s">
        <v>66</v>
      </c>
      <c r="M653" s="16" t="s">
        <v>235</v>
      </c>
      <c r="N653" s="16" t="s">
        <v>236</v>
      </c>
      <c r="O653" s="16" t="s">
        <v>237</v>
      </c>
      <c r="P653" s="16" t="s">
        <v>572</v>
      </c>
      <c r="Q653" s="16" t="s">
        <v>71</v>
      </c>
      <c r="R653" s="17" t="s">
        <v>7241</v>
      </c>
      <c r="S653" s="16" t="s">
        <v>662</v>
      </c>
      <c r="T653" s="16" t="s">
        <v>74</v>
      </c>
      <c r="U653" s="16" t="s">
        <v>75</v>
      </c>
      <c r="V653" s="16" t="s">
        <v>7242</v>
      </c>
      <c r="W653" s="16" t="s">
        <v>6839</v>
      </c>
      <c r="X653" s="16" t="s">
        <v>5482</v>
      </c>
      <c r="Y653" s="16" t="s">
        <v>78</v>
      </c>
      <c r="Z653" s="16" t="s">
        <v>666</v>
      </c>
      <c r="AA653" s="16" t="s">
        <v>667</v>
      </c>
      <c r="AB653" s="17" t="s">
        <v>7243</v>
      </c>
      <c r="AC653" s="16" t="s">
        <v>71</v>
      </c>
      <c r="AD653" s="17" t="s">
        <v>7243</v>
      </c>
      <c r="AG653" s="16" t="s">
        <v>3190</v>
      </c>
      <c r="AH653" s="16" t="s">
        <v>2840</v>
      </c>
      <c r="AI653" s="16"/>
      <c r="AJ653" s="16"/>
      <c r="AK653" s="16"/>
      <c r="AL653" s="16" t="s">
        <v>7244</v>
      </c>
    </row>
    <row r="654" spans="1:38" x14ac:dyDescent="0.5">
      <c r="A654">
        <v>21947</v>
      </c>
      <c r="B654" s="16" t="s">
        <v>7245</v>
      </c>
      <c r="C654" s="16" t="s">
        <v>7245</v>
      </c>
      <c r="D654" s="16"/>
      <c r="E654" s="16" t="s">
        <v>7246</v>
      </c>
      <c r="F654" s="17" t="s">
        <v>7247</v>
      </c>
      <c r="H654" s="16" t="s">
        <v>7248</v>
      </c>
      <c r="I654" s="16" t="s">
        <v>7249</v>
      </c>
      <c r="J654" s="33">
        <v>42961</v>
      </c>
      <c r="K654" s="33">
        <v>43691</v>
      </c>
      <c r="L654" s="16" t="s">
        <v>66</v>
      </c>
      <c r="M654" s="16" t="s">
        <v>67</v>
      </c>
      <c r="N654" s="16" t="s">
        <v>68</v>
      </c>
      <c r="O654" s="16" t="s">
        <v>436</v>
      </c>
      <c r="P654" s="16" t="s">
        <v>572</v>
      </c>
      <c r="Q654" s="16" t="s">
        <v>71</v>
      </c>
      <c r="R654" s="17" t="s">
        <v>7250</v>
      </c>
      <c r="S654" s="16" t="s">
        <v>1165</v>
      </c>
      <c r="T654" s="16" t="s">
        <v>740</v>
      </c>
      <c r="U654" s="16" t="s">
        <v>741</v>
      </c>
      <c r="V654" s="16" t="s">
        <v>7251</v>
      </c>
      <c r="W654" s="16"/>
      <c r="X654" s="16" t="s">
        <v>5105</v>
      </c>
      <c r="Y654" s="16" t="s">
        <v>744</v>
      </c>
      <c r="Z654" s="16"/>
      <c r="AA654" s="16"/>
      <c r="AB654" s="17" t="s">
        <v>7252</v>
      </c>
      <c r="AC654" s="16" t="s">
        <v>71</v>
      </c>
      <c r="AD654" s="17" t="s">
        <v>7252</v>
      </c>
      <c r="AG654" s="16" t="s">
        <v>3302</v>
      </c>
      <c r="AH654" s="16" t="s">
        <v>1285</v>
      </c>
      <c r="AI654" s="16"/>
      <c r="AJ654" s="16"/>
      <c r="AK654" s="16"/>
      <c r="AL654" s="16"/>
    </row>
    <row r="655" spans="1:38" x14ac:dyDescent="0.5">
      <c r="A655">
        <v>21967</v>
      </c>
      <c r="B655" s="16" t="s">
        <v>7253</v>
      </c>
      <c r="C655" s="16" t="s">
        <v>7253</v>
      </c>
      <c r="D655" s="16"/>
      <c r="E655" s="16" t="s">
        <v>7254</v>
      </c>
      <c r="F655" s="17" t="s">
        <v>7255</v>
      </c>
      <c r="G655" s="17" t="s">
        <v>7256</v>
      </c>
      <c r="H655" s="16" t="s">
        <v>5573</v>
      </c>
      <c r="I655" s="16" t="s">
        <v>7257</v>
      </c>
      <c r="J655" s="33">
        <v>42914</v>
      </c>
      <c r="K655" s="33">
        <v>43644</v>
      </c>
      <c r="L655" s="16" t="s">
        <v>66</v>
      </c>
      <c r="M655" s="16" t="s">
        <v>1036</v>
      </c>
      <c r="N655" s="16"/>
      <c r="O655" s="16" t="s">
        <v>1037</v>
      </c>
      <c r="P655" s="16" t="s">
        <v>572</v>
      </c>
      <c r="Q655" s="16" t="s">
        <v>71</v>
      </c>
      <c r="R655" s="17" t="s">
        <v>7258</v>
      </c>
      <c r="S655" s="16" t="s">
        <v>2415</v>
      </c>
      <c r="T655" s="16" t="s">
        <v>4146</v>
      </c>
      <c r="U655" s="16" t="s">
        <v>4147</v>
      </c>
      <c r="V655" s="16" t="s">
        <v>7259</v>
      </c>
      <c r="W655" s="16"/>
      <c r="X655" s="16" t="s">
        <v>6949</v>
      </c>
      <c r="Y655" s="16" t="s">
        <v>4151</v>
      </c>
      <c r="Z655" s="16"/>
      <c r="AA655" s="16"/>
      <c r="AB655" s="17" t="s">
        <v>7260</v>
      </c>
      <c r="AC655" s="16" t="s">
        <v>966</v>
      </c>
      <c r="AD655" s="17" t="s">
        <v>7261</v>
      </c>
      <c r="AF655" s="17" t="s">
        <v>7260</v>
      </c>
      <c r="AG655" s="16" t="s">
        <v>2094</v>
      </c>
      <c r="AH655" s="16" t="s">
        <v>2108</v>
      </c>
      <c r="AI655" s="16"/>
      <c r="AJ655" s="16"/>
      <c r="AK655" s="16"/>
      <c r="AL655" s="16"/>
    </row>
    <row r="656" spans="1:38" x14ac:dyDescent="0.5">
      <c r="A656">
        <v>22053</v>
      </c>
      <c r="B656" s="16" t="s">
        <v>1078</v>
      </c>
      <c r="C656" s="16" t="s">
        <v>276</v>
      </c>
      <c r="D656" s="16"/>
      <c r="E656" s="16" t="s">
        <v>7262</v>
      </c>
      <c r="F656" s="17" t="s">
        <v>7263</v>
      </c>
      <c r="G656" s="17" t="s">
        <v>7264</v>
      </c>
      <c r="H656" s="16" t="s">
        <v>7265</v>
      </c>
      <c r="I656" s="16" t="s">
        <v>7266</v>
      </c>
      <c r="J656" s="33">
        <v>42612</v>
      </c>
      <c r="K656" s="33">
        <v>43465</v>
      </c>
      <c r="L656" s="16" t="s">
        <v>66</v>
      </c>
      <c r="M656" s="16" t="s">
        <v>67</v>
      </c>
      <c r="N656" s="16" t="s">
        <v>110</v>
      </c>
      <c r="O656" s="16" t="s">
        <v>280</v>
      </c>
      <c r="P656" s="16" t="s">
        <v>572</v>
      </c>
      <c r="Q656" s="16" t="s">
        <v>71</v>
      </c>
      <c r="R656" s="17" t="s">
        <v>7267</v>
      </c>
      <c r="S656" s="16" t="s">
        <v>7268</v>
      </c>
      <c r="T656" s="16" t="s">
        <v>74</v>
      </c>
      <c r="U656" s="16" t="s">
        <v>75</v>
      </c>
      <c r="V656" s="16" t="s">
        <v>7269</v>
      </c>
      <c r="W656" s="16"/>
      <c r="X656" s="16" t="s">
        <v>7270</v>
      </c>
      <c r="Y656" s="16" t="s">
        <v>78</v>
      </c>
      <c r="Z656" s="16" t="s">
        <v>7271</v>
      </c>
      <c r="AA656" s="16" t="s">
        <v>7272</v>
      </c>
      <c r="AB656" s="17" t="s">
        <v>7273</v>
      </c>
      <c r="AC656" s="16" t="s">
        <v>71</v>
      </c>
      <c r="AD656" s="17" t="s">
        <v>7273</v>
      </c>
      <c r="AE656" s="17" t="s">
        <v>7274</v>
      </c>
      <c r="AG656" s="16" t="s">
        <v>3032</v>
      </c>
      <c r="AH656" s="16" t="s">
        <v>1030</v>
      </c>
      <c r="AI656" s="16"/>
      <c r="AJ656" s="16"/>
      <c r="AK656" s="16"/>
      <c r="AL656" s="16"/>
    </row>
    <row r="657" spans="1:38" x14ac:dyDescent="0.5">
      <c r="A657">
        <v>22054</v>
      </c>
      <c r="B657" s="16" t="s">
        <v>7275</v>
      </c>
      <c r="C657" s="16" t="s">
        <v>7275</v>
      </c>
      <c r="D657" s="16" t="s">
        <v>7276</v>
      </c>
      <c r="E657" s="16" t="s">
        <v>2383</v>
      </c>
      <c r="F657" s="17" t="s">
        <v>7277</v>
      </c>
      <c r="G657" s="17" t="s">
        <v>7278</v>
      </c>
      <c r="H657" s="16" t="s">
        <v>7279</v>
      </c>
      <c r="I657" s="16" t="s">
        <v>7280</v>
      </c>
      <c r="J657" s="33">
        <v>42989</v>
      </c>
      <c r="K657" s="33">
        <v>43353</v>
      </c>
      <c r="L657" s="16" t="s">
        <v>66</v>
      </c>
      <c r="M657" s="16" t="s">
        <v>67</v>
      </c>
      <c r="N657" s="16" t="s">
        <v>68</v>
      </c>
      <c r="O657" s="16" t="s">
        <v>436</v>
      </c>
      <c r="P657" s="16" t="s">
        <v>572</v>
      </c>
      <c r="Q657" s="16" t="s">
        <v>71</v>
      </c>
      <c r="R657" s="17" t="s">
        <v>7281</v>
      </c>
      <c r="S657" s="16" t="s">
        <v>7282</v>
      </c>
      <c r="T657" s="16" t="s">
        <v>74</v>
      </c>
      <c r="U657" s="16" t="s">
        <v>75</v>
      </c>
      <c r="V657" s="16" t="s">
        <v>7283</v>
      </c>
      <c r="W657" s="16"/>
      <c r="X657" s="16" t="s">
        <v>7284</v>
      </c>
      <c r="Y657" s="16" t="s">
        <v>78</v>
      </c>
      <c r="Z657" s="16" t="s">
        <v>79</v>
      </c>
      <c r="AA657" s="16" t="s">
        <v>80</v>
      </c>
      <c r="AB657" s="17" t="s">
        <v>7285</v>
      </c>
      <c r="AC657" s="16" t="s">
        <v>966</v>
      </c>
      <c r="AD657" s="17" t="s">
        <v>7286</v>
      </c>
      <c r="AF657" s="17" t="s">
        <v>7285</v>
      </c>
      <c r="AG657" s="16" t="s">
        <v>781</v>
      </c>
      <c r="AH657" s="16" t="s">
        <v>1285</v>
      </c>
      <c r="AI657" s="16"/>
      <c r="AJ657" s="16"/>
      <c r="AK657" s="16"/>
      <c r="AL657" s="16" t="s">
        <v>7287</v>
      </c>
    </row>
    <row r="658" spans="1:38" x14ac:dyDescent="0.5">
      <c r="A658">
        <v>22055</v>
      </c>
      <c r="B658" s="16" t="s">
        <v>7288</v>
      </c>
      <c r="C658" s="16" t="s">
        <v>7288</v>
      </c>
      <c r="D658" s="16"/>
      <c r="E658" s="16" t="s">
        <v>7289</v>
      </c>
      <c r="F658" s="17" t="s">
        <v>7290</v>
      </c>
      <c r="H658" s="16" t="s">
        <v>4999</v>
      </c>
      <c r="I658" s="16" t="s">
        <v>7291</v>
      </c>
      <c r="J658" s="33">
        <v>42991</v>
      </c>
      <c r="K658" s="33">
        <v>43720</v>
      </c>
      <c r="L658" s="16" t="s">
        <v>66</v>
      </c>
      <c r="M658" s="16" t="s">
        <v>67</v>
      </c>
      <c r="N658" s="16" t="s">
        <v>68</v>
      </c>
      <c r="O658" s="16" t="s">
        <v>436</v>
      </c>
      <c r="P658" s="16" t="s">
        <v>572</v>
      </c>
      <c r="Q658" s="16" t="s">
        <v>71</v>
      </c>
      <c r="R658" s="17" t="s">
        <v>7292</v>
      </c>
      <c r="S658" s="16" t="s">
        <v>7293</v>
      </c>
      <c r="T658" s="16" t="s">
        <v>74</v>
      </c>
      <c r="U658" s="16" t="s">
        <v>75</v>
      </c>
      <c r="V658" s="16" t="s">
        <v>7294</v>
      </c>
      <c r="W658" s="16"/>
      <c r="X658" s="16" t="s">
        <v>7295</v>
      </c>
      <c r="Y658" s="16" t="s">
        <v>78</v>
      </c>
      <c r="Z658" s="16" t="s">
        <v>242</v>
      </c>
      <c r="AA658" s="16" t="s">
        <v>243</v>
      </c>
      <c r="AB658" s="17" t="s">
        <v>7296</v>
      </c>
      <c r="AC658" s="16" t="s">
        <v>71</v>
      </c>
      <c r="AD658" s="17" t="s">
        <v>7296</v>
      </c>
      <c r="AG658" s="16" t="s">
        <v>1030</v>
      </c>
      <c r="AH658" s="16" t="s">
        <v>1850</v>
      </c>
      <c r="AI658" s="16"/>
      <c r="AJ658" s="16"/>
      <c r="AK658" s="16"/>
      <c r="AL658" s="16" t="s">
        <v>7297</v>
      </c>
    </row>
    <row r="659" spans="1:38" x14ac:dyDescent="0.5">
      <c r="A659">
        <v>22056</v>
      </c>
      <c r="B659" s="16" t="s">
        <v>7298</v>
      </c>
      <c r="C659" s="16" t="s">
        <v>7298</v>
      </c>
      <c r="D659" s="16"/>
      <c r="E659" s="16" t="s">
        <v>7299</v>
      </c>
      <c r="F659" s="17" t="s">
        <v>7300</v>
      </c>
      <c r="G659" s="17" t="s">
        <v>7301</v>
      </c>
      <c r="H659" s="16" t="s">
        <v>7302</v>
      </c>
      <c r="I659" s="16" t="s">
        <v>7303</v>
      </c>
      <c r="J659" s="33">
        <v>42984</v>
      </c>
      <c r="K659" s="33">
        <v>43348</v>
      </c>
      <c r="L659" s="16" t="s">
        <v>66</v>
      </c>
      <c r="M659" s="16" t="s">
        <v>67</v>
      </c>
      <c r="N659" s="16" t="s">
        <v>68</v>
      </c>
      <c r="O659" s="16" t="s">
        <v>436</v>
      </c>
      <c r="P659" s="16" t="s">
        <v>572</v>
      </c>
      <c r="Q659" s="16" t="s">
        <v>71</v>
      </c>
      <c r="R659" s="17" t="s">
        <v>7304</v>
      </c>
      <c r="S659" s="16" t="s">
        <v>6937</v>
      </c>
      <c r="T659" s="16" t="s">
        <v>4146</v>
      </c>
      <c r="U659" s="16" t="s">
        <v>4147</v>
      </c>
      <c r="V659" s="16" t="s">
        <v>7305</v>
      </c>
      <c r="W659" s="16"/>
      <c r="X659" s="16" t="s">
        <v>6736</v>
      </c>
      <c r="Y659" s="16" t="s">
        <v>4151</v>
      </c>
      <c r="Z659" s="16" t="s">
        <v>7306</v>
      </c>
      <c r="AA659" s="16"/>
      <c r="AB659" s="17" t="s">
        <v>7307</v>
      </c>
      <c r="AC659" s="16" t="s">
        <v>71</v>
      </c>
      <c r="AD659" s="17" t="s">
        <v>7307</v>
      </c>
      <c r="AG659" s="16" t="s">
        <v>6739</v>
      </c>
      <c r="AH659" s="16" t="s">
        <v>1345</v>
      </c>
      <c r="AI659" s="16"/>
      <c r="AJ659" s="16"/>
      <c r="AK659" s="16"/>
      <c r="AL659" s="16" t="s">
        <v>7308</v>
      </c>
    </row>
    <row r="660" spans="1:38" x14ac:dyDescent="0.5">
      <c r="A660">
        <v>22057</v>
      </c>
      <c r="B660" s="16" t="s">
        <v>7309</v>
      </c>
      <c r="C660" s="16" t="s">
        <v>59</v>
      </c>
      <c r="D660" s="16"/>
      <c r="E660" s="16" t="s">
        <v>7310</v>
      </c>
      <c r="F660" s="17" t="s">
        <v>7311</v>
      </c>
      <c r="G660" s="17" t="s">
        <v>7312</v>
      </c>
      <c r="H660" s="16" t="s">
        <v>7313</v>
      </c>
      <c r="I660" s="16" t="s">
        <v>7314</v>
      </c>
      <c r="J660" s="33">
        <v>42989</v>
      </c>
      <c r="K660" s="33">
        <v>43353</v>
      </c>
      <c r="L660" s="16" t="s">
        <v>66</v>
      </c>
      <c r="M660" s="16" t="s">
        <v>67</v>
      </c>
      <c r="N660" s="16" t="s">
        <v>68</v>
      </c>
      <c r="O660" s="16" t="s">
        <v>436</v>
      </c>
      <c r="P660" s="16" t="s">
        <v>572</v>
      </c>
      <c r="Q660" s="16" t="s">
        <v>71</v>
      </c>
      <c r="R660" s="17" t="s">
        <v>7315</v>
      </c>
      <c r="S660" s="16" t="s">
        <v>7316</v>
      </c>
      <c r="T660" s="16" t="s">
        <v>4146</v>
      </c>
      <c r="U660" s="16" t="s">
        <v>4147</v>
      </c>
      <c r="V660" s="16" t="s">
        <v>7317</v>
      </c>
      <c r="W660" s="16"/>
      <c r="X660" s="16" t="s">
        <v>7318</v>
      </c>
      <c r="Y660" s="16" t="s">
        <v>4151</v>
      </c>
      <c r="Z660" s="16"/>
      <c r="AA660" s="16"/>
      <c r="AB660" s="17" t="s">
        <v>7319</v>
      </c>
      <c r="AC660" s="16" t="s">
        <v>71</v>
      </c>
      <c r="AD660" s="17" t="s">
        <v>7319</v>
      </c>
      <c r="AG660" s="16" t="s">
        <v>7320</v>
      </c>
      <c r="AH660" s="16" t="s">
        <v>1345</v>
      </c>
      <c r="AI660" s="16" t="s">
        <v>6739</v>
      </c>
      <c r="AJ660" s="16"/>
      <c r="AK660" s="16"/>
      <c r="AL660" s="16" t="s">
        <v>7321</v>
      </c>
    </row>
    <row r="661" spans="1:38" x14ac:dyDescent="0.5">
      <c r="A661">
        <v>22058</v>
      </c>
      <c r="B661" s="16" t="s">
        <v>7322</v>
      </c>
      <c r="C661" s="16" t="s">
        <v>7322</v>
      </c>
      <c r="D661" s="16"/>
      <c r="E661" s="16" t="s">
        <v>7323</v>
      </c>
      <c r="F661" s="17" t="s">
        <v>7324</v>
      </c>
      <c r="H661" s="16" t="s">
        <v>7325</v>
      </c>
      <c r="I661" s="16" t="s">
        <v>7326</v>
      </c>
      <c r="J661" s="33">
        <v>42979</v>
      </c>
      <c r="K661" s="33">
        <v>43343</v>
      </c>
      <c r="L661" s="16" t="s">
        <v>66</v>
      </c>
      <c r="M661" s="16" t="s">
        <v>67</v>
      </c>
      <c r="N661" s="16" t="s">
        <v>68</v>
      </c>
      <c r="O661" s="16" t="s">
        <v>436</v>
      </c>
      <c r="P661" s="16" t="s">
        <v>572</v>
      </c>
      <c r="Q661" s="16" t="s">
        <v>71</v>
      </c>
      <c r="R661" s="17" t="s">
        <v>7327</v>
      </c>
      <c r="S661" s="16" t="s">
        <v>7328</v>
      </c>
      <c r="T661" s="16" t="s">
        <v>4146</v>
      </c>
      <c r="U661" s="16" t="s">
        <v>4147</v>
      </c>
      <c r="V661" s="16" t="s">
        <v>7329</v>
      </c>
      <c r="W661" s="16" t="s">
        <v>7330</v>
      </c>
      <c r="X661" s="16" t="s">
        <v>6736</v>
      </c>
      <c r="Y661" s="16" t="s">
        <v>4151</v>
      </c>
      <c r="Z661" s="16"/>
      <c r="AA661" s="16"/>
      <c r="AB661" s="17" t="s">
        <v>7331</v>
      </c>
      <c r="AC661" s="16" t="s">
        <v>71</v>
      </c>
      <c r="AD661" s="17" t="s">
        <v>7331</v>
      </c>
      <c r="AG661" s="16" t="s">
        <v>7320</v>
      </c>
      <c r="AH661" s="16" t="s">
        <v>6739</v>
      </c>
      <c r="AI661" s="16"/>
      <c r="AJ661" s="16"/>
      <c r="AK661" s="16"/>
      <c r="AL661" s="16" t="s">
        <v>7332</v>
      </c>
    </row>
    <row r="662" spans="1:38" x14ac:dyDescent="0.5">
      <c r="A662">
        <v>22059</v>
      </c>
      <c r="B662" s="16" t="s">
        <v>2382</v>
      </c>
      <c r="C662" s="16" t="s">
        <v>2382</v>
      </c>
      <c r="D662" s="16"/>
      <c r="E662" s="16" t="s">
        <v>7333</v>
      </c>
      <c r="F662" s="17" t="s">
        <v>7334</v>
      </c>
      <c r="G662" s="17" t="s">
        <v>7335</v>
      </c>
      <c r="H662" s="16" t="s">
        <v>1528</v>
      </c>
      <c r="I662" s="16" t="s">
        <v>7336</v>
      </c>
      <c r="J662" s="33">
        <v>42985</v>
      </c>
      <c r="K662" s="33">
        <v>43349</v>
      </c>
      <c r="L662" s="16" t="s">
        <v>66</v>
      </c>
      <c r="M662" s="16" t="s">
        <v>235</v>
      </c>
      <c r="N662" s="16" t="s">
        <v>236</v>
      </c>
      <c r="O662" s="16" t="s">
        <v>237</v>
      </c>
      <c r="P662" s="16" t="s">
        <v>572</v>
      </c>
      <c r="Q662" s="16" t="s">
        <v>71</v>
      </c>
      <c r="R662" s="17" t="s">
        <v>7337</v>
      </c>
      <c r="S662" s="16" t="s">
        <v>936</v>
      </c>
      <c r="T662" s="16" t="s">
        <v>74</v>
      </c>
      <c r="U662" s="16" t="s">
        <v>75</v>
      </c>
      <c r="V662" s="16" t="s">
        <v>7338</v>
      </c>
      <c r="W662" s="16"/>
      <c r="X662" s="16" t="s">
        <v>7339</v>
      </c>
      <c r="Y662" s="16" t="s">
        <v>78</v>
      </c>
      <c r="Z662" s="16" t="s">
        <v>242</v>
      </c>
      <c r="AA662" s="16" t="s">
        <v>243</v>
      </c>
      <c r="AB662" s="17" t="s">
        <v>7340</v>
      </c>
      <c r="AC662" s="16" t="s">
        <v>71</v>
      </c>
      <c r="AD662" s="17" t="s">
        <v>7340</v>
      </c>
      <c r="AE662" s="17" t="s">
        <v>7341</v>
      </c>
      <c r="AG662" s="16" t="s">
        <v>1059</v>
      </c>
      <c r="AH662" s="16" t="s">
        <v>3302</v>
      </c>
      <c r="AI662" s="16" t="s">
        <v>3540</v>
      </c>
      <c r="AJ662" s="16"/>
      <c r="AK662" s="16"/>
      <c r="AL662" s="16" t="s">
        <v>7342</v>
      </c>
    </row>
    <row r="663" spans="1:38" x14ac:dyDescent="0.5">
      <c r="A663">
        <v>22060</v>
      </c>
      <c r="B663" s="16" t="s">
        <v>7343</v>
      </c>
      <c r="C663" s="16" t="s">
        <v>7343</v>
      </c>
      <c r="D663" s="16"/>
      <c r="E663" s="16" t="s">
        <v>7344</v>
      </c>
      <c r="F663" s="17" t="s">
        <v>7345</v>
      </c>
      <c r="H663" s="16" t="s">
        <v>7346</v>
      </c>
      <c r="I663" s="16" t="s">
        <v>7347</v>
      </c>
      <c r="J663" s="33">
        <v>43012</v>
      </c>
      <c r="K663" s="33">
        <v>43376</v>
      </c>
      <c r="L663" s="16" t="s">
        <v>66</v>
      </c>
      <c r="M663" s="16" t="s">
        <v>67</v>
      </c>
      <c r="N663" s="16" t="s">
        <v>68</v>
      </c>
      <c r="O663" s="16" t="s">
        <v>436</v>
      </c>
      <c r="P663" s="16" t="s">
        <v>572</v>
      </c>
      <c r="Q663" s="16" t="s">
        <v>71</v>
      </c>
      <c r="R663" s="17" t="s">
        <v>7348</v>
      </c>
      <c r="S663" s="16" t="s">
        <v>113</v>
      </c>
      <c r="T663" s="16" t="s">
        <v>74</v>
      </c>
      <c r="U663" s="16" t="s">
        <v>75</v>
      </c>
      <c r="V663" s="16" t="s">
        <v>7349</v>
      </c>
      <c r="W663" s="16"/>
      <c r="X663" s="16" t="s">
        <v>7350</v>
      </c>
      <c r="Y663" s="16" t="s">
        <v>78</v>
      </c>
      <c r="Z663" s="16" t="s">
        <v>117</v>
      </c>
      <c r="AA663" s="16" t="s">
        <v>113</v>
      </c>
      <c r="AB663" s="17" t="s">
        <v>7351</v>
      </c>
      <c r="AC663" s="16" t="s">
        <v>71</v>
      </c>
      <c r="AD663" s="17" t="s">
        <v>7351</v>
      </c>
      <c r="AE663" s="17" t="s">
        <v>7352</v>
      </c>
      <c r="AG663" s="16" t="s">
        <v>2616</v>
      </c>
      <c r="AH663" s="16" t="s">
        <v>1345</v>
      </c>
      <c r="AI663" s="16"/>
      <c r="AJ663" s="16"/>
      <c r="AK663" s="16"/>
      <c r="AL663" s="16" t="s">
        <v>7353</v>
      </c>
    </row>
    <row r="664" spans="1:38" x14ac:dyDescent="0.5">
      <c r="A664">
        <v>22061</v>
      </c>
      <c r="B664" s="16" t="s">
        <v>7354</v>
      </c>
      <c r="C664" s="16" t="s">
        <v>7354</v>
      </c>
      <c r="D664" s="16"/>
      <c r="E664" s="16" t="s">
        <v>6888</v>
      </c>
      <c r="F664" s="17" t="s">
        <v>7355</v>
      </c>
      <c r="G664" s="17" t="s">
        <v>7356</v>
      </c>
      <c r="H664" s="16" t="s">
        <v>7357</v>
      </c>
      <c r="I664" s="16" t="s">
        <v>7358</v>
      </c>
      <c r="J664" s="33">
        <v>43089</v>
      </c>
      <c r="K664" s="33">
        <v>43454</v>
      </c>
      <c r="L664" s="16" t="s">
        <v>66</v>
      </c>
      <c r="M664" s="16" t="s">
        <v>67</v>
      </c>
      <c r="N664" s="16" t="s">
        <v>68</v>
      </c>
      <c r="O664" s="16" t="s">
        <v>436</v>
      </c>
      <c r="P664" s="16"/>
      <c r="Q664" s="16" t="s">
        <v>71</v>
      </c>
      <c r="R664" s="17" t="s">
        <v>7359</v>
      </c>
      <c r="S664" s="16" t="s">
        <v>1497</v>
      </c>
      <c r="T664" s="16" t="s">
        <v>74</v>
      </c>
      <c r="U664" s="16" t="s">
        <v>75</v>
      </c>
      <c r="V664" s="16" t="s">
        <v>7360</v>
      </c>
      <c r="W664" s="16"/>
      <c r="X664" s="16" t="s">
        <v>7361</v>
      </c>
      <c r="Y664" s="16" t="s">
        <v>78</v>
      </c>
      <c r="Z664" s="16" t="s">
        <v>1025</v>
      </c>
      <c r="AA664" s="16" t="s">
        <v>1026</v>
      </c>
      <c r="AB664" s="17" t="s">
        <v>7362</v>
      </c>
      <c r="AC664" s="16" t="s">
        <v>71</v>
      </c>
      <c r="AD664" s="17" t="s">
        <v>7362</v>
      </c>
      <c r="AE664" s="17" t="s">
        <v>7363</v>
      </c>
      <c r="AG664" s="16" t="s">
        <v>2021</v>
      </c>
      <c r="AH664" s="16" t="s">
        <v>7364</v>
      </c>
      <c r="AI664" s="16"/>
      <c r="AJ664" s="16"/>
      <c r="AK664" s="16"/>
      <c r="AL664" s="16" t="s">
        <v>7365</v>
      </c>
    </row>
    <row r="665" spans="1:38" x14ac:dyDescent="0.5">
      <c r="A665">
        <v>22062</v>
      </c>
      <c r="B665" s="16" t="s">
        <v>1150</v>
      </c>
      <c r="C665" s="16" t="s">
        <v>1150</v>
      </c>
      <c r="D665" s="16"/>
      <c r="E665" s="16" t="s">
        <v>7366</v>
      </c>
      <c r="F665" s="17" t="s">
        <v>7367</v>
      </c>
      <c r="H665" s="16" t="s">
        <v>3356</v>
      </c>
      <c r="I665" s="16" t="s">
        <v>1301</v>
      </c>
      <c r="J665" s="33">
        <v>42977</v>
      </c>
      <c r="K665" s="33">
        <v>43341</v>
      </c>
      <c r="L665" s="16" t="s">
        <v>66</v>
      </c>
      <c r="M665" s="16" t="s">
        <v>67</v>
      </c>
      <c r="N665" s="16" t="s">
        <v>68</v>
      </c>
      <c r="O665" s="16" t="s">
        <v>436</v>
      </c>
      <c r="P665" s="16" t="s">
        <v>572</v>
      </c>
      <c r="Q665" s="16" t="s">
        <v>71</v>
      </c>
      <c r="R665" s="17" t="s">
        <v>7368</v>
      </c>
      <c r="S665" s="16" t="s">
        <v>7369</v>
      </c>
      <c r="T665" s="16" t="s">
        <v>74</v>
      </c>
      <c r="U665" s="16" t="s">
        <v>75</v>
      </c>
      <c r="V665" s="16" t="s">
        <v>7370</v>
      </c>
      <c r="W665" s="16" t="s">
        <v>7371</v>
      </c>
      <c r="X665" s="16" t="s">
        <v>7372</v>
      </c>
      <c r="Y665" s="16" t="s">
        <v>78</v>
      </c>
      <c r="Z665" s="16" t="s">
        <v>1158</v>
      </c>
      <c r="AA665" s="16" t="s">
        <v>1159</v>
      </c>
      <c r="AB665" s="17" t="s">
        <v>7373</v>
      </c>
      <c r="AC665" s="16" t="s">
        <v>71</v>
      </c>
      <c r="AD665" s="17" t="s">
        <v>7373</v>
      </c>
      <c r="AG665" s="16" t="s">
        <v>3373</v>
      </c>
      <c r="AH665" s="16" t="s">
        <v>579</v>
      </c>
      <c r="AI665" s="16"/>
      <c r="AJ665" s="16"/>
      <c r="AK665" s="16"/>
      <c r="AL665" s="16" t="s">
        <v>2588</v>
      </c>
    </row>
    <row r="666" spans="1:38" x14ac:dyDescent="0.5">
      <c r="A666">
        <v>22063</v>
      </c>
      <c r="B666" s="16" t="s">
        <v>7374</v>
      </c>
      <c r="C666" s="16" t="s">
        <v>7374</v>
      </c>
      <c r="D666" s="16"/>
      <c r="E666" s="16" t="s">
        <v>1062</v>
      </c>
      <c r="F666" s="17" t="s">
        <v>7375</v>
      </c>
      <c r="G666" s="17" t="s">
        <v>8650</v>
      </c>
      <c r="H666" s="16" t="s">
        <v>7376</v>
      </c>
      <c r="I666" s="16" t="s">
        <v>8619</v>
      </c>
      <c r="J666" s="33">
        <v>43004</v>
      </c>
      <c r="K666" s="33">
        <v>43733</v>
      </c>
      <c r="L666" s="16" t="s">
        <v>66</v>
      </c>
      <c r="M666" s="16" t="s">
        <v>90</v>
      </c>
      <c r="N666" s="16" t="s">
        <v>91</v>
      </c>
      <c r="O666" s="16" t="s">
        <v>91</v>
      </c>
      <c r="P666" s="16" t="s">
        <v>572</v>
      </c>
      <c r="Q666" s="16" t="s">
        <v>71</v>
      </c>
      <c r="R666" s="17" t="s">
        <v>7377</v>
      </c>
      <c r="S666" s="16" t="s">
        <v>5320</v>
      </c>
      <c r="T666" s="16" t="s">
        <v>74</v>
      </c>
      <c r="U666" s="16" t="s">
        <v>75</v>
      </c>
      <c r="V666" s="16" t="s">
        <v>7378</v>
      </c>
      <c r="W666" s="16"/>
      <c r="X666" s="16" t="s">
        <v>5322</v>
      </c>
      <c r="Y666" s="16" t="s">
        <v>78</v>
      </c>
      <c r="Z666" s="16" t="s">
        <v>1924</v>
      </c>
      <c r="AA666" s="16" t="s">
        <v>1925</v>
      </c>
      <c r="AB666" s="17" t="s">
        <v>7379</v>
      </c>
      <c r="AC666" s="16" t="s">
        <v>71</v>
      </c>
      <c r="AD666" s="17" t="s">
        <v>7379</v>
      </c>
      <c r="AG666" s="16" t="s">
        <v>5832</v>
      </c>
      <c r="AH666" s="16" t="s">
        <v>4760</v>
      </c>
      <c r="AI666" s="16"/>
      <c r="AJ666" s="16"/>
      <c r="AK666" s="16"/>
      <c r="AL666" s="16" t="s">
        <v>7380</v>
      </c>
    </row>
    <row r="667" spans="1:38" x14ac:dyDescent="0.5">
      <c r="A667">
        <v>22064</v>
      </c>
      <c r="B667" s="16" t="s">
        <v>229</v>
      </c>
      <c r="C667" s="16" t="s">
        <v>229</v>
      </c>
      <c r="D667" s="16"/>
      <c r="E667" s="16" t="s">
        <v>7381</v>
      </c>
      <c r="F667" s="17" t="s">
        <v>7382</v>
      </c>
      <c r="H667" s="16" t="s">
        <v>7383</v>
      </c>
      <c r="I667" s="16" t="s">
        <v>7384</v>
      </c>
      <c r="J667" s="33">
        <v>42999</v>
      </c>
      <c r="K667" s="33">
        <v>43363</v>
      </c>
      <c r="L667" s="16" t="s">
        <v>66</v>
      </c>
      <c r="M667" s="16" t="s">
        <v>67</v>
      </c>
      <c r="N667" s="16" t="s">
        <v>68</v>
      </c>
      <c r="O667" s="16" t="s">
        <v>436</v>
      </c>
      <c r="P667" s="16" t="s">
        <v>572</v>
      </c>
      <c r="Q667" s="16" t="s">
        <v>71</v>
      </c>
      <c r="R667" s="17" t="s">
        <v>7385</v>
      </c>
      <c r="S667" s="16" t="s">
        <v>7386</v>
      </c>
      <c r="T667" s="16" t="s">
        <v>74</v>
      </c>
      <c r="U667" s="16" t="s">
        <v>75</v>
      </c>
      <c r="V667" s="16" t="s">
        <v>7387</v>
      </c>
      <c r="W667" s="16"/>
      <c r="X667" s="16" t="s">
        <v>7388</v>
      </c>
      <c r="Y667" s="16" t="s">
        <v>78</v>
      </c>
      <c r="Z667" s="16" t="s">
        <v>392</v>
      </c>
      <c r="AA667" s="16" t="s">
        <v>393</v>
      </c>
      <c r="AB667" s="17" t="s">
        <v>7389</v>
      </c>
      <c r="AC667" s="16" t="s">
        <v>71</v>
      </c>
      <c r="AD667" s="17" t="s">
        <v>7389</v>
      </c>
      <c r="AG667" s="16" t="s">
        <v>2108</v>
      </c>
      <c r="AH667" s="16" t="s">
        <v>4704</v>
      </c>
      <c r="AI667" s="16"/>
      <c r="AJ667" s="16"/>
      <c r="AK667" s="16"/>
      <c r="AL667" s="16" t="s">
        <v>7390</v>
      </c>
    </row>
    <row r="668" spans="1:38" x14ac:dyDescent="0.5">
      <c r="A668">
        <v>22065</v>
      </c>
      <c r="B668" s="16" t="s">
        <v>498</v>
      </c>
      <c r="C668" s="16" t="s">
        <v>498</v>
      </c>
      <c r="D668" s="16"/>
      <c r="E668" s="16" t="s">
        <v>7391</v>
      </c>
      <c r="F668" s="17" t="s">
        <v>7392</v>
      </c>
      <c r="H668" s="16" t="s">
        <v>699</v>
      </c>
      <c r="I668" s="16" t="s">
        <v>7393</v>
      </c>
      <c r="J668" s="33">
        <v>42977</v>
      </c>
      <c r="K668" s="33">
        <v>43707</v>
      </c>
      <c r="L668" s="16" t="s">
        <v>66</v>
      </c>
      <c r="M668" s="16" t="s">
        <v>167</v>
      </c>
      <c r="N668" s="16" t="s">
        <v>110</v>
      </c>
      <c r="O668" s="16" t="s">
        <v>280</v>
      </c>
      <c r="P668" s="16" t="s">
        <v>572</v>
      </c>
      <c r="Q668" s="16" t="s">
        <v>71</v>
      </c>
      <c r="R668" s="17" t="s">
        <v>7394</v>
      </c>
      <c r="S668" s="16" t="s">
        <v>3105</v>
      </c>
      <c r="T668" s="16" t="s">
        <v>74</v>
      </c>
      <c r="U668" s="16" t="s">
        <v>75</v>
      </c>
      <c r="V668" s="16" t="s">
        <v>7395</v>
      </c>
      <c r="W668" s="16"/>
      <c r="X668" s="16" t="s">
        <v>7396</v>
      </c>
      <c r="Y668" s="16" t="s">
        <v>78</v>
      </c>
      <c r="Z668" s="16" t="s">
        <v>296</v>
      </c>
      <c r="AA668" s="16" t="s">
        <v>297</v>
      </c>
      <c r="AB668" s="17" t="s">
        <v>7397</v>
      </c>
      <c r="AC668" s="16" t="s">
        <v>71</v>
      </c>
      <c r="AD668" s="17" t="s">
        <v>7397</v>
      </c>
      <c r="AG668" s="16" t="s">
        <v>7204</v>
      </c>
      <c r="AH668" s="16" t="s">
        <v>3808</v>
      </c>
      <c r="AI668" s="16"/>
      <c r="AJ668" s="16"/>
      <c r="AK668" s="16"/>
      <c r="AL668" s="16" t="s">
        <v>7398</v>
      </c>
    </row>
    <row r="669" spans="1:38" x14ac:dyDescent="0.5">
      <c r="A669">
        <v>22066</v>
      </c>
      <c r="B669" s="16" t="s">
        <v>7399</v>
      </c>
      <c r="C669" s="16" t="s">
        <v>7399</v>
      </c>
      <c r="D669" s="16"/>
      <c r="E669" s="16" t="s">
        <v>7400</v>
      </c>
      <c r="F669" s="17" t="s">
        <v>7401</v>
      </c>
      <c r="H669" s="16" t="s">
        <v>685</v>
      </c>
      <c r="I669" s="16" t="s">
        <v>2710</v>
      </c>
      <c r="J669" s="33">
        <v>42977</v>
      </c>
      <c r="K669" s="33">
        <v>43341</v>
      </c>
      <c r="L669" s="16" t="s">
        <v>66</v>
      </c>
      <c r="M669" s="16" t="s">
        <v>167</v>
      </c>
      <c r="N669" s="16" t="s">
        <v>110</v>
      </c>
      <c r="O669" s="16" t="s">
        <v>280</v>
      </c>
      <c r="P669" s="16" t="s">
        <v>572</v>
      </c>
      <c r="Q669" s="16" t="s">
        <v>71</v>
      </c>
      <c r="R669" s="17" t="s">
        <v>7402</v>
      </c>
      <c r="S669" s="16" t="s">
        <v>222</v>
      </c>
      <c r="T669" s="16" t="s">
        <v>74</v>
      </c>
      <c r="U669" s="16" t="s">
        <v>75</v>
      </c>
      <c r="V669" s="16" t="s">
        <v>1342</v>
      </c>
      <c r="W669" s="16" t="s">
        <v>7403</v>
      </c>
      <c r="X669" s="16" t="s">
        <v>1343</v>
      </c>
      <c r="Y669" s="16" t="s">
        <v>78</v>
      </c>
      <c r="Z669" s="16" t="s">
        <v>189</v>
      </c>
      <c r="AA669" s="16" t="s">
        <v>190</v>
      </c>
      <c r="AB669" s="17" t="s">
        <v>7404</v>
      </c>
      <c r="AC669" s="16" t="s">
        <v>71</v>
      </c>
      <c r="AD669" s="17" t="s">
        <v>7404</v>
      </c>
      <c r="AG669" s="16" t="s">
        <v>7405</v>
      </c>
      <c r="AH669" s="16" t="s">
        <v>1913</v>
      </c>
      <c r="AI669" s="16"/>
      <c r="AJ669" s="16"/>
      <c r="AK669" s="16"/>
      <c r="AL669" s="16" t="s">
        <v>7406</v>
      </c>
    </row>
    <row r="670" spans="1:38" x14ac:dyDescent="0.5">
      <c r="A670">
        <v>22073</v>
      </c>
      <c r="B670" s="16" t="s">
        <v>6646</v>
      </c>
      <c r="C670" s="16" t="s">
        <v>6646</v>
      </c>
      <c r="D670" s="16"/>
      <c r="E670" s="16" t="s">
        <v>7407</v>
      </c>
      <c r="F670" s="17" t="s">
        <v>7408</v>
      </c>
      <c r="H670" s="16" t="s">
        <v>3356</v>
      </c>
      <c r="I670" s="16" t="s">
        <v>7409</v>
      </c>
      <c r="J670" s="33">
        <v>42978</v>
      </c>
      <c r="K670" s="33">
        <v>43343</v>
      </c>
      <c r="L670" s="16" t="s">
        <v>66</v>
      </c>
      <c r="M670" s="16" t="s">
        <v>235</v>
      </c>
      <c r="N670" s="16" t="s">
        <v>236</v>
      </c>
      <c r="O670" s="16" t="s">
        <v>237</v>
      </c>
      <c r="P670" s="16" t="s">
        <v>572</v>
      </c>
      <c r="Q670" s="16" t="s">
        <v>71</v>
      </c>
      <c r="R670" s="17" t="s">
        <v>7410</v>
      </c>
      <c r="S670" s="16" t="s">
        <v>662</v>
      </c>
      <c r="T670" s="16" t="s">
        <v>74</v>
      </c>
      <c r="U670" s="16" t="s">
        <v>75</v>
      </c>
      <c r="V670" s="16" t="s">
        <v>7411</v>
      </c>
      <c r="W670" s="16"/>
      <c r="X670" s="16" t="s">
        <v>1183</v>
      </c>
      <c r="Y670" s="16" t="s">
        <v>78</v>
      </c>
      <c r="Z670" s="16" t="s">
        <v>666</v>
      </c>
      <c r="AA670" s="16" t="s">
        <v>667</v>
      </c>
      <c r="AB670" s="17" t="s">
        <v>7412</v>
      </c>
      <c r="AC670" s="16" t="s">
        <v>71</v>
      </c>
      <c r="AD670" s="17" t="s">
        <v>7412</v>
      </c>
      <c r="AG670" s="16" t="s">
        <v>6236</v>
      </c>
      <c r="AH670" s="16" t="s">
        <v>5474</v>
      </c>
      <c r="AI670" s="16"/>
      <c r="AJ670" s="16"/>
      <c r="AK670" s="16"/>
      <c r="AL670" s="16"/>
    </row>
    <row r="671" spans="1:38" x14ac:dyDescent="0.5">
      <c r="A671">
        <v>22117</v>
      </c>
      <c r="B671" s="16" t="s">
        <v>7413</v>
      </c>
      <c r="C671" s="16" t="s">
        <v>7413</v>
      </c>
      <c r="D671" s="16" t="s">
        <v>261</v>
      </c>
      <c r="E671" s="16" t="s">
        <v>7414</v>
      </c>
      <c r="F671" s="17" t="s">
        <v>7415</v>
      </c>
      <c r="H671" s="16" t="s">
        <v>7416</v>
      </c>
      <c r="I671" s="16" t="s">
        <v>7417</v>
      </c>
      <c r="J671" s="33">
        <v>42999</v>
      </c>
      <c r="K671" s="33">
        <v>43728</v>
      </c>
      <c r="L671" s="16" t="s">
        <v>66</v>
      </c>
      <c r="M671" s="16" t="s">
        <v>90</v>
      </c>
      <c r="N671" s="16" t="s">
        <v>91</v>
      </c>
      <c r="O671" s="16" t="s">
        <v>91</v>
      </c>
      <c r="P671" s="16"/>
      <c r="Q671" s="16" t="s">
        <v>71</v>
      </c>
      <c r="R671" s="17" t="s">
        <v>7418</v>
      </c>
      <c r="S671" s="16" t="s">
        <v>7419</v>
      </c>
      <c r="T671" s="16" t="s">
        <v>74</v>
      </c>
      <c r="U671" s="16" t="s">
        <v>75</v>
      </c>
      <c r="V671" s="16" t="s">
        <v>7420</v>
      </c>
      <c r="W671" s="16"/>
      <c r="X671" s="16" t="s">
        <v>7421</v>
      </c>
      <c r="Y671" s="16" t="s">
        <v>78</v>
      </c>
      <c r="Z671" s="16" t="s">
        <v>1983</v>
      </c>
      <c r="AA671" s="16" t="s">
        <v>1984</v>
      </c>
      <c r="AB671" s="17" t="s">
        <v>7422</v>
      </c>
      <c r="AC671" s="16" t="s">
        <v>71</v>
      </c>
      <c r="AD671" s="17" t="s">
        <v>7422</v>
      </c>
      <c r="AE671" s="17" t="s">
        <v>7423</v>
      </c>
      <c r="AG671" s="16" t="s">
        <v>1637</v>
      </c>
      <c r="AH671" s="16" t="s">
        <v>6822</v>
      </c>
      <c r="AI671" s="16" t="s">
        <v>4760</v>
      </c>
      <c r="AJ671" s="16"/>
      <c r="AK671" s="16"/>
      <c r="AL671" s="16" t="s">
        <v>7424</v>
      </c>
    </row>
    <row r="672" spans="1:38" x14ac:dyDescent="0.5">
      <c r="A672">
        <v>22120</v>
      </c>
      <c r="B672" s="16" t="s">
        <v>7425</v>
      </c>
      <c r="C672" s="16" t="s">
        <v>7425</v>
      </c>
      <c r="D672" s="16"/>
      <c r="E672" s="16" t="s">
        <v>7426</v>
      </c>
      <c r="F672" s="17" t="s">
        <v>7427</v>
      </c>
      <c r="H672" s="16" t="s">
        <v>7428</v>
      </c>
      <c r="I672" s="16" t="s">
        <v>7429</v>
      </c>
      <c r="J672" s="33">
        <v>39252</v>
      </c>
      <c r="K672" s="33">
        <v>43465</v>
      </c>
      <c r="L672" s="16" t="s">
        <v>66</v>
      </c>
      <c r="M672" s="16" t="s">
        <v>67</v>
      </c>
      <c r="N672" s="16" t="s">
        <v>68</v>
      </c>
      <c r="O672" s="16" t="s">
        <v>436</v>
      </c>
      <c r="P672" s="16" t="s">
        <v>572</v>
      </c>
      <c r="Q672" s="16" t="s">
        <v>71</v>
      </c>
      <c r="R672" s="17" t="s">
        <v>7430</v>
      </c>
      <c r="S672" s="16" t="s">
        <v>7431</v>
      </c>
      <c r="T672" s="16" t="s">
        <v>5672</v>
      </c>
      <c r="U672" s="16" t="s">
        <v>5673</v>
      </c>
      <c r="V672" s="16" t="s">
        <v>7432</v>
      </c>
      <c r="W672" s="16" t="s">
        <v>7433</v>
      </c>
      <c r="X672" s="16" t="s">
        <v>7434</v>
      </c>
      <c r="Y672" s="16" t="s">
        <v>744</v>
      </c>
      <c r="Z672" s="16"/>
      <c r="AA672" s="16"/>
      <c r="AB672" s="17" t="s">
        <v>7435</v>
      </c>
      <c r="AC672" s="16" t="s">
        <v>71</v>
      </c>
      <c r="AD672" s="17" t="s">
        <v>7435</v>
      </c>
      <c r="AE672" s="17" t="s">
        <v>7435</v>
      </c>
      <c r="AF672" s="17" t="s">
        <v>7435</v>
      </c>
      <c r="AG672" s="16" t="s">
        <v>2604</v>
      </c>
      <c r="AH672" s="16" t="s">
        <v>3941</v>
      </c>
      <c r="AI672" s="16"/>
      <c r="AJ672" s="16"/>
      <c r="AK672" s="16"/>
      <c r="AL672" s="16" t="s">
        <v>7436</v>
      </c>
    </row>
    <row r="673" spans="1:38" x14ac:dyDescent="0.5">
      <c r="A673">
        <v>22134</v>
      </c>
      <c r="B673" s="16" t="s">
        <v>2146</v>
      </c>
      <c r="C673" s="16" t="s">
        <v>2146</v>
      </c>
      <c r="D673" s="16"/>
      <c r="E673" s="16" t="s">
        <v>7437</v>
      </c>
      <c r="F673" s="17" t="s">
        <v>7438</v>
      </c>
      <c r="G673" s="17" t="s">
        <v>7439</v>
      </c>
      <c r="H673" s="16" t="s">
        <v>7440</v>
      </c>
      <c r="I673" s="16" t="s">
        <v>7441</v>
      </c>
      <c r="J673" s="33">
        <v>43204</v>
      </c>
      <c r="K673" s="33">
        <v>43569</v>
      </c>
      <c r="L673" s="16" t="s">
        <v>66</v>
      </c>
      <c r="M673" s="16" t="s">
        <v>67</v>
      </c>
      <c r="N673" s="16" t="s">
        <v>68</v>
      </c>
      <c r="O673" s="16" t="s">
        <v>436</v>
      </c>
      <c r="P673" s="16"/>
      <c r="Q673" s="16" t="s">
        <v>71</v>
      </c>
      <c r="R673" s="17" t="s">
        <v>7442</v>
      </c>
      <c r="S673" s="16" t="s">
        <v>7443</v>
      </c>
      <c r="T673" s="16" t="s">
        <v>4146</v>
      </c>
      <c r="U673" s="16" t="s">
        <v>4147</v>
      </c>
      <c r="V673" s="16" t="s">
        <v>7444</v>
      </c>
      <c r="W673" s="16" t="s">
        <v>7445</v>
      </c>
      <c r="X673" s="16" t="s">
        <v>7446</v>
      </c>
      <c r="Y673" s="16" t="s">
        <v>4151</v>
      </c>
      <c r="Z673" s="16"/>
      <c r="AA673" s="16"/>
      <c r="AB673" s="17" t="s">
        <v>7447</v>
      </c>
      <c r="AC673" s="16" t="s">
        <v>71</v>
      </c>
      <c r="AD673" s="17" t="s">
        <v>7447</v>
      </c>
      <c r="AF673" s="17" t="s">
        <v>7448</v>
      </c>
      <c r="AG673" s="16" t="s">
        <v>6739</v>
      </c>
      <c r="AH673" s="16" t="s">
        <v>1345</v>
      </c>
      <c r="AI673" s="16"/>
      <c r="AJ673" s="16"/>
      <c r="AK673" s="16"/>
      <c r="AL673" s="16"/>
    </row>
    <row r="674" spans="1:38" x14ac:dyDescent="0.5">
      <c r="A674">
        <v>22141</v>
      </c>
      <c r="B674" s="16" t="s">
        <v>6751</v>
      </c>
      <c r="C674" s="16" t="s">
        <v>7449</v>
      </c>
      <c r="D674" s="16"/>
      <c r="E674" s="16" t="s">
        <v>7450</v>
      </c>
      <c r="F674" s="17" t="s">
        <v>7451</v>
      </c>
      <c r="H674" s="16" t="s">
        <v>7452</v>
      </c>
      <c r="I674" s="16" t="s">
        <v>7453</v>
      </c>
      <c r="J674" s="33">
        <v>43138</v>
      </c>
      <c r="K674" s="33">
        <v>43503</v>
      </c>
      <c r="L674" s="16" t="s">
        <v>66</v>
      </c>
      <c r="M674" s="16" t="s">
        <v>67</v>
      </c>
      <c r="N674" s="16" t="s">
        <v>68</v>
      </c>
      <c r="O674" s="16" t="s">
        <v>436</v>
      </c>
      <c r="P674" s="16"/>
      <c r="Q674" s="16" t="s">
        <v>71</v>
      </c>
      <c r="R674" s="17" t="s">
        <v>7454</v>
      </c>
      <c r="S674" s="16" t="s">
        <v>2415</v>
      </c>
      <c r="T674" s="16" t="s">
        <v>4146</v>
      </c>
      <c r="U674" s="16" t="s">
        <v>4147</v>
      </c>
      <c r="V674" s="16" t="s">
        <v>7455</v>
      </c>
      <c r="W674" s="16"/>
      <c r="X674" s="16" t="s">
        <v>6949</v>
      </c>
      <c r="Y674" s="16" t="s">
        <v>4151</v>
      </c>
      <c r="Z674" s="16"/>
      <c r="AA674" s="16"/>
      <c r="AB674" s="17" t="s">
        <v>7456</v>
      </c>
      <c r="AC674" s="16" t="s">
        <v>71</v>
      </c>
      <c r="AD674" s="17" t="s">
        <v>7456</v>
      </c>
      <c r="AG674" s="16" t="s">
        <v>6739</v>
      </c>
      <c r="AH674" s="16" t="s">
        <v>1345</v>
      </c>
      <c r="AI674" s="16"/>
      <c r="AJ674" s="16"/>
      <c r="AK674" s="16"/>
      <c r="AL674" s="16" t="s">
        <v>7457</v>
      </c>
    </row>
    <row r="675" spans="1:38" x14ac:dyDescent="0.5">
      <c r="A675">
        <v>22148</v>
      </c>
      <c r="B675" s="16" t="s">
        <v>7458</v>
      </c>
      <c r="C675" s="16" t="s">
        <v>7458</v>
      </c>
      <c r="D675" s="16"/>
      <c r="E675" s="16" t="s">
        <v>7459</v>
      </c>
      <c r="F675" s="17" t="s">
        <v>7460</v>
      </c>
      <c r="H675" s="16" t="s">
        <v>7461</v>
      </c>
      <c r="I675" s="16" t="s">
        <v>7462</v>
      </c>
      <c r="J675" s="33">
        <v>43319</v>
      </c>
      <c r="K675" s="33">
        <v>43684</v>
      </c>
      <c r="L675" s="16" t="s">
        <v>66</v>
      </c>
      <c r="M675" s="16" t="s">
        <v>67</v>
      </c>
      <c r="N675" s="16" t="s">
        <v>68</v>
      </c>
      <c r="O675" s="16" t="s">
        <v>436</v>
      </c>
      <c r="P675" s="16" t="s">
        <v>572</v>
      </c>
      <c r="Q675" s="16" t="s">
        <v>71</v>
      </c>
      <c r="R675" s="17" t="s">
        <v>7463</v>
      </c>
      <c r="S675" s="16" t="s">
        <v>7464</v>
      </c>
      <c r="T675" s="16" t="s">
        <v>4146</v>
      </c>
      <c r="U675" s="16" t="s">
        <v>4147</v>
      </c>
      <c r="V675" s="16" t="s">
        <v>7465</v>
      </c>
      <c r="W675" s="16"/>
      <c r="X675" s="16" t="s">
        <v>7466</v>
      </c>
      <c r="Y675" s="16" t="s">
        <v>4151</v>
      </c>
      <c r="Z675" s="16"/>
      <c r="AA675" s="16"/>
      <c r="AB675" s="17" t="s">
        <v>7467</v>
      </c>
      <c r="AC675" s="16" t="s">
        <v>71</v>
      </c>
      <c r="AD675" s="17" t="s">
        <v>7467</v>
      </c>
      <c r="AG675" s="16" t="s">
        <v>6739</v>
      </c>
      <c r="AH675" s="16" t="s">
        <v>1345</v>
      </c>
      <c r="AI675" s="16"/>
      <c r="AJ675" s="16"/>
      <c r="AK675" s="16"/>
      <c r="AL675" s="16" t="s">
        <v>7468</v>
      </c>
    </row>
    <row r="676" spans="1:38" x14ac:dyDescent="0.5">
      <c r="A676">
        <v>22150</v>
      </c>
      <c r="B676" s="16" t="s">
        <v>327</v>
      </c>
      <c r="C676" s="16" t="s">
        <v>327</v>
      </c>
      <c r="D676" s="16"/>
      <c r="E676" s="16" t="s">
        <v>7469</v>
      </c>
      <c r="F676" s="17" t="s">
        <v>7470</v>
      </c>
      <c r="H676" s="16" t="s">
        <v>7471</v>
      </c>
      <c r="I676" s="16" t="s">
        <v>7472</v>
      </c>
      <c r="J676" s="33">
        <v>43080</v>
      </c>
      <c r="K676" s="33">
        <v>43445</v>
      </c>
      <c r="L676" s="16" t="s">
        <v>66</v>
      </c>
      <c r="M676" s="16" t="s">
        <v>67</v>
      </c>
      <c r="N676" s="16" t="s">
        <v>68</v>
      </c>
      <c r="O676" s="16" t="s">
        <v>436</v>
      </c>
      <c r="P676" s="16"/>
      <c r="Q676" s="16" t="s">
        <v>71</v>
      </c>
      <c r="R676" s="17" t="s">
        <v>7473</v>
      </c>
      <c r="S676" s="16" t="s">
        <v>7474</v>
      </c>
      <c r="T676" s="16" t="s">
        <v>4146</v>
      </c>
      <c r="U676" s="16" t="s">
        <v>4147</v>
      </c>
      <c r="V676" s="16" t="s">
        <v>7475</v>
      </c>
      <c r="W676" s="16" t="s">
        <v>7476</v>
      </c>
      <c r="X676" s="16" t="s">
        <v>6736</v>
      </c>
      <c r="Y676" s="16" t="s">
        <v>4151</v>
      </c>
      <c r="Z676" s="16"/>
      <c r="AA676" s="16"/>
      <c r="AB676" s="17" t="s">
        <v>7477</v>
      </c>
      <c r="AC676" s="16" t="s">
        <v>71</v>
      </c>
      <c r="AD676" s="17" t="s">
        <v>7477</v>
      </c>
      <c r="AG676" s="16" t="s">
        <v>6739</v>
      </c>
      <c r="AH676" s="16" t="s">
        <v>1345</v>
      </c>
      <c r="AI676" s="16"/>
      <c r="AJ676" s="16"/>
      <c r="AK676" s="16"/>
      <c r="AL676" s="16" t="s">
        <v>7478</v>
      </c>
    </row>
    <row r="677" spans="1:38" x14ac:dyDescent="0.5">
      <c r="A677">
        <v>22151</v>
      </c>
      <c r="B677" s="16" t="s">
        <v>1391</v>
      </c>
      <c r="C677" s="16" t="s">
        <v>1392</v>
      </c>
      <c r="D677" s="16"/>
      <c r="E677" s="16" t="s">
        <v>7479</v>
      </c>
      <c r="F677" s="17" t="s">
        <v>7480</v>
      </c>
      <c r="H677" s="16" t="s">
        <v>7481</v>
      </c>
      <c r="I677" s="16" t="s">
        <v>7482</v>
      </c>
      <c r="J677" s="33">
        <v>43214</v>
      </c>
      <c r="K677" s="33">
        <v>43579</v>
      </c>
      <c r="L677" s="16" t="s">
        <v>66</v>
      </c>
      <c r="M677" s="16" t="s">
        <v>67</v>
      </c>
      <c r="N677" s="16" t="s">
        <v>68</v>
      </c>
      <c r="O677" s="16" t="s">
        <v>436</v>
      </c>
      <c r="P677" s="16"/>
      <c r="Q677" s="16" t="s">
        <v>71</v>
      </c>
      <c r="R677" s="17" t="s">
        <v>7483</v>
      </c>
      <c r="S677" s="16" t="s">
        <v>5132</v>
      </c>
      <c r="T677" s="16" t="s">
        <v>5133</v>
      </c>
      <c r="U677" s="16" t="s">
        <v>5134</v>
      </c>
      <c r="V677" s="16" t="s">
        <v>7484</v>
      </c>
      <c r="W677" s="16" t="s">
        <v>7485</v>
      </c>
      <c r="X677" s="16" t="s">
        <v>7486</v>
      </c>
      <c r="Y677" s="16" t="s">
        <v>1307</v>
      </c>
      <c r="Z677" s="16"/>
      <c r="AA677" s="16"/>
      <c r="AB677" s="17" t="s">
        <v>7487</v>
      </c>
      <c r="AC677" s="16" t="s">
        <v>71</v>
      </c>
      <c r="AD677" s="17" t="s">
        <v>7487</v>
      </c>
      <c r="AF677" s="17" t="s">
        <v>7488</v>
      </c>
      <c r="AG677" s="16" t="s">
        <v>5138</v>
      </c>
      <c r="AH677" s="16" t="s">
        <v>1345</v>
      </c>
      <c r="AI677" s="16"/>
      <c r="AJ677" s="16"/>
      <c r="AK677" s="16"/>
      <c r="AL677" s="16"/>
    </row>
    <row r="678" spans="1:38" x14ac:dyDescent="0.5">
      <c r="A678">
        <v>22154</v>
      </c>
      <c r="B678" s="16" t="s">
        <v>7489</v>
      </c>
      <c r="C678" s="16" t="s">
        <v>7489</v>
      </c>
      <c r="D678" s="16"/>
      <c r="E678" s="16" t="s">
        <v>7490</v>
      </c>
      <c r="F678" s="17" t="s">
        <v>7491</v>
      </c>
      <c r="H678" s="16" t="s">
        <v>7492</v>
      </c>
      <c r="I678" s="16" t="s">
        <v>7493</v>
      </c>
      <c r="J678" s="33">
        <v>43211</v>
      </c>
      <c r="K678" s="33">
        <v>43576</v>
      </c>
      <c r="L678" s="16" t="s">
        <v>66</v>
      </c>
      <c r="M678" s="16" t="s">
        <v>67</v>
      </c>
      <c r="N678" s="16" t="s">
        <v>68</v>
      </c>
      <c r="O678" s="16" t="s">
        <v>436</v>
      </c>
      <c r="P678" s="16"/>
      <c r="Q678" s="16" t="s">
        <v>71</v>
      </c>
      <c r="R678" s="17" t="s">
        <v>7494</v>
      </c>
      <c r="S678" s="16" t="s">
        <v>5132</v>
      </c>
      <c r="T678" s="16" t="s">
        <v>5133</v>
      </c>
      <c r="U678" s="16" t="s">
        <v>5134</v>
      </c>
      <c r="V678" s="16" t="s">
        <v>7495</v>
      </c>
      <c r="W678" s="16"/>
      <c r="X678" s="16" t="s">
        <v>7496</v>
      </c>
      <c r="Y678" s="16"/>
      <c r="Z678" s="16"/>
      <c r="AA678" s="16"/>
      <c r="AB678" s="17" t="s">
        <v>7497</v>
      </c>
      <c r="AC678" s="16" t="s">
        <v>71</v>
      </c>
      <c r="AD678" s="17" t="s">
        <v>7497</v>
      </c>
      <c r="AF678" s="17" t="s">
        <v>7498</v>
      </c>
      <c r="AG678" s="16" t="s">
        <v>5138</v>
      </c>
      <c r="AH678" s="16" t="s">
        <v>1345</v>
      </c>
      <c r="AI678" s="16"/>
      <c r="AJ678" s="16"/>
      <c r="AK678" s="16"/>
      <c r="AL678" s="16"/>
    </row>
    <row r="679" spans="1:38" x14ac:dyDescent="0.5">
      <c r="A679">
        <v>22164</v>
      </c>
      <c r="B679" s="16" t="s">
        <v>804</v>
      </c>
      <c r="C679" s="16" t="s">
        <v>805</v>
      </c>
      <c r="D679" s="16"/>
      <c r="E679" s="16" t="s">
        <v>7499</v>
      </c>
      <c r="F679" s="17" t="s">
        <v>7500</v>
      </c>
      <c r="H679" s="16" t="s">
        <v>1429</v>
      </c>
      <c r="I679" s="16" t="s">
        <v>7501</v>
      </c>
      <c r="J679" s="33">
        <v>42257</v>
      </c>
      <c r="K679" s="33">
        <v>43465</v>
      </c>
      <c r="L679" s="16" t="s">
        <v>66</v>
      </c>
      <c r="M679" s="16" t="s">
        <v>67</v>
      </c>
      <c r="N679" s="16" t="s">
        <v>68</v>
      </c>
      <c r="O679" s="16" t="s">
        <v>436</v>
      </c>
      <c r="P679" s="16"/>
      <c r="Q679" s="16" t="s">
        <v>71</v>
      </c>
      <c r="R679" s="17" t="s">
        <v>7502</v>
      </c>
      <c r="S679" s="16" t="s">
        <v>2699</v>
      </c>
      <c r="T679" s="16" t="s">
        <v>74</v>
      </c>
      <c r="U679" s="16" t="s">
        <v>75</v>
      </c>
      <c r="V679" s="16" t="s">
        <v>7503</v>
      </c>
      <c r="W679" s="16"/>
      <c r="X679" s="16" t="s">
        <v>7504</v>
      </c>
      <c r="Y679" s="16" t="s">
        <v>78</v>
      </c>
      <c r="Z679" s="16" t="s">
        <v>2702</v>
      </c>
      <c r="AA679" s="16" t="s">
        <v>2703</v>
      </c>
      <c r="AB679" s="17" t="s">
        <v>7505</v>
      </c>
      <c r="AC679" s="16" t="s">
        <v>71</v>
      </c>
      <c r="AD679" s="17" t="s">
        <v>7505</v>
      </c>
      <c r="AG679" s="16" t="s">
        <v>7506</v>
      </c>
      <c r="AH679" s="16" t="s">
        <v>2094</v>
      </c>
      <c r="AI679" s="16"/>
      <c r="AJ679" s="16"/>
      <c r="AK679" s="16"/>
      <c r="AL679" s="16" t="s">
        <v>7507</v>
      </c>
    </row>
    <row r="680" spans="1:38" x14ac:dyDescent="0.5">
      <c r="A680">
        <v>22174</v>
      </c>
      <c r="B680" s="16" t="s">
        <v>7508</v>
      </c>
      <c r="C680" s="16" t="s">
        <v>7508</v>
      </c>
      <c r="D680" s="16"/>
      <c r="E680" s="16" t="s">
        <v>7509</v>
      </c>
      <c r="F680" s="17" t="s">
        <v>7510</v>
      </c>
      <c r="G680" s="17" t="s">
        <v>7511</v>
      </c>
      <c r="H680" s="16" t="s">
        <v>7512</v>
      </c>
      <c r="I680" s="16" t="s">
        <v>7513</v>
      </c>
      <c r="J680" s="33">
        <v>43077</v>
      </c>
      <c r="K680" s="33">
        <v>43442</v>
      </c>
      <c r="L680" s="16" t="s">
        <v>66</v>
      </c>
      <c r="M680" s="16" t="s">
        <v>67</v>
      </c>
      <c r="N680" s="16" t="s">
        <v>68</v>
      </c>
      <c r="O680" s="16" t="s">
        <v>436</v>
      </c>
      <c r="P680" s="16"/>
      <c r="Q680" s="16" t="s">
        <v>71</v>
      </c>
      <c r="R680" s="17" t="s">
        <v>7514</v>
      </c>
      <c r="S680" s="16" t="s">
        <v>7515</v>
      </c>
      <c r="T680" s="16" t="s">
        <v>74</v>
      </c>
      <c r="U680" s="16" t="s">
        <v>75</v>
      </c>
      <c r="V680" s="16" t="s">
        <v>7516</v>
      </c>
      <c r="W680" s="16"/>
      <c r="X680" s="16" t="s">
        <v>7517</v>
      </c>
      <c r="Y680" s="16" t="s">
        <v>78</v>
      </c>
      <c r="Z680" s="16" t="s">
        <v>242</v>
      </c>
      <c r="AA680" s="16" t="s">
        <v>243</v>
      </c>
      <c r="AB680" s="17" t="s">
        <v>7518</v>
      </c>
      <c r="AC680" s="16" t="s">
        <v>71</v>
      </c>
      <c r="AD680" s="17" t="s">
        <v>7518</v>
      </c>
      <c r="AF680" s="17" t="s">
        <v>7519</v>
      </c>
      <c r="AG680" s="16" t="s">
        <v>1884</v>
      </c>
      <c r="AH680" s="16" t="s">
        <v>4041</v>
      </c>
      <c r="AI680" s="16" t="s">
        <v>579</v>
      </c>
      <c r="AJ680" s="16"/>
      <c r="AK680" s="16"/>
      <c r="AL680" s="16" t="s">
        <v>7520</v>
      </c>
    </row>
    <row r="681" spans="1:38" x14ac:dyDescent="0.5">
      <c r="A681">
        <v>22175</v>
      </c>
      <c r="B681" s="16" t="s">
        <v>286</v>
      </c>
      <c r="C681" s="16" t="s">
        <v>6852</v>
      </c>
      <c r="D681" s="16"/>
      <c r="E681" s="16" t="s">
        <v>7521</v>
      </c>
      <c r="F681" s="17" t="s">
        <v>7522</v>
      </c>
      <c r="H681" s="16" t="s">
        <v>7523</v>
      </c>
      <c r="I681" s="16" t="s">
        <v>7524</v>
      </c>
      <c r="J681" s="33">
        <v>43080</v>
      </c>
      <c r="K681" s="33">
        <v>43445</v>
      </c>
      <c r="L681" s="16" t="s">
        <v>66</v>
      </c>
      <c r="M681" s="16" t="s">
        <v>67</v>
      </c>
      <c r="N681" s="16" t="s">
        <v>68</v>
      </c>
      <c r="O681" s="16" t="s">
        <v>436</v>
      </c>
      <c r="P681" s="16"/>
      <c r="Q681" s="16" t="s">
        <v>71</v>
      </c>
      <c r="R681" s="17" t="s">
        <v>7525</v>
      </c>
      <c r="S681" s="16" t="s">
        <v>346</v>
      </c>
      <c r="T681" s="16" t="s">
        <v>74</v>
      </c>
      <c r="U681" s="16" t="s">
        <v>75</v>
      </c>
      <c r="V681" s="16" t="s">
        <v>7526</v>
      </c>
      <c r="W681" s="16"/>
      <c r="X681" s="16" t="s">
        <v>7527</v>
      </c>
      <c r="Y681" s="16" t="s">
        <v>78</v>
      </c>
      <c r="Z681" s="16" t="s">
        <v>349</v>
      </c>
      <c r="AA681" s="16" t="s">
        <v>350</v>
      </c>
      <c r="AB681" s="17" t="s">
        <v>7528</v>
      </c>
      <c r="AC681" s="16" t="s">
        <v>71</v>
      </c>
      <c r="AD681" s="17" t="s">
        <v>7528</v>
      </c>
      <c r="AG681" s="16" t="s">
        <v>5213</v>
      </c>
      <c r="AH681" s="16" t="s">
        <v>6236</v>
      </c>
      <c r="AI681" s="16"/>
      <c r="AJ681" s="16"/>
      <c r="AK681" s="16"/>
      <c r="AL681" s="16" t="s">
        <v>7529</v>
      </c>
    </row>
    <row r="682" spans="1:38" x14ac:dyDescent="0.5">
      <c r="A682">
        <v>22176</v>
      </c>
      <c r="B682" s="16" t="s">
        <v>2182</v>
      </c>
      <c r="C682" s="16" t="s">
        <v>2182</v>
      </c>
      <c r="D682" s="16"/>
      <c r="E682" s="16" t="s">
        <v>7530</v>
      </c>
      <c r="F682" s="17" t="s">
        <v>7531</v>
      </c>
      <c r="H682" s="16" t="s">
        <v>7532</v>
      </c>
      <c r="I682" s="16" t="s">
        <v>7533</v>
      </c>
      <c r="J682" s="33">
        <v>43117</v>
      </c>
      <c r="K682" s="33">
        <v>43482</v>
      </c>
      <c r="L682" s="16" t="s">
        <v>66</v>
      </c>
      <c r="M682" s="16" t="s">
        <v>67</v>
      </c>
      <c r="N682" s="16" t="s">
        <v>68</v>
      </c>
      <c r="O682" s="16" t="s">
        <v>436</v>
      </c>
      <c r="P682" s="16"/>
      <c r="Q682" s="16" t="s">
        <v>71</v>
      </c>
      <c r="R682" s="17" t="s">
        <v>7534</v>
      </c>
      <c r="S682" s="16" t="s">
        <v>662</v>
      </c>
      <c r="T682" s="16" t="s">
        <v>74</v>
      </c>
      <c r="U682" s="16" t="s">
        <v>75</v>
      </c>
      <c r="V682" s="16" t="s">
        <v>7535</v>
      </c>
      <c r="W682" s="16"/>
      <c r="X682" s="16" t="s">
        <v>7536</v>
      </c>
      <c r="Y682" s="16" t="s">
        <v>78</v>
      </c>
      <c r="Z682" s="16" t="s">
        <v>666</v>
      </c>
      <c r="AA682" s="16" t="s">
        <v>667</v>
      </c>
      <c r="AB682" s="17" t="s">
        <v>7537</v>
      </c>
      <c r="AC682" s="16" t="s">
        <v>71</v>
      </c>
      <c r="AD682" s="17" t="s">
        <v>7537</v>
      </c>
      <c r="AG682" s="16" t="s">
        <v>4062</v>
      </c>
      <c r="AH682" s="16" t="s">
        <v>1285</v>
      </c>
      <c r="AI682" s="16"/>
      <c r="AJ682" s="16"/>
      <c r="AK682" s="16"/>
      <c r="AL682" s="16" t="s">
        <v>7538</v>
      </c>
    </row>
    <row r="683" spans="1:38" x14ac:dyDescent="0.5">
      <c r="A683">
        <v>22178</v>
      </c>
      <c r="B683" s="16" t="s">
        <v>7539</v>
      </c>
      <c r="C683" s="16" t="s">
        <v>7539</v>
      </c>
      <c r="D683" s="16"/>
      <c r="E683" s="16" t="s">
        <v>7540</v>
      </c>
      <c r="F683" s="17" t="s">
        <v>7541</v>
      </c>
      <c r="G683" s="17" t="s">
        <v>7541</v>
      </c>
      <c r="H683" s="16"/>
      <c r="I683" s="16"/>
      <c r="J683" s="33">
        <v>43089</v>
      </c>
      <c r="K683" s="33">
        <v>43454</v>
      </c>
      <c r="L683" s="16" t="s">
        <v>66</v>
      </c>
      <c r="M683" s="16" t="s">
        <v>67</v>
      </c>
      <c r="N683" s="16" t="s">
        <v>68</v>
      </c>
      <c r="O683" s="16" t="s">
        <v>1082</v>
      </c>
      <c r="P683" s="16"/>
      <c r="Q683" s="16" t="s">
        <v>71</v>
      </c>
      <c r="R683" s="17" t="s">
        <v>7542</v>
      </c>
      <c r="S683" s="16" t="s">
        <v>3105</v>
      </c>
      <c r="T683" s="16" t="s">
        <v>74</v>
      </c>
      <c r="U683" s="16" t="s">
        <v>75</v>
      </c>
      <c r="V683" s="16" t="s">
        <v>7543</v>
      </c>
      <c r="W683" s="16"/>
      <c r="X683" s="16" t="s">
        <v>7544</v>
      </c>
      <c r="Y683" s="16" t="s">
        <v>78</v>
      </c>
      <c r="Z683" s="16" t="s">
        <v>296</v>
      </c>
      <c r="AA683" s="16" t="s">
        <v>297</v>
      </c>
      <c r="AB683" s="17" t="s">
        <v>7545</v>
      </c>
      <c r="AC683" s="16" t="s">
        <v>71</v>
      </c>
      <c r="AD683" s="17" t="s">
        <v>7545</v>
      </c>
      <c r="AF683" s="17" t="s">
        <v>7546</v>
      </c>
      <c r="AG683" s="16" t="s">
        <v>2457</v>
      </c>
      <c r="AH683" s="16" t="s">
        <v>1357</v>
      </c>
      <c r="AI683" s="16"/>
      <c r="AJ683" s="16"/>
      <c r="AK683" s="16"/>
      <c r="AL683" s="16" t="s">
        <v>7547</v>
      </c>
    </row>
    <row r="684" spans="1:38" x14ac:dyDescent="0.5">
      <c r="A684">
        <v>22179</v>
      </c>
      <c r="B684" s="16" t="s">
        <v>7548</v>
      </c>
      <c r="C684" s="16" t="s">
        <v>7548</v>
      </c>
      <c r="D684" s="16"/>
      <c r="E684" s="16" t="s">
        <v>7549</v>
      </c>
      <c r="F684" s="17" t="s">
        <v>7550</v>
      </c>
      <c r="G684" s="17" t="s">
        <v>7551</v>
      </c>
      <c r="H684" s="16" t="s">
        <v>3356</v>
      </c>
      <c r="I684" s="16" t="s">
        <v>7552</v>
      </c>
      <c r="J684" s="33">
        <v>43077</v>
      </c>
      <c r="K684" s="33">
        <v>43442</v>
      </c>
      <c r="L684" s="16" t="s">
        <v>66</v>
      </c>
      <c r="M684" s="16" t="s">
        <v>67</v>
      </c>
      <c r="N684" s="16" t="s">
        <v>68</v>
      </c>
      <c r="O684" s="16" t="s">
        <v>436</v>
      </c>
      <c r="P684" s="16"/>
      <c r="Q684" s="16" t="s">
        <v>71</v>
      </c>
      <c r="R684" s="17" t="s">
        <v>7553</v>
      </c>
      <c r="S684" s="16" t="s">
        <v>2403</v>
      </c>
      <c r="T684" s="16" t="s">
        <v>74</v>
      </c>
      <c r="U684" s="16" t="s">
        <v>75</v>
      </c>
      <c r="V684" s="16" t="s">
        <v>7554</v>
      </c>
      <c r="W684" s="16"/>
      <c r="X684" s="16" t="s">
        <v>7555</v>
      </c>
      <c r="Y684" s="16" t="s">
        <v>78</v>
      </c>
      <c r="Z684" s="16" t="s">
        <v>1158</v>
      </c>
      <c r="AA684" s="16" t="s">
        <v>1159</v>
      </c>
      <c r="AB684" s="17" t="s">
        <v>7556</v>
      </c>
      <c r="AC684" s="16" t="s">
        <v>71</v>
      </c>
      <c r="AD684" s="17" t="s">
        <v>7556</v>
      </c>
      <c r="AE684" s="17" t="s">
        <v>7557</v>
      </c>
      <c r="AG684" s="16" t="s">
        <v>6615</v>
      </c>
      <c r="AH684" s="16" t="s">
        <v>1502</v>
      </c>
      <c r="AI684" s="16"/>
      <c r="AJ684" s="16"/>
      <c r="AK684" s="16"/>
      <c r="AL684" s="16" t="s">
        <v>7558</v>
      </c>
    </row>
    <row r="685" spans="1:38" x14ac:dyDescent="0.5">
      <c r="A685">
        <v>22180</v>
      </c>
      <c r="B685" s="16" t="s">
        <v>4812</v>
      </c>
      <c r="C685" s="16" t="s">
        <v>4812</v>
      </c>
      <c r="D685" s="16"/>
      <c r="E685" s="16" t="s">
        <v>7559</v>
      </c>
      <c r="F685" s="17" t="s">
        <v>7560</v>
      </c>
      <c r="G685" s="17" t="s">
        <v>7561</v>
      </c>
      <c r="H685" s="16" t="s">
        <v>456</v>
      </c>
      <c r="I685" s="16" t="s">
        <v>7562</v>
      </c>
      <c r="J685" s="33">
        <v>43080</v>
      </c>
      <c r="K685" s="33">
        <v>43445</v>
      </c>
      <c r="L685" s="16" t="s">
        <v>66</v>
      </c>
      <c r="M685" s="16" t="s">
        <v>67</v>
      </c>
      <c r="N685" s="16" t="s">
        <v>68</v>
      </c>
      <c r="O685" s="16" t="s">
        <v>436</v>
      </c>
      <c r="P685" s="16"/>
      <c r="Q685" s="16" t="s">
        <v>71</v>
      </c>
      <c r="R685" s="17" t="s">
        <v>7563</v>
      </c>
      <c r="S685" s="16" t="s">
        <v>113</v>
      </c>
      <c r="T685" s="16" t="s">
        <v>74</v>
      </c>
      <c r="U685" s="16" t="s">
        <v>75</v>
      </c>
      <c r="V685" s="16" t="s">
        <v>7564</v>
      </c>
      <c r="W685" s="16"/>
      <c r="X685" s="16" t="s">
        <v>7565</v>
      </c>
      <c r="Y685" s="16" t="s">
        <v>78</v>
      </c>
      <c r="Z685" s="16" t="s">
        <v>117</v>
      </c>
      <c r="AA685" s="16" t="s">
        <v>113</v>
      </c>
      <c r="AB685" s="17" t="s">
        <v>7566</v>
      </c>
      <c r="AC685" s="16" t="s">
        <v>71</v>
      </c>
      <c r="AD685" s="17" t="s">
        <v>7566</v>
      </c>
      <c r="AF685" s="17" t="s">
        <v>7567</v>
      </c>
      <c r="AG685" s="16" t="s">
        <v>4062</v>
      </c>
      <c r="AH685" s="16" t="s">
        <v>3939</v>
      </c>
      <c r="AI685" s="16"/>
      <c r="AJ685" s="16"/>
      <c r="AK685" s="16"/>
      <c r="AL685" s="16" t="s">
        <v>7568</v>
      </c>
    </row>
    <row r="686" spans="1:38" x14ac:dyDescent="0.5">
      <c r="A686">
        <v>22181</v>
      </c>
      <c r="B686" s="16" t="s">
        <v>7569</v>
      </c>
      <c r="C686" s="16" t="s">
        <v>7569</v>
      </c>
      <c r="D686" s="16"/>
      <c r="E686" s="16" t="s">
        <v>7570</v>
      </c>
      <c r="F686" s="17" t="s">
        <v>7571</v>
      </c>
      <c r="G686" s="17" t="s">
        <v>7572</v>
      </c>
      <c r="H686" s="16" t="s">
        <v>7573</v>
      </c>
      <c r="I686" s="16" t="s">
        <v>7574</v>
      </c>
      <c r="J686" s="33">
        <v>43080</v>
      </c>
      <c r="K686" s="33">
        <v>43445</v>
      </c>
      <c r="L686" s="16" t="s">
        <v>66</v>
      </c>
      <c r="M686" s="16" t="s">
        <v>67</v>
      </c>
      <c r="N686" s="16" t="s">
        <v>68</v>
      </c>
      <c r="O686" s="16" t="s">
        <v>69</v>
      </c>
      <c r="P686" s="16"/>
      <c r="Q686" s="16" t="s">
        <v>71</v>
      </c>
      <c r="R686" s="17" t="s">
        <v>7575</v>
      </c>
      <c r="S686" s="16" t="s">
        <v>359</v>
      </c>
      <c r="T686" s="16" t="s">
        <v>74</v>
      </c>
      <c r="U686" s="16" t="s">
        <v>75</v>
      </c>
      <c r="V686" s="16" t="s">
        <v>7576</v>
      </c>
      <c r="W686" s="16"/>
      <c r="X686" s="16" t="s">
        <v>7577</v>
      </c>
      <c r="Y686" s="16" t="s">
        <v>78</v>
      </c>
      <c r="Z686" s="16" t="s">
        <v>242</v>
      </c>
      <c r="AA686" s="16" t="s">
        <v>243</v>
      </c>
      <c r="AB686" s="17" t="s">
        <v>7578</v>
      </c>
      <c r="AC686" s="16" t="s">
        <v>71</v>
      </c>
      <c r="AD686" s="17" t="s">
        <v>7578</v>
      </c>
      <c r="AF686" s="17" t="s">
        <v>7579</v>
      </c>
      <c r="AG686" s="16" t="s">
        <v>3540</v>
      </c>
      <c r="AH686" s="16" t="s">
        <v>3542</v>
      </c>
      <c r="AI686" s="16"/>
      <c r="AJ686" s="16"/>
      <c r="AK686" s="16"/>
      <c r="AL686" s="16" t="s">
        <v>7580</v>
      </c>
    </row>
    <row r="687" spans="1:38" x14ac:dyDescent="0.5">
      <c r="A687">
        <v>22182</v>
      </c>
      <c r="B687" s="16" t="s">
        <v>4738</v>
      </c>
      <c r="C687" s="16" t="s">
        <v>4738</v>
      </c>
      <c r="D687" s="16"/>
      <c r="E687" s="16" t="s">
        <v>7581</v>
      </c>
      <c r="F687" s="17" t="s">
        <v>7582</v>
      </c>
      <c r="G687" s="17" t="s">
        <v>7583</v>
      </c>
      <c r="H687" s="16" t="s">
        <v>7584</v>
      </c>
      <c r="I687" s="16" t="s">
        <v>7585</v>
      </c>
      <c r="J687" s="33">
        <v>43077</v>
      </c>
      <c r="K687" s="33">
        <v>43442</v>
      </c>
      <c r="L687" s="16" t="s">
        <v>66</v>
      </c>
      <c r="M687" s="16" t="s">
        <v>67</v>
      </c>
      <c r="N687" s="16" t="s">
        <v>68</v>
      </c>
      <c r="O687" s="16" t="s">
        <v>436</v>
      </c>
      <c r="P687" s="16"/>
      <c r="Q687" s="16" t="s">
        <v>71</v>
      </c>
      <c r="R687" s="17" t="s">
        <v>7586</v>
      </c>
      <c r="S687" s="16" t="s">
        <v>5520</v>
      </c>
      <c r="T687" s="16" t="s">
        <v>74</v>
      </c>
      <c r="U687" s="16" t="s">
        <v>75</v>
      </c>
      <c r="V687" s="16" t="s">
        <v>7587</v>
      </c>
      <c r="W687" s="16" t="s">
        <v>7588</v>
      </c>
      <c r="X687" s="16" t="s">
        <v>7589</v>
      </c>
      <c r="Y687" s="16" t="s">
        <v>78</v>
      </c>
      <c r="Z687" s="16" t="s">
        <v>963</v>
      </c>
      <c r="AA687" s="16" t="s">
        <v>964</v>
      </c>
      <c r="AB687" s="17" t="s">
        <v>7590</v>
      </c>
      <c r="AC687" s="16" t="s">
        <v>71</v>
      </c>
      <c r="AD687" s="17" t="s">
        <v>7590</v>
      </c>
      <c r="AE687" s="17" t="s">
        <v>7591</v>
      </c>
      <c r="AG687" s="16" t="s">
        <v>5213</v>
      </c>
      <c r="AH687" s="16" t="s">
        <v>1285</v>
      </c>
      <c r="AI687" s="16"/>
      <c r="AJ687" s="16"/>
      <c r="AK687" s="16"/>
      <c r="AL687" s="16" t="s">
        <v>7592</v>
      </c>
    </row>
    <row r="688" spans="1:38" x14ac:dyDescent="0.5">
      <c r="A688">
        <v>22183</v>
      </c>
      <c r="B688" s="16" t="s">
        <v>7593</v>
      </c>
      <c r="C688" s="16" t="s">
        <v>7593</v>
      </c>
      <c r="D688" s="16"/>
      <c r="E688" s="16" t="s">
        <v>7594</v>
      </c>
      <c r="F688" s="17" t="s">
        <v>7595</v>
      </c>
      <c r="H688" s="16" t="s">
        <v>7596</v>
      </c>
      <c r="I688" s="16" t="s">
        <v>7597</v>
      </c>
      <c r="J688" s="33">
        <v>43077</v>
      </c>
      <c r="K688" s="33">
        <v>43807</v>
      </c>
      <c r="L688" s="16" t="s">
        <v>66</v>
      </c>
      <c r="M688" s="16" t="s">
        <v>67</v>
      </c>
      <c r="N688" s="16" t="s">
        <v>68</v>
      </c>
      <c r="O688" s="16" t="s">
        <v>436</v>
      </c>
      <c r="P688" s="16"/>
      <c r="Q688" s="16" t="s">
        <v>71</v>
      </c>
      <c r="R688" s="17" t="s">
        <v>7598</v>
      </c>
      <c r="S688" s="16" t="s">
        <v>113</v>
      </c>
      <c r="T688" s="16" t="s">
        <v>74</v>
      </c>
      <c r="U688" s="16" t="s">
        <v>75</v>
      </c>
      <c r="V688" s="16" t="s">
        <v>7599</v>
      </c>
      <c r="W688" s="16"/>
      <c r="X688" s="16" t="s">
        <v>7600</v>
      </c>
      <c r="Y688" s="16" t="s">
        <v>78</v>
      </c>
      <c r="Z688" s="16" t="s">
        <v>117</v>
      </c>
      <c r="AA688" s="16" t="s">
        <v>113</v>
      </c>
      <c r="AB688" s="17" t="s">
        <v>7601</v>
      </c>
      <c r="AC688" s="16" t="s">
        <v>71</v>
      </c>
      <c r="AD688" s="17" t="s">
        <v>7601</v>
      </c>
      <c r="AF688" s="17" t="s">
        <v>7602</v>
      </c>
      <c r="AG688" s="16" t="s">
        <v>7603</v>
      </c>
      <c r="AH688" s="16" t="s">
        <v>4704</v>
      </c>
      <c r="AI688" s="16"/>
      <c r="AJ688" s="16"/>
      <c r="AK688" s="16"/>
      <c r="AL688" s="16" t="s">
        <v>7604</v>
      </c>
    </row>
    <row r="689" spans="1:38" x14ac:dyDescent="0.5">
      <c r="A689">
        <v>22184</v>
      </c>
      <c r="B689" s="16" t="s">
        <v>4463</v>
      </c>
      <c r="C689" s="16" t="s">
        <v>4463</v>
      </c>
      <c r="D689" s="16"/>
      <c r="E689" s="16" t="s">
        <v>7605</v>
      </c>
      <c r="F689" s="17" t="s">
        <v>7606</v>
      </c>
      <c r="H689" s="16" t="s">
        <v>5394</v>
      </c>
      <c r="I689" s="16" t="s">
        <v>8651</v>
      </c>
      <c r="J689" s="33">
        <v>43077</v>
      </c>
      <c r="K689" s="33">
        <v>43442</v>
      </c>
      <c r="L689" s="16" t="s">
        <v>66</v>
      </c>
      <c r="M689" s="16" t="s">
        <v>67</v>
      </c>
      <c r="N689" s="16" t="s">
        <v>68</v>
      </c>
      <c r="O689" s="16" t="s">
        <v>436</v>
      </c>
      <c r="P689" s="16"/>
      <c r="Q689" s="16" t="s">
        <v>71</v>
      </c>
      <c r="R689" s="17" t="s">
        <v>7607</v>
      </c>
      <c r="S689" s="16" t="s">
        <v>113</v>
      </c>
      <c r="T689" s="16" t="s">
        <v>74</v>
      </c>
      <c r="U689" s="16" t="s">
        <v>75</v>
      </c>
      <c r="V689" s="16" t="s">
        <v>7608</v>
      </c>
      <c r="W689" s="16"/>
      <c r="X689" s="16" t="s">
        <v>7609</v>
      </c>
      <c r="Y689" s="16" t="s">
        <v>78</v>
      </c>
      <c r="Z689" s="16" t="s">
        <v>117</v>
      </c>
      <c r="AA689" s="16" t="s">
        <v>113</v>
      </c>
      <c r="AB689" s="17" t="s">
        <v>7610</v>
      </c>
      <c r="AC689" s="16" t="s">
        <v>71</v>
      </c>
      <c r="AD689" s="17" t="s">
        <v>7610</v>
      </c>
      <c r="AG689" s="16" t="s">
        <v>3540</v>
      </c>
      <c r="AH689" s="16" t="s">
        <v>1285</v>
      </c>
      <c r="AI689" s="16"/>
      <c r="AJ689" s="16"/>
      <c r="AK689" s="16"/>
      <c r="AL689" s="16" t="s">
        <v>7611</v>
      </c>
    </row>
    <row r="690" spans="1:38" x14ac:dyDescent="0.5">
      <c r="A690">
        <v>22185</v>
      </c>
      <c r="B690" s="16" t="s">
        <v>4693</v>
      </c>
      <c r="C690" s="16" t="s">
        <v>4693</v>
      </c>
      <c r="D690" s="16"/>
      <c r="E690" s="16" t="s">
        <v>7612</v>
      </c>
      <c r="F690" s="17" t="s">
        <v>7613</v>
      </c>
      <c r="H690" s="16" t="s">
        <v>3093</v>
      </c>
      <c r="I690" s="16" t="s">
        <v>7614</v>
      </c>
      <c r="J690" s="33">
        <v>43117</v>
      </c>
      <c r="K690" s="33">
        <v>43482</v>
      </c>
      <c r="L690" s="16" t="s">
        <v>66</v>
      </c>
      <c r="M690" s="16" t="s">
        <v>67</v>
      </c>
      <c r="N690" s="16" t="s">
        <v>68</v>
      </c>
      <c r="O690" s="16" t="s">
        <v>436</v>
      </c>
      <c r="P690" s="16"/>
      <c r="Q690" s="16" t="s">
        <v>71</v>
      </c>
      <c r="R690" s="17" t="s">
        <v>7615</v>
      </c>
      <c r="S690" s="16" t="s">
        <v>996</v>
      </c>
      <c r="T690" s="16" t="s">
        <v>74</v>
      </c>
      <c r="U690" s="16" t="s">
        <v>75</v>
      </c>
      <c r="V690" s="16" t="s">
        <v>7616</v>
      </c>
      <c r="W690" s="16"/>
      <c r="X690" s="16" t="s">
        <v>7617</v>
      </c>
      <c r="Y690" s="16" t="s">
        <v>78</v>
      </c>
      <c r="Z690" s="16" t="s">
        <v>172</v>
      </c>
      <c r="AA690" s="16" t="s">
        <v>173</v>
      </c>
      <c r="AB690" s="17" t="s">
        <v>7618</v>
      </c>
      <c r="AC690" s="16" t="s">
        <v>71</v>
      </c>
      <c r="AD690" s="17" t="s">
        <v>7618</v>
      </c>
      <c r="AG690" s="16" t="s">
        <v>6236</v>
      </c>
      <c r="AH690" s="16" t="s">
        <v>1003</v>
      </c>
      <c r="AI690" s="16" t="s">
        <v>6615</v>
      </c>
      <c r="AJ690" s="16"/>
      <c r="AK690" s="16"/>
      <c r="AL690" s="16" t="s">
        <v>7619</v>
      </c>
    </row>
    <row r="691" spans="1:38" x14ac:dyDescent="0.5">
      <c r="A691">
        <v>22187</v>
      </c>
      <c r="B691" s="16" t="s">
        <v>567</v>
      </c>
      <c r="C691" s="16" t="s">
        <v>567</v>
      </c>
      <c r="D691" s="16"/>
      <c r="E691" s="16" t="s">
        <v>7620</v>
      </c>
      <c r="F691" s="17" t="s">
        <v>7621</v>
      </c>
      <c r="H691" s="16" t="s">
        <v>5582</v>
      </c>
      <c r="I691" s="16" t="s">
        <v>7622</v>
      </c>
      <c r="J691" s="33">
        <v>43108</v>
      </c>
      <c r="K691" s="33">
        <v>43473</v>
      </c>
      <c r="L691" s="16" t="s">
        <v>66</v>
      </c>
      <c r="M691" s="16" t="s">
        <v>67</v>
      </c>
      <c r="N691" s="16" t="s">
        <v>68</v>
      </c>
      <c r="O691" s="16" t="s">
        <v>436</v>
      </c>
      <c r="P691" s="16"/>
      <c r="Q691" s="16" t="s">
        <v>71</v>
      </c>
      <c r="R691" s="17" t="s">
        <v>7623</v>
      </c>
      <c r="S691" s="16" t="s">
        <v>113</v>
      </c>
      <c r="T691" s="16" t="s">
        <v>74</v>
      </c>
      <c r="U691" s="16" t="s">
        <v>75</v>
      </c>
      <c r="V691" s="16" t="s">
        <v>7624</v>
      </c>
      <c r="W691" s="16"/>
      <c r="X691" s="16" t="s">
        <v>7625</v>
      </c>
      <c r="Y691" s="16" t="s">
        <v>78</v>
      </c>
      <c r="Z691" s="16" t="s">
        <v>117</v>
      </c>
      <c r="AA691" s="16" t="s">
        <v>113</v>
      </c>
      <c r="AB691" s="17" t="s">
        <v>7626</v>
      </c>
      <c r="AC691" s="16" t="s">
        <v>71</v>
      </c>
      <c r="AD691" s="17" t="s">
        <v>7626</v>
      </c>
      <c r="AG691" s="16" t="s">
        <v>4062</v>
      </c>
      <c r="AH691" s="16" t="s">
        <v>3939</v>
      </c>
      <c r="AI691" s="16"/>
      <c r="AJ691" s="16"/>
      <c r="AK691" s="16"/>
      <c r="AL691" s="16"/>
    </row>
    <row r="692" spans="1:38" x14ac:dyDescent="0.5">
      <c r="A692">
        <v>22188</v>
      </c>
      <c r="B692" s="16" t="s">
        <v>7627</v>
      </c>
      <c r="C692" s="16" t="s">
        <v>7627</v>
      </c>
      <c r="D692" s="16"/>
      <c r="E692" s="16" t="s">
        <v>7628</v>
      </c>
      <c r="F692" s="17" t="s">
        <v>7629</v>
      </c>
      <c r="H692" s="16" t="s">
        <v>7630</v>
      </c>
      <c r="I692" s="16" t="s">
        <v>7631</v>
      </c>
      <c r="J692" s="33">
        <v>43117</v>
      </c>
      <c r="K692" s="33">
        <v>43482</v>
      </c>
      <c r="L692" s="16" t="s">
        <v>66</v>
      </c>
      <c r="M692" s="16" t="s">
        <v>67</v>
      </c>
      <c r="N692" s="16" t="s">
        <v>68</v>
      </c>
      <c r="O692" s="16" t="s">
        <v>436</v>
      </c>
      <c r="P692" s="16"/>
      <c r="Q692" s="16" t="s">
        <v>71</v>
      </c>
      <c r="R692" s="17" t="s">
        <v>7632</v>
      </c>
      <c r="S692" s="16" t="s">
        <v>7633</v>
      </c>
      <c r="T692" s="16" t="s">
        <v>7634</v>
      </c>
      <c r="U692" s="16" t="s">
        <v>7635</v>
      </c>
      <c r="V692" s="16" t="s">
        <v>7636</v>
      </c>
      <c r="W692" s="16"/>
      <c r="X692" s="16" t="s">
        <v>7637</v>
      </c>
      <c r="Y692" s="16" t="s">
        <v>744</v>
      </c>
      <c r="Z692" s="16"/>
      <c r="AA692" s="16"/>
      <c r="AB692" s="17" t="s">
        <v>7638</v>
      </c>
      <c r="AC692" s="16" t="s">
        <v>71</v>
      </c>
      <c r="AD692" s="17" t="s">
        <v>7638</v>
      </c>
      <c r="AG692" s="16" t="s">
        <v>2289</v>
      </c>
      <c r="AH692" s="16" t="s">
        <v>7639</v>
      </c>
      <c r="AI692" s="16"/>
      <c r="AJ692" s="16"/>
      <c r="AK692" s="16"/>
      <c r="AL692" s="16" t="s">
        <v>7640</v>
      </c>
    </row>
    <row r="693" spans="1:38" x14ac:dyDescent="0.5">
      <c r="A693">
        <v>22189</v>
      </c>
      <c r="B693" s="16" t="s">
        <v>7641</v>
      </c>
      <c r="C693" s="16" t="s">
        <v>7642</v>
      </c>
      <c r="D693" s="16" t="s">
        <v>261</v>
      </c>
      <c r="E693" s="16" t="s">
        <v>7643</v>
      </c>
      <c r="F693" s="17" t="s">
        <v>7644</v>
      </c>
      <c r="H693" s="16" t="s">
        <v>7645</v>
      </c>
      <c r="I693" s="16" t="s">
        <v>7646</v>
      </c>
      <c r="J693" s="33">
        <v>43089</v>
      </c>
      <c r="K693" s="33">
        <v>43454</v>
      </c>
      <c r="L693" s="16" t="s">
        <v>66</v>
      </c>
      <c r="M693" s="16" t="s">
        <v>67</v>
      </c>
      <c r="N693" s="16" t="s">
        <v>68</v>
      </c>
      <c r="O693" s="16" t="s">
        <v>436</v>
      </c>
      <c r="P693" s="16"/>
      <c r="Q693" s="16" t="s">
        <v>71</v>
      </c>
      <c r="R693" s="17" t="s">
        <v>7647</v>
      </c>
      <c r="S693" s="16" t="s">
        <v>3073</v>
      </c>
      <c r="T693" s="16" t="s">
        <v>74</v>
      </c>
      <c r="U693" s="16" t="s">
        <v>75</v>
      </c>
      <c r="V693" s="16" t="s">
        <v>7648</v>
      </c>
      <c r="W693" s="16"/>
      <c r="X693" s="16" t="s">
        <v>7649</v>
      </c>
      <c r="Y693" s="16" t="s">
        <v>78</v>
      </c>
      <c r="Z693" s="16" t="s">
        <v>2165</v>
      </c>
      <c r="AA693" s="16" t="s">
        <v>2166</v>
      </c>
      <c r="AB693" s="17" t="s">
        <v>7650</v>
      </c>
      <c r="AC693" s="16" t="s">
        <v>71</v>
      </c>
      <c r="AD693" s="17" t="s">
        <v>7650</v>
      </c>
      <c r="AG693" s="16" t="s">
        <v>2094</v>
      </c>
      <c r="AH693" s="16" t="s">
        <v>1285</v>
      </c>
      <c r="AI693" s="16"/>
      <c r="AJ693" s="16"/>
      <c r="AK693" s="16"/>
      <c r="AL693" s="16" t="s">
        <v>7651</v>
      </c>
    </row>
    <row r="694" spans="1:38" x14ac:dyDescent="0.5">
      <c r="A694">
        <v>22190</v>
      </c>
      <c r="B694" s="16" t="s">
        <v>7652</v>
      </c>
      <c r="C694" s="16" t="s">
        <v>7652</v>
      </c>
      <c r="D694" s="16"/>
      <c r="E694" s="16" t="s">
        <v>7653</v>
      </c>
      <c r="F694" s="17" t="s">
        <v>7654</v>
      </c>
      <c r="H694" s="16" t="s">
        <v>7655</v>
      </c>
      <c r="I694" s="16" t="s">
        <v>7656</v>
      </c>
      <c r="J694" s="33">
        <v>43089</v>
      </c>
      <c r="K694" s="33">
        <v>43454</v>
      </c>
      <c r="L694" s="16" t="s">
        <v>66</v>
      </c>
      <c r="M694" s="16" t="s">
        <v>67</v>
      </c>
      <c r="N694" s="16" t="s">
        <v>68</v>
      </c>
      <c r="O694" s="16" t="s">
        <v>436</v>
      </c>
      <c r="P694" s="16"/>
      <c r="Q694" s="16" t="s">
        <v>71</v>
      </c>
      <c r="R694" s="17" t="s">
        <v>7657</v>
      </c>
      <c r="S694" s="16" t="s">
        <v>3647</v>
      </c>
      <c r="T694" s="16" t="s">
        <v>74</v>
      </c>
      <c r="U694" s="16" t="s">
        <v>75</v>
      </c>
      <c r="V694" s="16" t="s">
        <v>7658</v>
      </c>
      <c r="W694" s="16"/>
      <c r="X694" s="16" t="s">
        <v>7659</v>
      </c>
      <c r="Y694" s="16" t="s">
        <v>78</v>
      </c>
      <c r="Z694" s="16" t="s">
        <v>1025</v>
      </c>
      <c r="AA694" s="16" t="s">
        <v>1026</v>
      </c>
      <c r="AB694" s="17" t="s">
        <v>7660</v>
      </c>
      <c r="AC694" s="16" t="s">
        <v>71</v>
      </c>
      <c r="AD694" s="17" t="s">
        <v>7660</v>
      </c>
      <c r="AG694" s="16" t="s">
        <v>1503</v>
      </c>
      <c r="AH694" s="16" t="s">
        <v>7661</v>
      </c>
      <c r="AI694" s="16"/>
      <c r="AJ694" s="16"/>
      <c r="AK694" s="16"/>
      <c r="AL694" s="16" t="s">
        <v>7662</v>
      </c>
    </row>
    <row r="695" spans="1:38" x14ac:dyDescent="0.5">
      <c r="A695">
        <v>22191</v>
      </c>
      <c r="B695" s="16" t="s">
        <v>4985</v>
      </c>
      <c r="C695" s="16" t="s">
        <v>4985</v>
      </c>
      <c r="D695" s="16"/>
      <c r="E695" s="16" t="s">
        <v>7663</v>
      </c>
      <c r="F695" s="17" t="s">
        <v>7664</v>
      </c>
      <c r="H695" s="16" t="s">
        <v>7665</v>
      </c>
      <c r="I695" s="16" t="s">
        <v>2174</v>
      </c>
      <c r="J695" s="33">
        <v>43077</v>
      </c>
      <c r="K695" s="33">
        <v>43442</v>
      </c>
      <c r="L695" s="16" t="s">
        <v>66</v>
      </c>
      <c r="M695" s="16" t="s">
        <v>67</v>
      </c>
      <c r="N695" s="16" t="s">
        <v>68</v>
      </c>
      <c r="O695" s="16" t="s">
        <v>436</v>
      </c>
      <c r="P695" s="16"/>
      <c r="Q695" s="16" t="s">
        <v>71</v>
      </c>
      <c r="R695" s="17" t="s">
        <v>7666</v>
      </c>
      <c r="S695" s="16" t="s">
        <v>7667</v>
      </c>
      <c r="T695" s="16" t="s">
        <v>74</v>
      </c>
      <c r="U695" s="16" t="s">
        <v>75</v>
      </c>
      <c r="V695" s="16" t="s">
        <v>7668</v>
      </c>
      <c r="W695" s="16"/>
      <c r="X695" s="16" t="s">
        <v>7669</v>
      </c>
      <c r="Y695" s="16" t="s">
        <v>78</v>
      </c>
      <c r="Z695" s="16" t="s">
        <v>172</v>
      </c>
      <c r="AA695" s="16" t="s">
        <v>173</v>
      </c>
      <c r="AB695" s="17" t="s">
        <v>7670</v>
      </c>
      <c r="AC695" s="16" t="s">
        <v>71</v>
      </c>
      <c r="AD695" s="17" t="s">
        <v>7670</v>
      </c>
      <c r="AG695" s="16" t="s">
        <v>7671</v>
      </c>
      <c r="AH695" s="16" t="s">
        <v>4870</v>
      </c>
      <c r="AI695" s="16" t="s">
        <v>2108</v>
      </c>
      <c r="AJ695" s="16"/>
      <c r="AK695" s="16"/>
      <c r="AL695" s="16" t="s">
        <v>7672</v>
      </c>
    </row>
    <row r="696" spans="1:38" x14ac:dyDescent="0.5">
      <c r="A696">
        <v>22192</v>
      </c>
      <c r="B696" s="16" t="s">
        <v>6311</v>
      </c>
      <c r="C696" s="16" t="s">
        <v>6311</v>
      </c>
      <c r="D696" s="16"/>
      <c r="E696" s="16" t="s">
        <v>7673</v>
      </c>
      <c r="F696" s="17" t="s">
        <v>7674</v>
      </c>
      <c r="H696" s="16" t="s">
        <v>7675</v>
      </c>
      <c r="I696" s="16" t="s">
        <v>7676</v>
      </c>
      <c r="J696" s="33">
        <v>43080</v>
      </c>
      <c r="K696" s="33">
        <v>43445</v>
      </c>
      <c r="L696" s="16" t="s">
        <v>66</v>
      </c>
      <c r="M696" s="16" t="s">
        <v>67</v>
      </c>
      <c r="N696" s="16" t="s">
        <v>68</v>
      </c>
      <c r="O696" s="16" t="s">
        <v>436</v>
      </c>
      <c r="P696" s="16"/>
      <c r="Q696" s="16" t="s">
        <v>71</v>
      </c>
      <c r="R696" s="17" t="s">
        <v>7677</v>
      </c>
      <c r="S696" s="16" t="s">
        <v>7678</v>
      </c>
      <c r="T696" s="16" t="s">
        <v>74</v>
      </c>
      <c r="U696" s="16" t="s">
        <v>75</v>
      </c>
      <c r="V696" s="16" t="s">
        <v>7679</v>
      </c>
      <c r="W696" s="16"/>
      <c r="X696" s="16" t="s">
        <v>7680</v>
      </c>
      <c r="Y696" s="16" t="s">
        <v>78</v>
      </c>
      <c r="Z696" s="16" t="s">
        <v>392</v>
      </c>
      <c r="AA696" s="16" t="s">
        <v>393</v>
      </c>
      <c r="AB696" s="17" t="s">
        <v>7681</v>
      </c>
      <c r="AC696" s="16" t="s">
        <v>71</v>
      </c>
      <c r="AD696" s="17" t="s">
        <v>7681</v>
      </c>
      <c r="AG696" s="16" t="s">
        <v>7682</v>
      </c>
      <c r="AH696" s="16" t="s">
        <v>7683</v>
      </c>
      <c r="AI696" s="16"/>
      <c r="AJ696" s="16"/>
      <c r="AK696" s="16"/>
      <c r="AL696" s="16" t="s">
        <v>7684</v>
      </c>
    </row>
    <row r="697" spans="1:38" x14ac:dyDescent="0.5">
      <c r="A697">
        <v>22193</v>
      </c>
      <c r="B697" s="16" t="s">
        <v>500</v>
      </c>
      <c r="C697" s="16" t="s">
        <v>500</v>
      </c>
      <c r="D697" s="16"/>
      <c r="E697" s="16" t="s">
        <v>7685</v>
      </c>
      <c r="F697" s="17" t="s">
        <v>7686</v>
      </c>
      <c r="G697" s="17" t="s">
        <v>7687</v>
      </c>
      <c r="H697" s="16" t="s">
        <v>3993</v>
      </c>
      <c r="I697" s="16" t="s">
        <v>7688</v>
      </c>
      <c r="J697" s="33">
        <v>43080</v>
      </c>
      <c r="K697" s="33">
        <v>43445</v>
      </c>
      <c r="L697" s="16" t="s">
        <v>66</v>
      </c>
      <c r="M697" s="16" t="s">
        <v>67</v>
      </c>
      <c r="N697" s="16" t="s">
        <v>68</v>
      </c>
      <c r="O697" s="16" t="s">
        <v>436</v>
      </c>
      <c r="P697" s="16"/>
      <c r="Q697" s="16" t="s">
        <v>71</v>
      </c>
      <c r="R697" s="17" t="s">
        <v>7689</v>
      </c>
      <c r="S697" s="16" t="s">
        <v>6030</v>
      </c>
      <c r="T697" s="16" t="s">
        <v>6031</v>
      </c>
      <c r="U697" s="16" t="s">
        <v>6032</v>
      </c>
      <c r="V697" s="16" t="s">
        <v>7690</v>
      </c>
      <c r="W697" s="16" t="s">
        <v>7691</v>
      </c>
      <c r="X697" s="16" t="s">
        <v>7692</v>
      </c>
      <c r="Y697" s="16" t="s">
        <v>744</v>
      </c>
      <c r="Z697" s="16"/>
      <c r="AA697" s="16"/>
      <c r="AB697" s="17" t="s">
        <v>7693</v>
      </c>
      <c r="AC697" s="16" t="s">
        <v>71</v>
      </c>
      <c r="AD697" s="17" t="s">
        <v>7693</v>
      </c>
      <c r="AG697" s="16" t="s">
        <v>2632</v>
      </c>
      <c r="AH697" s="16" t="s">
        <v>579</v>
      </c>
      <c r="AI697" s="16"/>
      <c r="AJ697" s="16"/>
      <c r="AK697" s="16"/>
      <c r="AL697" s="16" t="s">
        <v>7694</v>
      </c>
    </row>
    <row r="698" spans="1:38" x14ac:dyDescent="0.5">
      <c r="A698">
        <v>22194</v>
      </c>
      <c r="B698" s="16" t="s">
        <v>1391</v>
      </c>
      <c r="C698" s="16" t="s">
        <v>1392</v>
      </c>
      <c r="D698" s="16"/>
      <c r="E698" s="16" t="s">
        <v>7695</v>
      </c>
      <c r="F698" s="17" t="s">
        <v>7696</v>
      </c>
      <c r="H698" s="16" t="s">
        <v>4975</v>
      </c>
      <c r="I698" s="16" t="s">
        <v>7697</v>
      </c>
      <c r="J698" s="33">
        <v>43089</v>
      </c>
      <c r="K698" s="33">
        <v>43454</v>
      </c>
      <c r="L698" s="16" t="s">
        <v>66</v>
      </c>
      <c r="M698" s="16" t="s">
        <v>67</v>
      </c>
      <c r="N698" s="16" t="s">
        <v>68</v>
      </c>
      <c r="O698" s="16" t="s">
        <v>436</v>
      </c>
      <c r="P698" s="16"/>
      <c r="Q698" s="16" t="s">
        <v>71</v>
      </c>
      <c r="R698" s="17" t="s">
        <v>7698</v>
      </c>
      <c r="S698" s="16" t="s">
        <v>1497</v>
      </c>
      <c r="T698" s="16" t="s">
        <v>74</v>
      </c>
      <c r="U698" s="16" t="s">
        <v>75</v>
      </c>
      <c r="V698" s="16" t="s">
        <v>7699</v>
      </c>
      <c r="W698" s="16" t="s">
        <v>7700</v>
      </c>
      <c r="X698" s="16" t="s">
        <v>7701</v>
      </c>
      <c r="Y698" s="16" t="s">
        <v>78</v>
      </c>
      <c r="Z698" s="16" t="s">
        <v>1025</v>
      </c>
      <c r="AA698" s="16" t="s">
        <v>1026</v>
      </c>
      <c r="AB698" s="17" t="s">
        <v>7702</v>
      </c>
      <c r="AC698" s="16" t="s">
        <v>71</v>
      </c>
      <c r="AD698" s="17" t="s">
        <v>7702</v>
      </c>
      <c r="AG698" s="16" t="s">
        <v>6615</v>
      </c>
      <c r="AH698" s="16" t="s">
        <v>1502</v>
      </c>
      <c r="AI698" s="16"/>
      <c r="AJ698" s="16"/>
      <c r="AK698" s="16"/>
      <c r="AL698" s="16" t="s">
        <v>7703</v>
      </c>
    </row>
    <row r="699" spans="1:38" x14ac:dyDescent="0.5">
      <c r="A699">
        <v>22195</v>
      </c>
      <c r="B699" s="16" t="s">
        <v>7245</v>
      </c>
      <c r="C699" s="16" t="s">
        <v>7245</v>
      </c>
      <c r="D699" s="16"/>
      <c r="E699" s="16" t="s">
        <v>7704</v>
      </c>
      <c r="F699" s="17" t="s">
        <v>7705</v>
      </c>
      <c r="G699" s="17" t="s">
        <v>7706</v>
      </c>
      <c r="H699" s="16" t="s">
        <v>7707</v>
      </c>
      <c r="I699" s="16" t="s">
        <v>7708</v>
      </c>
      <c r="J699" s="33">
        <v>43080</v>
      </c>
      <c r="K699" s="33">
        <v>43445</v>
      </c>
      <c r="L699" s="16" t="s">
        <v>66</v>
      </c>
      <c r="M699" s="16" t="s">
        <v>67</v>
      </c>
      <c r="N699" s="16" t="s">
        <v>68</v>
      </c>
      <c r="O699" s="16" t="s">
        <v>436</v>
      </c>
      <c r="P699" s="16"/>
      <c r="Q699" s="16" t="s">
        <v>71</v>
      </c>
      <c r="R699" s="17" t="s">
        <v>7709</v>
      </c>
      <c r="S699" s="16" t="s">
        <v>764</v>
      </c>
      <c r="T699" s="16" t="s">
        <v>74</v>
      </c>
      <c r="U699" s="16" t="s">
        <v>75</v>
      </c>
      <c r="V699" s="16" t="s">
        <v>7710</v>
      </c>
      <c r="W699" s="16"/>
      <c r="X699" s="16" t="s">
        <v>7711</v>
      </c>
      <c r="Y699" s="16" t="s">
        <v>78</v>
      </c>
      <c r="Z699" s="16" t="s">
        <v>189</v>
      </c>
      <c r="AA699" s="16" t="s">
        <v>190</v>
      </c>
      <c r="AB699" s="17" t="s">
        <v>7712</v>
      </c>
      <c r="AC699" s="16" t="s">
        <v>71</v>
      </c>
      <c r="AD699" s="17" t="s">
        <v>7712</v>
      </c>
      <c r="AE699" s="17" t="s">
        <v>7713</v>
      </c>
      <c r="AG699" s="16" t="s">
        <v>5892</v>
      </c>
      <c r="AH699" s="16" t="s">
        <v>2923</v>
      </c>
      <c r="AI699" s="16"/>
      <c r="AJ699" s="16"/>
      <c r="AK699" s="16"/>
      <c r="AL699" s="16" t="s">
        <v>7714</v>
      </c>
    </row>
    <row r="700" spans="1:38" x14ac:dyDescent="0.5">
      <c r="A700">
        <v>22196</v>
      </c>
      <c r="B700" s="16" t="s">
        <v>7715</v>
      </c>
      <c r="C700" s="16" t="s">
        <v>7715</v>
      </c>
      <c r="D700" s="16"/>
      <c r="E700" s="16" t="s">
        <v>7716</v>
      </c>
      <c r="F700" s="17" t="s">
        <v>7717</v>
      </c>
      <c r="H700" s="16" t="s">
        <v>3777</v>
      </c>
      <c r="I700" s="16" t="s">
        <v>7718</v>
      </c>
      <c r="J700" s="33">
        <v>43103</v>
      </c>
      <c r="K700" s="33">
        <v>43468</v>
      </c>
      <c r="L700" s="16" t="s">
        <v>66</v>
      </c>
      <c r="M700" s="16" t="s">
        <v>67</v>
      </c>
      <c r="N700" s="16" t="s">
        <v>68</v>
      </c>
      <c r="O700" s="16" t="s">
        <v>436</v>
      </c>
      <c r="P700" s="16"/>
      <c r="Q700" s="16" t="s">
        <v>71</v>
      </c>
      <c r="R700" s="17" t="s">
        <v>7719</v>
      </c>
      <c r="S700" s="16" t="s">
        <v>113</v>
      </c>
      <c r="T700" s="16" t="s">
        <v>74</v>
      </c>
      <c r="U700" s="16" t="s">
        <v>75</v>
      </c>
      <c r="V700" s="16" t="s">
        <v>7720</v>
      </c>
      <c r="W700" s="16"/>
      <c r="X700" s="16" t="s">
        <v>7721</v>
      </c>
      <c r="Y700" s="16" t="s">
        <v>78</v>
      </c>
      <c r="Z700" s="16" t="s">
        <v>117</v>
      </c>
      <c r="AA700" s="16" t="s">
        <v>113</v>
      </c>
      <c r="AB700" s="17" t="s">
        <v>7722</v>
      </c>
      <c r="AC700" s="16" t="s">
        <v>71</v>
      </c>
      <c r="AD700" s="17" t="s">
        <v>7722</v>
      </c>
      <c r="AG700" s="16" t="s">
        <v>1884</v>
      </c>
      <c r="AH700" s="16" t="s">
        <v>2616</v>
      </c>
      <c r="AI700" s="16" t="s">
        <v>7723</v>
      </c>
      <c r="AJ700" s="16"/>
      <c r="AK700" s="16"/>
      <c r="AL700" s="16" t="s">
        <v>7724</v>
      </c>
    </row>
    <row r="701" spans="1:38" x14ac:dyDescent="0.5">
      <c r="A701">
        <v>22197</v>
      </c>
      <c r="B701" s="16" t="s">
        <v>7725</v>
      </c>
      <c r="C701" s="16" t="s">
        <v>7725</v>
      </c>
      <c r="D701" s="16"/>
      <c r="E701" s="16" t="s">
        <v>7726</v>
      </c>
      <c r="F701" s="17" t="s">
        <v>7727</v>
      </c>
      <c r="H701" s="16" t="s">
        <v>7728</v>
      </c>
      <c r="I701" s="16" t="s">
        <v>7729</v>
      </c>
      <c r="J701" s="33">
        <v>43185</v>
      </c>
      <c r="K701" s="33">
        <v>43550</v>
      </c>
      <c r="L701" s="16" t="s">
        <v>66</v>
      </c>
      <c r="M701" s="16" t="s">
        <v>67</v>
      </c>
      <c r="N701" s="16" t="s">
        <v>68</v>
      </c>
      <c r="O701" s="16" t="s">
        <v>436</v>
      </c>
      <c r="P701" s="16"/>
      <c r="Q701" s="16" t="s">
        <v>71</v>
      </c>
      <c r="R701" s="17" t="s">
        <v>7730</v>
      </c>
      <c r="S701" s="16" t="s">
        <v>359</v>
      </c>
      <c r="T701" s="16" t="s">
        <v>74</v>
      </c>
      <c r="U701" s="16" t="s">
        <v>75</v>
      </c>
      <c r="V701" s="16" t="s">
        <v>7731</v>
      </c>
      <c r="W701" s="16"/>
      <c r="X701" s="16" t="s">
        <v>7732</v>
      </c>
      <c r="Y701" s="16" t="s">
        <v>78</v>
      </c>
      <c r="Z701" s="16" t="s">
        <v>242</v>
      </c>
      <c r="AA701" s="16" t="s">
        <v>243</v>
      </c>
      <c r="AB701" s="17" t="s">
        <v>7733</v>
      </c>
      <c r="AC701" s="16" t="s">
        <v>71</v>
      </c>
      <c r="AD701" s="17" t="s">
        <v>7733</v>
      </c>
      <c r="AF701" s="17" t="s">
        <v>7734</v>
      </c>
      <c r="AG701" s="16" t="s">
        <v>7735</v>
      </c>
      <c r="AH701" s="16" t="s">
        <v>3540</v>
      </c>
      <c r="AI701" s="16"/>
      <c r="AJ701" s="16"/>
      <c r="AK701" s="16"/>
      <c r="AL701" s="16" t="s">
        <v>7736</v>
      </c>
    </row>
    <row r="702" spans="1:38" x14ac:dyDescent="0.5">
      <c r="A702">
        <v>22198</v>
      </c>
      <c r="B702" s="16" t="s">
        <v>7737</v>
      </c>
      <c r="C702" s="16" t="s">
        <v>7737</v>
      </c>
      <c r="D702" s="16" t="s">
        <v>277</v>
      </c>
      <c r="E702" s="16" t="s">
        <v>7738</v>
      </c>
      <c r="F702" s="17" t="s">
        <v>7739</v>
      </c>
      <c r="G702" s="17" t="s">
        <v>7740</v>
      </c>
      <c r="H702" s="16" t="s">
        <v>7741</v>
      </c>
      <c r="I702" s="16" t="s">
        <v>8583</v>
      </c>
      <c r="J702" s="33">
        <v>43077</v>
      </c>
      <c r="K702" s="33">
        <v>43442</v>
      </c>
      <c r="L702" s="16" t="s">
        <v>66</v>
      </c>
      <c r="M702" s="16" t="s">
        <v>90</v>
      </c>
      <c r="N702" s="16" t="s">
        <v>91</v>
      </c>
      <c r="O702" s="16" t="s">
        <v>91</v>
      </c>
      <c r="P702" s="16"/>
      <c r="Q702" s="16" t="s">
        <v>71</v>
      </c>
      <c r="R702" s="17" t="s">
        <v>7742</v>
      </c>
      <c r="S702" s="16" t="s">
        <v>373</v>
      </c>
      <c r="T702" s="16" t="s">
        <v>74</v>
      </c>
      <c r="U702" s="16" t="s">
        <v>75</v>
      </c>
      <c r="V702" s="16" t="s">
        <v>7743</v>
      </c>
      <c r="W702" s="16"/>
      <c r="X702" s="16" t="s">
        <v>7744</v>
      </c>
      <c r="Y702" s="16" t="s">
        <v>78</v>
      </c>
      <c r="Z702" s="16" t="s">
        <v>376</v>
      </c>
      <c r="AA702" s="16" t="s">
        <v>377</v>
      </c>
      <c r="AB702" s="17" t="s">
        <v>7745</v>
      </c>
      <c r="AC702" s="16" t="s">
        <v>71</v>
      </c>
      <c r="AD702" s="17" t="s">
        <v>7745</v>
      </c>
      <c r="AF702" s="17" t="s">
        <v>7746</v>
      </c>
      <c r="AG702" s="16" t="s">
        <v>1637</v>
      </c>
      <c r="AH702" s="16" t="s">
        <v>899</v>
      </c>
      <c r="AI702" s="16" t="s">
        <v>1784</v>
      </c>
      <c r="AJ702" s="16"/>
      <c r="AK702" s="16"/>
      <c r="AL702" s="16" t="s">
        <v>7747</v>
      </c>
    </row>
    <row r="703" spans="1:38" x14ac:dyDescent="0.5">
      <c r="A703">
        <v>22199</v>
      </c>
      <c r="B703" s="16" t="s">
        <v>7748</v>
      </c>
      <c r="C703" s="16" t="s">
        <v>7748</v>
      </c>
      <c r="D703" s="16"/>
      <c r="E703" s="16" t="s">
        <v>7749</v>
      </c>
      <c r="F703" s="17" t="s">
        <v>7750</v>
      </c>
      <c r="H703" s="16" t="s">
        <v>7751</v>
      </c>
      <c r="I703" s="16" t="s">
        <v>8652</v>
      </c>
      <c r="J703" s="33">
        <v>43080</v>
      </c>
      <c r="K703" s="33">
        <v>43445</v>
      </c>
      <c r="L703" s="16" t="s">
        <v>66</v>
      </c>
      <c r="M703" s="16" t="s">
        <v>235</v>
      </c>
      <c r="N703" s="16" t="s">
        <v>236</v>
      </c>
      <c r="O703" s="16" t="s">
        <v>237</v>
      </c>
      <c r="P703" s="16"/>
      <c r="Q703" s="16" t="s">
        <v>71</v>
      </c>
      <c r="R703" s="17" t="s">
        <v>7752</v>
      </c>
      <c r="S703" s="16" t="s">
        <v>7753</v>
      </c>
      <c r="T703" s="16" t="s">
        <v>4588</v>
      </c>
      <c r="U703" s="16" t="s">
        <v>4589</v>
      </c>
      <c r="V703" s="16" t="s">
        <v>7754</v>
      </c>
      <c r="W703" s="16"/>
      <c r="X703" s="16" t="s">
        <v>7755</v>
      </c>
      <c r="Y703" s="16" t="s">
        <v>744</v>
      </c>
      <c r="Z703" s="16"/>
      <c r="AA703" s="16"/>
      <c r="AB703" s="17" t="s">
        <v>7756</v>
      </c>
      <c r="AC703" s="16" t="s">
        <v>71</v>
      </c>
      <c r="AD703" s="17" t="s">
        <v>7756</v>
      </c>
      <c r="AG703" s="16" t="s">
        <v>6446</v>
      </c>
      <c r="AH703" s="16" t="s">
        <v>2632</v>
      </c>
      <c r="AI703" s="16"/>
      <c r="AJ703" s="16"/>
      <c r="AK703" s="16"/>
      <c r="AL703" s="16" t="s">
        <v>7757</v>
      </c>
    </row>
    <row r="704" spans="1:38" x14ac:dyDescent="0.5">
      <c r="A704">
        <v>22219</v>
      </c>
      <c r="B704" s="16" t="s">
        <v>7758</v>
      </c>
      <c r="C704" s="16" t="s">
        <v>7758</v>
      </c>
      <c r="D704" s="16"/>
      <c r="E704" s="16" t="s">
        <v>7759</v>
      </c>
      <c r="F704" s="17" t="s">
        <v>7760</v>
      </c>
      <c r="G704" s="17" t="s">
        <v>7761</v>
      </c>
      <c r="H704" s="16" t="s">
        <v>7762</v>
      </c>
      <c r="I704" s="16" t="s">
        <v>7763</v>
      </c>
      <c r="J704" s="33">
        <v>41019</v>
      </c>
      <c r="K704" s="33">
        <v>43465</v>
      </c>
      <c r="L704" s="16" t="s">
        <v>66</v>
      </c>
      <c r="M704" s="16" t="s">
        <v>67</v>
      </c>
      <c r="N704" s="16" t="s">
        <v>68</v>
      </c>
      <c r="O704" s="16" t="s">
        <v>436</v>
      </c>
      <c r="P704" s="16" t="s">
        <v>572</v>
      </c>
      <c r="Q704" s="16" t="s">
        <v>71</v>
      </c>
      <c r="R704" s="17" t="s">
        <v>7764</v>
      </c>
      <c r="S704" s="16" t="s">
        <v>1737</v>
      </c>
      <c r="T704" s="16" t="s">
        <v>74</v>
      </c>
      <c r="U704" s="16" t="s">
        <v>75</v>
      </c>
      <c r="V704" s="16" t="s">
        <v>7765</v>
      </c>
      <c r="W704" s="16"/>
      <c r="X704" s="16" t="s">
        <v>7766</v>
      </c>
      <c r="Y704" s="16" t="s">
        <v>78</v>
      </c>
      <c r="Z704" s="16" t="s">
        <v>1025</v>
      </c>
      <c r="AA704" s="16" t="s">
        <v>1026</v>
      </c>
      <c r="AB704" s="17" t="s">
        <v>7767</v>
      </c>
      <c r="AC704" s="16" t="s">
        <v>71</v>
      </c>
      <c r="AD704" s="17" t="s">
        <v>7767</v>
      </c>
      <c r="AF704" s="17" t="s">
        <v>7768</v>
      </c>
      <c r="AG704" s="16" t="s">
        <v>2747</v>
      </c>
      <c r="AH704" s="16" t="s">
        <v>3238</v>
      </c>
      <c r="AI704" s="16"/>
      <c r="AJ704" s="16"/>
      <c r="AK704" s="16"/>
      <c r="AL704" s="16" t="s">
        <v>7769</v>
      </c>
    </row>
    <row r="705" spans="1:38" x14ac:dyDescent="0.5">
      <c r="A705">
        <v>22223</v>
      </c>
      <c r="B705" s="16" t="s">
        <v>1685</v>
      </c>
      <c r="C705" s="16" t="s">
        <v>1685</v>
      </c>
      <c r="D705" s="16"/>
      <c r="E705" s="16" t="s">
        <v>7770</v>
      </c>
      <c r="F705" s="17" t="s">
        <v>7771</v>
      </c>
      <c r="H705" s="16" t="s">
        <v>1429</v>
      </c>
      <c r="I705" s="16" t="s">
        <v>7772</v>
      </c>
      <c r="J705" s="33">
        <v>42340</v>
      </c>
      <c r="K705" s="33">
        <v>43465</v>
      </c>
      <c r="L705" s="16" t="s">
        <v>66</v>
      </c>
      <c r="M705" s="16" t="s">
        <v>67</v>
      </c>
      <c r="N705" s="16" t="s">
        <v>68</v>
      </c>
      <c r="O705" s="16" t="s">
        <v>436</v>
      </c>
      <c r="P705" s="16" t="s">
        <v>572</v>
      </c>
      <c r="Q705" s="16" t="s">
        <v>71</v>
      </c>
      <c r="R705" s="17" t="s">
        <v>7773</v>
      </c>
      <c r="S705" s="16" t="s">
        <v>2403</v>
      </c>
      <c r="T705" s="16" t="s">
        <v>74</v>
      </c>
      <c r="U705" s="16" t="s">
        <v>75</v>
      </c>
      <c r="V705" s="16" t="s">
        <v>7774</v>
      </c>
      <c r="W705" s="16"/>
      <c r="X705" s="16" t="s">
        <v>7775</v>
      </c>
      <c r="Y705" s="16" t="s">
        <v>78</v>
      </c>
      <c r="Z705" s="16" t="s">
        <v>1158</v>
      </c>
      <c r="AA705" s="16" t="s">
        <v>1159</v>
      </c>
      <c r="AB705" s="17" t="s">
        <v>7776</v>
      </c>
      <c r="AC705" s="16" t="s">
        <v>71</v>
      </c>
      <c r="AD705" s="17" t="s">
        <v>7776</v>
      </c>
      <c r="AF705" s="17" t="s">
        <v>7777</v>
      </c>
      <c r="AG705" s="16" t="s">
        <v>5761</v>
      </c>
      <c r="AH705" s="16" t="s">
        <v>1488</v>
      </c>
      <c r="AI705" s="16"/>
      <c r="AJ705" s="16"/>
      <c r="AK705" s="16"/>
      <c r="AL705" s="16" t="s">
        <v>1429</v>
      </c>
    </row>
    <row r="706" spans="1:38" x14ac:dyDescent="0.5">
      <c r="A706">
        <v>22296</v>
      </c>
      <c r="B706" s="16" t="s">
        <v>7778</v>
      </c>
      <c r="C706" s="16" t="s">
        <v>7778</v>
      </c>
      <c r="D706" s="16"/>
      <c r="E706" s="16" t="s">
        <v>3169</v>
      </c>
      <c r="F706" s="17" t="s">
        <v>7779</v>
      </c>
      <c r="H706" s="16" t="s">
        <v>7780</v>
      </c>
      <c r="I706" s="16" t="s">
        <v>7781</v>
      </c>
      <c r="J706" s="33">
        <v>43161</v>
      </c>
      <c r="K706" s="33">
        <v>43526</v>
      </c>
      <c r="L706" s="16" t="s">
        <v>66</v>
      </c>
      <c r="M706" s="16" t="s">
        <v>67</v>
      </c>
      <c r="N706" s="16" t="s">
        <v>68</v>
      </c>
      <c r="O706" s="16" t="s">
        <v>1082</v>
      </c>
      <c r="P706" s="16"/>
      <c r="Q706" s="16" t="s">
        <v>71</v>
      </c>
      <c r="R706" s="17" t="s">
        <v>7782</v>
      </c>
      <c r="S706" s="16" t="s">
        <v>113</v>
      </c>
      <c r="T706" s="16" t="s">
        <v>74</v>
      </c>
      <c r="U706" s="16" t="s">
        <v>75</v>
      </c>
      <c r="V706" s="16" t="s">
        <v>7783</v>
      </c>
      <c r="W706" s="16"/>
      <c r="X706" s="16" t="s">
        <v>7784</v>
      </c>
      <c r="Y706" s="16" t="s">
        <v>78</v>
      </c>
      <c r="Z706" s="16" t="s">
        <v>117</v>
      </c>
      <c r="AA706" s="16" t="s">
        <v>113</v>
      </c>
      <c r="AB706" s="17" t="s">
        <v>7785</v>
      </c>
      <c r="AC706" s="16" t="s">
        <v>71</v>
      </c>
      <c r="AD706" s="17" t="s">
        <v>7785</v>
      </c>
      <c r="AF706" s="17" t="s">
        <v>7786</v>
      </c>
      <c r="AG706" s="16" t="s">
        <v>1913</v>
      </c>
      <c r="AH706" s="16" t="s">
        <v>4785</v>
      </c>
      <c r="AI706" s="16"/>
      <c r="AJ706" s="16"/>
      <c r="AK706" s="16"/>
      <c r="AL706" s="16" t="s">
        <v>7787</v>
      </c>
    </row>
    <row r="707" spans="1:38" x14ac:dyDescent="0.5">
      <c r="A707">
        <v>22297</v>
      </c>
      <c r="B707" s="16" t="s">
        <v>340</v>
      </c>
      <c r="C707" s="16" t="s">
        <v>340</v>
      </c>
      <c r="D707" s="16" t="s">
        <v>103</v>
      </c>
      <c r="E707" s="16" t="s">
        <v>7788</v>
      </c>
      <c r="F707" s="17" t="s">
        <v>7789</v>
      </c>
      <c r="G707" s="17" t="s">
        <v>7790</v>
      </c>
      <c r="H707" s="16" t="s">
        <v>3356</v>
      </c>
      <c r="I707" s="16" t="s">
        <v>7791</v>
      </c>
      <c r="J707" s="33">
        <v>43147</v>
      </c>
      <c r="K707" s="33">
        <v>43512</v>
      </c>
      <c r="L707" s="16" t="s">
        <v>66</v>
      </c>
      <c r="M707" s="16" t="s">
        <v>67</v>
      </c>
      <c r="N707" s="16" t="s">
        <v>68</v>
      </c>
      <c r="O707" s="16" t="s">
        <v>436</v>
      </c>
      <c r="P707" s="16"/>
      <c r="Q707" s="16" t="s">
        <v>71</v>
      </c>
      <c r="R707" s="17" t="s">
        <v>7792</v>
      </c>
      <c r="S707" s="16" t="s">
        <v>1497</v>
      </c>
      <c r="T707" s="16" t="s">
        <v>74</v>
      </c>
      <c r="U707" s="16" t="s">
        <v>75</v>
      </c>
      <c r="V707" s="16" t="s">
        <v>7793</v>
      </c>
      <c r="W707" s="16"/>
      <c r="X707" s="16" t="s">
        <v>7794</v>
      </c>
      <c r="Y707" s="16" t="s">
        <v>78</v>
      </c>
      <c r="Z707" s="16" t="s">
        <v>1025</v>
      </c>
      <c r="AA707" s="16" t="s">
        <v>1026</v>
      </c>
      <c r="AB707" s="17" t="s">
        <v>7795</v>
      </c>
      <c r="AC707" s="16" t="s">
        <v>71</v>
      </c>
      <c r="AD707" s="17" t="s">
        <v>7795</v>
      </c>
      <c r="AG707" s="16" t="s">
        <v>2953</v>
      </c>
      <c r="AH707" s="16" t="s">
        <v>1285</v>
      </c>
      <c r="AI707" s="16"/>
      <c r="AJ707" s="16"/>
      <c r="AK707" s="16"/>
      <c r="AL707" s="16" t="s">
        <v>7796</v>
      </c>
    </row>
    <row r="708" spans="1:38" x14ac:dyDescent="0.5">
      <c r="A708">
        <v>22298</v>
      </c>
      <c r="B708" s="16" t="s">
        <v>7797</v>
      </c>
      <c r="C708" s="16" t="s">
        <v>7797</v>
      </c>
      <c r="D708" s="16"/>
      <c r="E708" s="16" t="s">
        <v>7798</v>
      </c>
      <c r="F708" s="17" t="s">
        <v>7799</v>
      </c>
      <c r="H708" s="16" t="s">
        <v>7800</v>
      </c>
      <c r="I708" s="16" t="s">
        <v>7801</v>
      </c>
      <c r="J708" s="33">
        <v>43161</v>
      </c>
      <c r="K708" s="33">
        <v>43526</v>
      </c>
      <c r="L708" s="16" t="s">
        <v>66</v>
      </c>
      <c r="M708" s="16" t="s">
        <v>67</v>
      </c>
      <c r="N708" s="16" t="s">
        <v>68</v>
      </c>
      <c r="O708" s="16" t="s">
        <v>436</v>
      </c>
      <c r="P708" s="16"/>
      <c r="Q708" s="16" t="s">
        <v>71</v>
      </c>
      <c r="R708" s="17" t="s">
        <v>7802</v>
      </c>
      <c r="S708" s="16" t="s">
        <v>7753</v>
      </c>
      <c r="T708" s="16" t="s">
        <v>4588</v>
      </c>
      <c r="U708" s="16" t="s">
        <v>4589</v>
      </c>
      <c r="V708" s="16" t="s">
        <v>7803</v>
      </c>
      <c r="W708" s="16" t="s">
        <v>7804</v>
      </c>
      <c r="X708" s="16" t="s">
        <v>7805</v>
      </c>
      <c r="Y708" s="16" t="s">
        <v>744</v>
      </c>
      <c r="Z708" s="16"/>
      <c r="AA708" s="16"/>
      <c r="AB708" s="17" t="s">
        <v>7806</v>
      </c>
      <c r="AC708" s="16" t="s">
        <v>71</v>
      </c>
      <c r="AD708" s="17" t="s">
        <v>7806</v>
      </c>
      <c r="AG708" s="16" t="s">
        <v>6446</v>
      </c>
      <c r="AH708" s="16" t="s">
        <v>2632</v>
      </c>
      <c r="AI708" s="16"/>
      <c r="AJ708" s="16"/>
      <c r="AK708" s="16"/>
      <c r="AL708" s="16" t="s">
        <v>7807</v>
      </c>
    </row>
    <row r="709" spans="1:38" x14ac:dyDescent="0.5">
      <c r="A709">
        <v>22299</v>
      </c>
      <c r="B709" s="16" t="s">
        <v>7808</v>
      </c>
      <c r="C709" s="16" t="s">
        <v>7808</v>
      </c>
      <c r="D709" s="16"/>
      <c r="E709" s="16" t="s">
        <v>7809</v>
      </c>
      <c r="F709" s="17" t="s">
        <v>7810</v>
      </c>
      <c r="H709" s="16" t="s">
        <v>7811</v>
      </c>
      <c r="I709" s="16" t="s">
        <v>8653</v>
      </c>
      <c r="J709" s="33">
        <v>43138</v>
      </c>
      <c r="K709" s="33">
        <v>43503</v>
      </c>
      <c r="L709" s="16" t="s">
        <v>66</v>
      </c>
      <c r="M709" s="16" t="s">
        <v>67</v>
      </c>
      <c r="N709" s="16" t="s">
        <v>68</v>
      </c>
      <c r="O709" s="16" t="s">
        <v>436</v>
      </c>
      <c r="P709" s="16"/>
      <c r="Q709" s="16" t="s">
        <v>71</v>
      </c>
      <c r="R709" s="17" t="s">
        <v>7812</v>
      </c>
      <c r="S709" s="16" t="s">
        <v>7813</v>
      </c>
      <c r="T709" s="16" t="s">
        <v>74</v>
      </c>
      <c r="U709" s="16" t="s">
        <v>75</v>
      </c>
      <c r="V709" s="16" t="s">
        <v>7814</v>
      </c>
      <c r="W709" s="16"/>
      <c r="X709" s="16" t="s">
        <v>7815</v>
      </c>
      <c r="Y709" s="16" t="s">
        <v>78</v>
      </c>
      <c r="Z709" s="16" t="s">
        <v>242</v>
      </c>
      <c r="AA709" s="16" t="s">
        <v>243</v>
      </c>
      <c r="AB709" s="17" t="s">
        <v>7816</v>
      </c>
      <c r="AC709" s="16" t="s">
        <v>966</v>
      </c>
      <c r="AD709" s="17" t="s">
        <v>7817</v>
      </c>
      <c r="AF709" s="17" t="s">
        <v>7816</v>
      </c>
      <c r="AG709" s="16" t="s">
        <v>3302</v>
      </c>
      <c r="AH709" s="16" t="s">
        <v>7818</v>
      </c>
      <c r="AI709" s="16"/>
      <c r="AJ709" s="16"/>
      <c r="AK709" s="16"/>
      <c r="AL709" s="16" t="s">
        <v>7819</v>
      </c>
    </row>
    <row r="710" spans="1:38" x14ac:dyDescent="0.5">
      <c r="A710">
        <v>22300</v>
      </c>
      <c r="B710" s="16" t="s">
        <v>1504</v>
      </c>
      <c r="C710" s="16" t="s">
        <v>1504</v>
      </c>
      <c r="D710" s="16"/>
      <c r="E710" s="16" t="s">
        <v>2798</v>
      </c>
      <c r="F710" s="17" t="s">
        <v>7820</v>
      </c>
      <c r="H710" s="16" t="s">
        <v>456</v>
      </c>
      <c r="I710" s="16" t="s">
        <v>7821</v>
      </c>
      <c r="J710" s="33">
        <v>43181</v>
      </c>
      <c r="K710" s="33">
        <v>43546</v>
      </c>
      <c r="L710" s="16" t="s">
        <v>66</v>
      </c>
      <c r="M710" s="16" t="s">
        <v>67</v>
      </c>
      <c r="N710" s="16" t="s">
        <v>68</v>
      </c>
      <c r="O710" s="16" t="s">
        <v>436</v>
      </c>
      <c r="P710" s="16"/>
      <c r="Q710" s="16" t="s">
        <v>71</v>
      </c>
      <c r="R710" s="17" t="s">
        <v>7822</v>
      </c>
      <c r="S710" s="16" t="s">
        <v>1460</v>
      </c>
      <c r="T710" s="16" t="s">
        <v>74</v>
      </c>
      <c r="U710" s="16" t="s">
        <v>75</v>
      </c>
      <c r="V710" s="16" t="s">
        <v>7823</v>
      </c>
      <c r="W710" s="16" t="s">
        <v>7824</v>
      </c>
      <c r="X710" s="16" t="s">
        <v>7825</v>
      </c>
      <c r="Y710" s="16" t="s">
        <v>78</v>
      </c>
      <c r="Z710" s="16" t="s">
        <v>242</v>
      </c>
      <c r="AA710" s="16" t="s">
        <v>243</v>
      </c>
      <c r="AB710" s="17" t="s">
        <v>7826</v>
      </c>
      <c r="AC710" s="16" t="s">
        <v>966</v>
      </c>
      <c r="AD710" s="17" t="s">
        <v>7827</v>
      </c>
      <c r="AF710" s="17" t="s">
        <v>7826</v>
      </c>
      <c r="AG710" s="16" t="s">
        <v>3302</v>
      </c>
      <c r="AH710" s="16" t="s">
        <v>2552</v>
      </c>
      <c r="AI710" s="16"/>
      <c r="AJ710" s="16"/>
      <c r="AK710" s="16"/>
      <c r="AL710" s="16" t="s">
        <v>7828</v>
      </c>
    </row>
    <row r="711" spans="1:38" x14ac:dyDescent="0.5">
      <c r="A711">
        <v>22301</v>
      </c>
      <c r="B711" s="16" t="s">
        <v>499</v>
      </c>
      <c r="C711" s="16" t="s">
        <v>499</v>
      </c>
      <c r="D711" s="16"/>
      <c r="E711" s="16" t="s">
        <v>7829</v>
      </c>
      <c r="F711" s="17" t="s">
        <v>7830</v>
      </c>
      <c r="H711" s="16" t="s">
        <v>7831</v>
      </c>
      <c r="I711" s="16" t="s">
        <v>8654</v>
      </c>
      <c r="J711" s="33">
        <v>43138</v>
      </c>
      <c r="K711" s="33">
        <v>43503</v>
      </c>
      <c r="L711" s="16" t="s">
        <v>66</v>
      </c>
      <c r="M711" s="16" t="s">
        <v>67</v>
      </c>
      <c r="N711" s="16" t="s">
        <v>68</v>
      </c>
      <c r="O711" s="16" t="s">
        <v>436</v>
      </c>
      <c r="P711" s="16"/>
      <c r="Q711" s="16" t="s">
        <v>71</v>
      </c>
      <c r="R711" s="17" t="s">
        <v>7832</v>
      </c>
      <c r="S711" s="16" t="s">
        <v>2699</v>
      </c>
      <c r="T711" s="16" t="s">
        <v>74</v>
      </c>
      <c r="U711" s="16" t="s">
        <v>75</v>
      </c>
      <c r="V711" s="16" t="s">
        <v>7833</v>
      </c>
      <c r="W711" s="16" t="s">
        <v>7834</v>
      </c>
      <c r="X711" s="16" t="s">
        <v>7835</v>
      </c>
      <c r="Y711" s="16" t="s">
        <v>78</v>
      </c>
      <c r="Z711" s="16" t="s">
        <v>2702</v>
      </c>
      <c r="AA711" s="16" t="s">
        <v>2703</v>
      </c>
      <c r="AB711" s="17" t="s">
        <v>7836</v>
      </c>
      <c r="AC711" s="16" t="s">
        <v>71</v>
      </c>
      <c r="AD711" s="17" t="s">
        <v>7836</v>
      </c>
      <c r="AG711" s="16" t="s">
        <v>5213</v>
      </c>
      <c r="AH711" s="16" t="s">
        <v>578</v>
      </c>
      <c r="AI711" s="16"/>
      <c r="AJ711" s="16"/>
      <c r="AK711" s="16"/>
      <c r="AL711" s="16" t="s">
        <v>7837</v>
      </c>
    </row>
    <row r="712" spans="1:38" x14ac:dyDescent="0.5">
      <c r="A712">
        <v>22302</v>
      </c>
      <c r="B712" s="16" t="s">
        <v>1430</v>
      </c>
      <c r="C712" s="16" t="s">
        <v>1430</v>
      </c>
      <c r="D712" s="16"/>
      <c r="E712" s="16" t="s">
        <v>7838</v>
      </c>
      <c r="F712" s="17" t="s">
        <v>7839</v>
      </c>
      <c r="H712" s="16" t="s">
        <v>7840</v>
      </c>
      <c r="I712" s="16" t="s">
        <v>7841</v>
      </c>
      <c r="J712" s="33">
        <v>43161</v>
      </c>
      <c r="K712" s="33">
        <v>43526</v>
      </c>
      <c r="L712" s="16" t="s">
        <v>66</v>
      </c>
      <c r="M712" s="16" t="s">
        <v>67</v>
      </c>
      <c r="N712" s="16" t="s">
        <v>68</v>
      </c>
      <c r="O712" s="16" t="s">
        <v>436</v>
      </c>
      <c r="P712" s="16"/>
      <c r="Q712" s="16" t="s">
        <v>71</v>
      </c>
      <c r="R712" s="17" t="s">
        <v>7842</v>
      </c>
      <c r="S712" s="16" t="s">
        <v>7073</v>
      </c>
      <c r="T712" s="16" t="s">
        <v>74</v>
      </c>
      <c r="U712" s="16" t="s">
        <v>75</v>
      </c>
      <c r="V712" s="16" t="s">
        <v>7843</v>
      </c>
      <c r="W712" s="16"/>
      <c r="X712" s="16" t="s">
        <v>7844</v>
      </c>
      <c r="Y712" s="16" t="s">
        <v>78</v>
      </c>
      <c r="Z712" s="16" t="s">
        <v>376</v>
      </c>
      <c r="AA712" s="16" t="s">
        <v>377</v>
      </c>
      <c r="AB712" s="17" t="s">
        <v>7845</v>
      </c>
      <c r="AC712" s="16" t="s">
        <v>966</v>
      </c>
      <c r="AD712" s="17" t="s">
        <v>7846</v>
      </c>
      <c r="AF712" s="17" t="s">
        <v>7845</v>
      </c>
      <c r="AG712" s="16" t="s">
        <v>1357</v>
      </c>
      <c r="AH712" s="16" t="s">
        <v>579</v>
      </c>
      <c r="AI712" s="16"/>
      <c r="AJ712" s="16"/>
      <c r="AK712" s="16"/>
      <c r="AL712" s="16" t="s">
        <v>7847</v>
      </c>
    </row>
    <row r="713" spans="1:38" x14ac:dyDescent="0.5">
      <c r="A713">
        <v>22304</v>
      </c>
      <c r="B713" s="16" t="s">
        <v>7848</v>
      </c>
      <c r="C713" s="16" t="s">
        <v>7848</v>
      </c>
      <c r="D713" s="16"/>
      <c r="E713" s="16" t="s">
        <v>7849</v>
      </c>
      <c r="F713" s="17" t="s">
        <v>7850</v>
      </c>
      <c r="H713" s="16" t="s">
        <v>7851</v>
      </c>
      <c r="I713" s="16" t="s">
        <v>7852</v>
      </c>
      <c r="J713" s="33">
        <v>43182</v>
      </c>
      <c r="K713" s="33">
        <v>43547</v>
      </c>
      <c r="L713" s="16" t="s">
        <v>66</v>
      </c>
      <c r="M713" s="16" t="s">
        <v>67</v>
      </c>
      <c r="N713" s="16" t="s">
        <v>68</v>
      </c>
      <c r="O713" s="16" t="s">
        <v>436</v>
      </c>
      <c r="P713" s="16"/>
      <c r="Q713" s="16" t="s">
        <v>71</v>
      </c>
      <c r="R713" s="17" t="s">
        <v>7853</v>
      </c>
      <c r="S713" s="16" t="s">
        <v>222</v>
      </c>
      <c r="T713" s="16" t="s">
        <v>74</v>
      </c>
      <c r="U713" s="16" t="s">
        <v>75</v>
      </c>
      <c r="V713" s="16" t="s">
        <v>7854</v>
      </c>
      <c r="W713" s="16" t="s">
        <v>472</v>
      </c>
      <c r="X713" s="16" t="s">
        <v>7855</v>
      </c>
      <c r="Y713" s="16" t="s">
        <v>78</v>
      </c>
      <c r="Z713" s="16" t="s">
        <v>189</v>
      </c>
      <c r="AA713" s="16" t="s">
        <v>190</v>
      </c>
      <c r="AB713" s="17" t="s">
        <v>7856</v>
      </c>
      <c r="AC713" s="16" t="s">
        <v>71</v>
      </c>
      <c r="AD713" s="17" t="s">
        <v>7856</v>
      </c>
      <c r="AF713" s="17" t="s">
        <v>7857</v>
      </c>
      <c r="AG713" s="16" t="s">
        <v>3373</v>
      </c>
      <c r="AH713" s="16" t="s">
        <v>1076</v>
      </c>
      <c r="AI713" s="16"/>
      <c r="AJ713" s="16"/>
      <c r="AK713" s="16"/>
      <c r="AL713" s="16" t="s">
        <v>7858</v>
      </c>
    </row>
    <row r="714" spans="1:38" x14ac:dyDescent="0.5">
      <c r="A714">
        <v>22305</v>
      </c>
      <c r="B714" s="16" t="s">
        <v>7593</v>
      </c>
      <c r="C714" s="16" t="s">
        <v>7593</v>
      </c>
      <c r="D714" s="16"/>
      <c r="E714" s="16" t="s">
        <v>7859</v>
      </c>
      <c r="F714" s="17" t="s">
        <v>7860</v>
      </c>
      <c r="H714" s="16" t="s">
        <v>7861</v>
      </c>
      <c r="I714" s="16" t="s">
        <v>7862</v>
      </c>
      <c r="J714" s="33">
        <v>43138</v>
      </c>
      <c r="K714" s="33">
        <v>43503</v>
      </c>
      <c r="L714" s="16" t="s">
        <v>66</v>
      </c>
      <c r="M714" s="16" t="s">
        <v>67</v>
      </c>
      <c r="N714" s="16" t="s">
        <v>68</v>
      </c>
      <c r="O714" s="16" t="s">
        <v>436</v>
      </c>
      <c r="P714" s="16"/>
      <c r="Q714" s="16" t="s">
        <v>71</v>
      </c>
      <c r="R714" s="17" t="s">
        <v>7863</v>
      </c>
      <c r="S714" s="16" t="s">
        <v>4896</v>
      </c>
      <c r="T714" s="16" t="s">
        <v>74</v>
      </c>
      <c r="U714" s="16" t="s">
        <v>75</v>
      </c>
      <c r="V714" s="16" t="s">
        <v>7864</v>
      </c>
      <c r="W714" s="16"/>
      <c r="X714" s="16" t="s">
        <v>7865</v>
      </c>
      <c r="Y714" s="16" t="s">
        <v>78</v>
      </c>
      <c r="Z714" s="16" t="s">
        <v>1622</v>
      </c>
      <c r="AA714" s="16" t="s">
        <v>662</v>
      </c>
      <c r="AB714" s="17" t="s">
        <v>7866</v>
      </c>
      <c r="AC714" s="16" t="s">
        <v>71</v>
      </c>
      <c r="AD714" s="17" t="s">
        <v>7866</v>
      </c>
      <c r="AF714" s="17" t="s">
        <v>7867</v>
      </c>
      <c r="AG714" s="16" t="s">
        <v>7868</v>
      </c>
      <c r="AH714" s="16" t="s">
        <v>3540</v>
      </c>
      <c r="AI714" s="16"/>
      <c r="AJ714" s="16"/>
      <c r="AK714" s="16"/>
      <c r="AL714" s="16" t="s">
        <v>7869</v>
      </c>
    </row>
    <row r="715" spans="1:38" x14ac:dyDescent="0.5">
      <c r="A715">
        <v>22306</v>
      </c>
      <c r="B715" s="16" t="s">
        <v>2459</v>
      </c>
      <c r="C715" s="16" t="s">
        <v>2459</v>
      </c>
      <c r="D715" s="16"/>
      <c r="E715" s="16" t="s">
        <v>7870</v>
      </c>
      <c r="F715" s="17" t="s">
        <v>7871</v>
      </c>
      <c r="H715" s="16" t="s">
        <v>7872</v>
      </c>
      <c r="I715" s="16" t="s">
        <v>7873</v>
      </c>
      <c r="J715" s="33">
        <v>43179</v>
      </c>
      <c r="K715" s="33">
        <v>43544</v>
      </c>
      <c r="L715" s="16" t="s">
        <v>66</v>
      </c>
      <c r="M715" s="16" t="s">
        <v>67</v>
      </c>
      <c r="N715" s="16" t="s">
        <v>68</v>
      </c>
      <c r="O715" s="16" t="s">
        <v>436</v>
      </c>
      <c r="P715" s="16"/>
      <c r="Q715" s="16" t="s">
        <v>71</v>
      </c>
      <c r="R715" s="17" t="s">
        <v>7874</v>
      </c>
      <c r="S715" s="16" t="s">
        <v>113</v>
      </c>
      <c r="T715" s="16" t="s">
        <v>74</v>
      </c>
      <c r="U715" s="16" t="s">
        <v>75</v>
      </c>
      <c r="V715" s="16" t="s">
        <v>7875</v>
      </c>
      <c r="W715" s="16"/>
      <c r="X715" s="16" t="s">
        <v>7876</v>
      </c>
      <c r="Y715" s="16" t="s">
        <v>78</v>
      </c>
      <c r="Z715" s="16" t="s">
        <v>117</v>
      </c>
      <c r="AA715" s="16" t="s">
        <v>113</v>
      </c>
      <c r="AB715" s="17" t="s">
        <v>7877</v>
      </c>
      <c r="AC715" s="16" t="s">
        <v>966</v>
      </c>
      <c r="AF715" s="17" t="s">
        <v>7877</v>
      </c>
      <c r="AG715" s="16" t="s">
        <v>3301</v>
      </c>
      <c r="AH715" s="16" t="s">
        <v>4062</v>
      </c>
      <c r="AI715" s="16"/>
      <c r="AJ715" s="16"/>
      <c r="AK715" s="16"/>
      <c r="AL715" s="16" t="s">
        <v>7878</v>
      </c>
    </row>
    <row r="716" spans="1:38" x14ac:dyDescent="0.5">
      <c r="A716">
        <v>22307</v>
      </c>
      <c r="B716" s="16" t="s">
        <v>7879</v>
      </c>
      <c r="C716" s="16" t="s">
        <v>7879</v>
      </c>
      <c r="D716" s="16"/>
      <c r="E716" s="16" t="s">
        <v>7880</v>
      </c>
      <c r="F716" s="17" t="s">
        <v>7881</v>
      </c>
      <c r="G716" s="17" t="s">
        <v>7882</v>
      </c>
      <c r="H716" s="16" t="s">
        <v>7883</v>
      </c>
      <c r="I716" s="16" t="s">
        <v>7884</v>
      </c>
      <c r="J716" s="33">
        <v>43138</v>
      </c>
      <c r="K716" s="33">
        <v>43503</v>
      </c>
      <c r="L716" s="16" t="s">
        <v>66</v>
      </c>
      <c r="M716" s="16" t="s">
        <v>67</v>
      </c>
      <c r="N716" s="16" t="s">
        <v>68</v>
      </c>
      <c r="O716" s="16" t="s">
        <v>436</v>
      </c>
      <c r="P716" s="16" t="s">
        <v>4047</v>
      </c>
      <c r="Q716" s="16" t="s">
        <v>71</v>
      </c>
      <c r="R716" s="17" t="s">
        <v>7885</v>
      </c>
      <c r="S716" s="16" t="s">
        <v>7886</v>
      </c>
      <c r="T716" s="16" t="s">
        <v>4146</v>
      </c>
      <c r="U716" s="16" t="s">
        <v>4147</v>
      </c>
      <c r="V716" s="16" t="s">
        <v>7887</v>
      </c>
      <c r="W716" s="16" t="s">
        <v>7888</v>
      </c>
      <c r="X716" s="16" t="s">
        <v>7888</v>
      </c>
      <c r="Y716" s="16" t="s">
        <v>4151</v>
      </c>
      <c r="Z716" s="16"/>
      <c r="AA716" s="16"/>
      <c r="AB716" s="17" t="s">
        <v>7889</v>
      </c>
      <c r="AC716" s="16" t="s">
        <v>966</v>
      </c>
      <c r="AF716" s="17" t="s">
        <v>7889</v>
      </c>
      <c r="AG716" s="16" t="s">
        <v>7320</v>
      </c>
      <c r="AH716" s="16" t="s">
        <v>1345</v>
      </c>
      <c r="AI716" s="16"/>
      <c r="AJ716" s="16"/>
      <c r="AK716" s="16"/>
      <c r="AL716" s="16" t="s">
        <v>7890</v>
      </c>
    </row>
    <row r="717" spans="1:38" x14ac:dyDescent="0.5">
      <c r="A717">
        <v>22308</v>
      </c>
      <c r="B717" s="16" t="s">
        <v>2146</v>
      </c>
      <c r="C717" s="16" t="s">
        <v>2146</v>
      </c>
      <c r="D717" s="16"/>
      <c r="E717" s="16" t="s">
        <v>7891</v>
      </c>
      <c r="F717" s="17" t="s">
        <v>7892</v>
      </c>
      <c r="H717" s="16" t="s">
        <v>7893</v>
      </c>
      <c r="I717" s="16" t="s">
        <v>7894</v>
      </c>
      <c r="J717" s="33">
        <v>43138</v>
      </c>
      <c r="K717" s="33">
        <v>43503</v>
      </c>
      <c r="L717" s="16" t="s">
        <v>66</v>
      </c>
      <c r="M717" s="16" t="s">
        <v>167</v>
      </c>
      <c r="N717" s="16" t="s">
        <v>110</v>
      </c>
      <c r="O717" s="16" t="s">
        <v>280</v>
      </c>
      <c r="P717" s="16"/>
      <c r="Q717" s="16" t="s">
        <v>71</v>
      </c>
      <c r="R717" s="17" t="s">
        <v>7895</v>
      </c>
      <c r="S717" s="16" t="s">
        <v>662</v>
      </c>
      <c r="T717" s="16" t="s">
        <v>74</v>
      </c>
      <c r="U717" s="16" t="s">
        <v>75</v>
      </c>
      <c r="V717" s="16" t="s">
        <v>7896</v>
      </c>
      <c r="W717" s="16"/>
      <c r="X717" s="16" t="s">
        <v>7897</v>
      </c>
      <c r="Y717" s="16" t="s">
        <v>78</v>
      </c>
      <c r="Z717" s="16" t="s">
        <v>666</v>
      </c>
      <c r="AA717" s="16" t="s">
        <v>667</v>
      </c>
      <c r="AB717" s="17" t="s">
        <v>7898</v>
      </c>
      <c r="AC717" s="16" t="s">
        <v>71</v>
      </c>
      <c r="AD717" s="17" t="s">
        <v>7898</v>
      </c>
      <c r="AF717" s="17" t="s">
        <v>7899</v>
      </c>
      <c r="AG717" s="16" t="s">
        <v>7405</v>
      </c>
      <c r="AH717" s="16" t="s">
        <v>7900</v>
      </c>
      <c r="AI717" s="16"/>
      <c r="AJ717" s="16"/>
      <c r="AK717" s="16"/>
      <c r="AL717" s="16" t="s">
        <v>7901</v>
      </c>
    </row>
    <row r="718" spans="1:38" x14ac:dyDescent="0.5">
      <c r="A718">
        <v>22309</v>
      </c>
      <c r="B718" s="16" t="s">
        <v>747</v>
      </c>
      <c r="C718" s="16" t="s">
        <v>747</v>
      </c>
      <c r="D718" s="16"/>
      <c r="E718" s="16" t="s">
        <v>3169</v>
      </c>
      <c r="F718" s="17" t="s">
        <v>7902</v>
      </c>
      <c r="H718" s="16" t="s">
        <v>7903</v>
      </c>
      <c r="I718" s="16" t="s">
        <v>7904</v>
      </c>
      <c r="J718" s="33">
        <v>43138</v>
      </c>
      <c r="K718" s="33">
        <v>43503</v>
      </c>
      <c r="L718" s="16" t="s">
        <v>66</v>
      </c>
      <c r="M718" s="16" t="s">
        <v>235</v>
      </c>
      <c r="N718" s="16" t="s">
        <v>236</v>
      </c>
      <c r="O718" s="16" t="s">
        <v>237</v>
      </c>
      <c r="P718" s="16"/>
      <c r="Q718" s="16" t="s">
        <v>71</v>
      </c>
      <c r="R718" s="17" t="s">
        <v>7905</v>
      </c>
      <c r="S718" s="16" t="s">
        <v>7906</v>
      </c>
      <c r="T718" s="16" t="s">
        <v>74</v>
      </c>
      <c r="U718" s="16" t="s">
        <v>75</v>
      </c>
      <c r="V718" s="16" t="s">
        <v>7907</v>
      </c>
      <c r="W718" s="16"/>
      <c r="X718" s="16" t="s">
        <v>7908</v>
      </c>
      <c r="Y718" s="16" t="s">
        <v>78</v>
      </c>
      <c r="Z718" s="16" t="s">
        <v>392</v>
      </c>
      <c r="AA718" s="16" t="s">
        <v>393</v>
      </c>
      <c r="AB718" s="17" t="s">
        <v>7909</v>
      </c>
      <c r="AC718" s="16" t="s">
        <v>71</v>
      </c>
      <c r="AD718" s="17" t="s">
        <v>7909</v>
      </c>
      <c r="AF718" s="17" t="s">
        <v>7910</v>
      </c>
      <c r="AG718" s="16" t="s">
        <v>1731</v>
      </c>
      <c r="AH718" s="16" t="s">
        <v>7911</v>
      </c>
      <c r="AI718" s="16"/>
      <c r="AJ718" s="16"/>
      <c r="AK718" s="16"/>
      <c r="AL718" s="16" t="s">
        <v>7912</v>
      </c>
    </row>
    <row r="719" spans="1:38" x14ac:dyDescent="0.5">
      <c r="A719">
        <v>22310</v>
      </c>
      <c r="B719" s="16" t="s">
        <v>7913</v>
      </c>
      <c r="C719" s="16" t="s">
        <v>7913</v>
      </c>
      <c r="D719" s="16" t="s">
        <v>7914</v>
      </c>
      <c r="E719" s="16" t="s">
        <v>7915</v>
      </c>
      <c r="F719" s="17" t="s">
        <v>7916</v>
      </c>
      <c r="H719" s="16" t="s">
        <v>7917</v>
      </c>
      <c r="I719" s="16" t="s">
        <v>7918</v>
      </c>
      <c r="J719" s="33">
        <v>43138</v>
      </c>
      <c r="K719" s="33">
        <v>43503</v>
      </c>
      <c r="L719" s="16" t="s">
        <v>66</v>
      </c>
      <c r="M719" s="16" t="s">
        <v>235</v>
      </c>
      <c r="N719" s="16" t="s">
        <v>236</v>
      </c>
      <c r="O719" s="16" t="s">
        <v>237</v>
      </c>
      <c r="P719" s="16"/>
      <c r="Q719" s="16" t="s">
        <v>71</v>
      </c>
      <c r="R719" s="17" t="s">
        <v>7919</v>
      </c>
      <c r="S719" s="16" t="s">
        <v>7920</v>
      </c>
      <c r="T719" s="16" t="s">
        <v>4588</v>
      </c>
      <c r="U719" s="16" t="s">
        <v>4589</v>
      </c>
      <c r="V719" s="16" t="s">
        <v>7921</v>
      </c>
      <c r="W719" s="16" t="s">
        <v>7922</v>
      </c>
      <c r="X719" s="16" t="s">
        <v>7923</v>
      </c>
      <c r="Y719" s="16" t="s">
        <v>744</v>
      </c>
      <c r="Z719" s="16"/>
      <c r="AA719" s="16"/>
      <c r="AB719" s="17" t="s">
        <v>7924</v>
      </c>
      <c r="AC719" s="16" t="s">
        <v>71</v>
      </c>
      <c r="AD719" s="17" t="s">
        <v>7924</v>
      </c>
      <c r="AG719" s="16" t="s">
        <v>6446</v>
      </c>
      <c r="AH719" s="16" t="s">
        <v>1259</v>
      </c>
      <c r="AI719" s="16"/>
      <c r="AJ719" s="16"/>
      <c r="AK719" s="16"/>
      <c r="AL719" s="16" t="s">
        <v>7925</v>
      </c>
    </row>
    <row r="720" spans="1:38" x14ac:dyDescent="0.5">
      <c r="A720">
        <v>22322</v>
      </c>
      <c r="B720" s="16" t="s">
        <v>7926</v>
      </c>
      <c r="C720" s="16" t="s">
        <v>7926</v>
      </c>
      <c r="D720" s="16"/>
      <c r="E720" s="16" t="s">
        <v>7927</v>
      </c>
      <c r="F720" s="17" t="s">
        <v>7928</v>
      </c>
      <c r="H720" s="16" t="s">
        <v>7929</v>
      </c>
      <c r="I720" s="16" t="s">
        <v>7930</v>
      </c>
      <c r="J720" s="33">
        <v>43347</v>
      </c>
      <c r="K720" s="33">
        <v>43712</v>
      </c>
      <c r="L720" s="16" t="s">
        <v>66</v>
      </c>
      <c r="M720" s="16" t="s">
        <v>235</v>
      </c>
      <c r="N720" s="16" t="s">
        <v>236</v>
      </c>
      <c r="O720" s="16" t="s">
        <v>237</v>
      </c>
      <c r="P720" s="16" t="s">
        <v>572</v>
      </c>
      <c r="Q720" s="16" t="s">
        <v>71</v>
      </c>
      <c r="R720" s="17" t="s">
        <v>7931</v>
      </c>
      <c r="S720" s="16" t="s">
        <v>7932</v>
      </c>
      <c r="T720" s="16" t="s">
        <v>1411</v>
      </c>
      <c r="U720" s="16" t="s">
        <v>1412</v>
      </c>
      <c r="V720" s="16" t="s">
        <v>7933</v>
      </c>
      <c r="W720" s="16"/>
      <c r="X720" s="16" t="s">
        <v>7934</v>
      </c>
      <c r="Y720" s="16" t="s">
        <v>744</v>
      </c>
      <c r="Z720" s="16"/>
      <c r="AA720" s="16"/>
      <c r="AB720" s="17" t="s">
        <v>7935</v>
      </c>
      <c r="AC720" s="16" t="s">
        <v>71</v>
      </c>
      <c r="AD720" s="17" t="s">
        <v>7935</v>
      </c>
      <c r="AE720" s="17" t="s">
        <v>7936</v>
      </c>
      <c r="AG720" s="16" t="s">
        <v>5780</v>
      </c>
      <c r="AH720" s="16" t="s">
        <v>1731</v>
      </c>
      <c r="AI720" s="16"/>
      <c r="AJ720" s="16"/>
      <c r="AK720" s="16"/>
      <c r="AL720" s="16" t="s">
        <v>7937</v>
      </c>
    </row>
    <row r="721" spans="1:38" x14ac:dyDescent="0.5">
      <c r="A721">
        <v>22327</v>
      </c>
      <c r="B721" s="16" t="s">
        <v>7938</v>
      </c>
      <c r="C721" s="16" t="s">
        <v>7939</v>
      </c>
      <c r="D721" s="16"/>
      <c r="E721" s="16" t="s">
        <v>7940</v>
      </c>
      <c r="F721" s="17" t="s">
        <v>7941</v>
      </c>
      <c r="H721" s="16" t="s">
        <v>7942</v>
      </c>
      <c r="I721" s="16" t="s">
        <v>8655</v>
      </c>
      <c r="J721" s="33">
        <v>43203</v>
      </c>
      <c r="K721" s="33">
        <v>43568</v>
      </c>
      <c r="L721" s="16" t="s">
        <v>66</v>
      </c>
      <c r="M721" s="16" t="s">
        <v>67</v>
      </c>
      <c r="N721" s="16" t="s">
        <v>68</v>
      </c>
      <c r="O721" s="16" t="s">
        <v>436</v>
      </c>
      <c r="P721" s="16"/>
      <c r="Q721" s="16" t="s">
        <v>71</v>
      </c>
      <c r="R721" s="17" t="s">
        <v>7943</v>
      </c>
      <c r="S721" s="16" t="s">
        <v>7944</v>
      </c>
      <c r="T721" s="16" t="s">
        <v>74</v>
      </c>
      <c r="U721" s="16" t="s">
        <v>75</v>
      </c>
      <c r="V721" s="16" t="s">
        <v>7945</v>
      </c>
      <c r="W721" s="16"/>
      <c r="X721" s="16" t="s">
        <v>7946</v>
      </c>
      <c r="Y721" s="16" t="s">
        <v>78</v>
      </c>
      <c r="Z721" s="16" t="s">
        <v>1411</v>
      </c>
      <c r="AA721" s="16" t="s">
        <v>5955</v>
      </c>
      <c r="AB721" s="17" t="s">
        <v>7947</v>
      </c>
      <c r="AC721" s="16" t="s">
        <v>71</v>
      </c>
      <c r="AD721" s="17" t="s">
        <v>7947</v>
      </c>
      <c r="AG721" s="16" t="s">
        <v>1259</v>
      </c>
      <c r="AH721" s="16" t="s">
        <v>1285</v>
      </c>
      <c r="AI721" s="16" t="s">
        <v>2953</v>
      </c>
      <c r="AJ721" s="16"/>
      <c r="AK721" s="16"/>
      <c r="AL721" s="16"/>
    </row>
    <row r="722" spans="1:38" x14ac:dyDescent="0.5">
      <c r="A722">
        <v>22339</v>
      </c>
      <c r="B722" s="16" t="s">
        <v>733</v>
      </c>
      <c r="C722" s="16" t="s">
        <v>7948</v>
      </c>
      <c r="D722" s="16"/>
      <c r="E722" s="16" t="s">
        <v>7949</v>
      </c>
      <c r="F722" s="17" t="s">
        <v>7950</v>
      </c>
      <c r="H722" s="16" t="s">
        <v>7951</v>
      </c>
      <c r="I722" s="16" t="s">
        <v>7952</v>
      </c>
      <c r="J722" s="33">
        <v>43203</v>
      </c>
      <c r="K722" s="33">
        <v>43568</v>
      </c>
      <c r="L722" s="16" t="s">
        <v>66</v>
      </c>
      <c r="M722" s="16" t="s">
        <v>90</v>
      </c>
      <c r="N722" s="16" t="s">
        <v>91</v>
      </c>
      <c r="O722" s="16" t="s">
        <v>91</v>
      </c>
      <c r="P722" s="16"/>
      <c r="Q722" s="16" t="s">
        <v>71</v>
      </c>
      <c r="R722" s="17" t="s">
        <v>7953</v>
      </c>
      <c r="S722" s="16" t="s">
        <v>7954</v>
      </c>
      <c r="T722" s="16" t="s">
        <v>74</v>
      </c>
      <c r="U722" s="16" t="s">
        <v>75</v>
      </c>
      <c r="V722" s="16" t="s">
        <v>7955</v>
      </c>
      <c r="W722" s="16" t="s">
        <v>7956</v>
      </c>
      <c r="X722" s="16" t="s">
        <v>7957</v>
      </c>
      <c r="Y722" s="16" t="s">
        <v>78</v>
      </c>
      <c r="Z722" s="16" t="s">
        <v>1158</v>
      </c>
      <c r="AA722" s="16" t="s">
        <v>1159</v>
      </c>
      <c r="AB722" s="17" t="s">
        <v>7958</v>
      </c>
      <c r="AC722" s="16" t="s">
        <v>71</v>
      </c>
      <c r="AD722" s="17" t="s">
        <v>7958</v>
      </c>
      <c r="AG722" s="16" t="s">
        <v>4063</v>
      </c>
      <c r="AH722" s="16" t="s">
        <v>1637</v>
      </c>
      <c r="AI722" s="16" t="s">
        <v>1030</v>
      </c>
      <c r="AJ722" s="16"/>
      <c r="AK722" s="16"/>
      <c r="AL722" s="16"/>
    </row>
    <row r="723" spans="1:38" x14ac:dyDescent="0.5">
      <c r="A723">
        <v>22344</v>
      </c>
      <c r="B723" s="16" t="s">
        <v>2146</v>
      </c>
      <c r="C723" s="16" t="s">
        <v>2146</v>
      </c>
      <c r="D723" s="16"/>
      <c r="E723" s="16" t="s">
        <v>7959</v>
      </c>
      <c r="F723" s="17" t="s">
        <v>7960</v>
      </c>
      <c r="H723" s="16"/>
      <c r="I723" s="16" t="s">
        <v>7961</v>
      </c>
      <c r="J723" s="33">
        <v>43264</v>
      </c>
      <c r="K723" s="33">
        <v>43629</v>
      </c>
      <c r="L723" s="16" t="s">
        <v>66</v>
      </c>
      <c r="M723" s="16" t="s">
        <v>67</v>
      </c>
      <c r="N723" s="16" t="s">
        <v>68</v>
      </c>
      <c r="O723" s="16" t="s">
        <v>436</v>
      </c>
      <c r="P723" s="16" t="s">
        <v>572</v>
      </c>
      <c r="Q723" s="16" t="s">
        <v>71</v>
      </c>
      <c r="R723" s="17" t="s">
        <v>7962</v>
      </c>
      <c r="S723" s="16" t="s">
        <v>113</v>
      </c>
      <c r="T723" s="16" t="s">
        <v>74</v>
      </c>
      <c r="U723" s="16" t="s">
        <v>75</v>
      </c>
      <c r="V723" s="16" t="s">
        <v>7963</v>
      </c>
      <c r="W723" s="16"/>
      <c r="X723" s="16" t="s">
        <v>7964</v>
      </c>
      <c r="Y723" s="16" t="s">
        <v>78</v>
      </c>
      <c r="Z723" s="16" t="s">
        <v>117</v>
      </c>
      <c r="AA723" s="16" t="s">
        <v>113</v>
      </c>
      <c r="AB723" s="17" t="s">
        <v>7965</v>
      </c>
      <c r="AC723" s="16" t="s">
        <v>71</v>
      </c>
      <c r="AD723" s="17" t="s">
        <v>7965</v>
      </c>
      <c r="AF723" s="17" t="s">
        <v>7966</v>
      </c>
      <c r="AG723" s="16" t="s">
        <v>2616</v>
      </c>
      <c r="AH723" s="16" t="s">
        <v>7967</v>
      </c>
      <c r="AI723" s="16" t="s">
        <v>7968</v>
      </c>
      <c r="AJ723" s="16"/>
      <c r="AK723" s="16"/>
      <c r="AL723" s="16"/>
    </row>
    <row r="724" spans="1:38" x14ac:dyDescent="0.5">
      <c r="A724">
        <v>22347</v>
      </c>
      <c r="B724" s="16" t="s">
        <v>7969</v>
      </c>
      <c r="C724" s="16" t="s">
        <v>7969</v>
      </c>
      <c r="D724" s="16"/>
      <c r="E724" s="16" t="s">
        <v>7970</v>
      </c>
      <c r="F724" s="17" t="s">
        <v>7971</v>
      </c>
      <c r="H724" s="16" t="s">
        <v>2257</v>
      </c>
      <c r="I724" s="16" t="s">
        <v>7972</v>
      </c>
      <c r="J724" s="33">
        <v>43202</v>
      </c>
      <c r="K724" s="33">
        <v>43567</v>
      </c>
      <c r="L724" s="16" t="s">
        <v>66</v>
      </c>
      <c r="M724" s="16" t="s">
        <v>67</v>
      </c>
      <c r="N724" s="16" t="s">
        <v>68</v>
      </c>
      <c r="O724" s="16" t="s">
        <v>436</v>
      </c>
      <c r="P724" s="16"/>
      <c r="Q724" s="16" t="s">
        <v>71</v>
      </c>
      <c r="R724" s="17" t="s">
        <v>7973</v>
      </c>
      <c r="S724" s="16" t="s">
        <v>359</v>
      </c>
      <c r="T724" s="16" t="s">
        <v>74</v>
      </c>
      <c r="U724" s="16" t="s">
        <v>75</v>
      </c>
      <c r="V724" s="16" t="s">
        <v>7974</v>
      </c>
      <c r="W724" s="16"/>
      <c r="X724" s="16" t="s">
        <v>7975</v>
      </c>
      <c r="Y724" s="16" t="s">
        <v>78</v>
      </c>
      <c r="Z724" s="16" t="s">
        <v>242</v>
      </c>
      <c r="AA724" s="16" t="s">
        <v>243</v>
      </c>
      <c r="AB724" s="17" t="s">
        <v>7976</v>
      </c>
      <c r="AC724" s="16" t="s">
        <v>71</v>
      </c>
      <c r="AD724" s="17" t="s">
        <v>7976</v>
      </c>
      <c r="AG724" s="16" t="s">
        <v>2108</v>
      </c>
      <c r="AH724" s="16" t="s">
        <v>3541</v>
      </c>
      <c r="AI724" s="16"/>
      <c r="AJ724" s="16"/>
      <c r="AK724" s="16"/>
      <c r="AL724" s="16"/>
    </row>
    <row r="725" spans="1:38" x14ac:dyDescent="0.5">
      <c r="A725">
        <v>22353</v>
      </c>
      <c r="B725" s="16" t="s">
        <v>7977</v>
      </c>
      <c r="C725" s="16" t="s">
        <v>7977</v>
      </c>
      <c r="D725" s="16" t="s">
        <v>103</v>
      </c>
      <c r="E725" s="16" t="s">
        <v>7978</v>
      </c>
      <c r="F725" s="17" t="s">
        <v>7979</v>
      </c>
      <c r="G725" s="17" t="s">
        <v>7980</v>
      </c>
      <c r="H725" s="16" t="s">
        <v>7981</v>
      </c>
      <c r="I725" s="16" t="s">
        <v>7982</v>
      </c>
      <c r="J725" s="33">
        <v>43241</v>
      </c>
      <c r="K725" s="33">
        <v>43606</v>
      </c>
      <c r="L725" s="16" t="s">
        <v>66</v>
      </c>
      <c r="M725" s="16" t="s">
        <v>235</v>
      </c>
      <c r="N725" s="16" t="s">
        <v>236</v>
      </c>
      <c r="O725" s="16" t="s">
        <v>237</v>
      </c>
      <c r="P725" s="16"/>
      <c r="Q725" s="16" t="s">
        <v>71</v>
      </c>
      <c r="R725" s="17" t="s">
        <v>7983</v>
      </c>
      <c r="S725" s="16" t="s">
        <v>7984</v>
      </c>
      <c r="T725" s="16" t="s">
        <v>74</v>
      </c>
      <c r="U725" s="16" t="s">
        <v>75</v>
      </c>
      <c r="V725" s="16" t="s">
        <v>7985</v>
      </c>
      <c r="W725" s="16"/>
      <c r="X725" s="16" t="s">
        <v>7986</v>
      </c>
      <c r="Y725" s="16" t="s">
        <v>78</v>
      </c>
      <c r="Z725" s="16" t="s">
        <v>392</v>
      </c>
      <c r="AA725" s="16" t="s">
        <v>393</v>
      </c>
      <c r="AB725" s="17" t="s">
        <v>7987</v>
      </c>
      <c r="AC725" s="16" t="s">
        <v>71</v>
      </c>
      <c r="AD725" s="17" t="s">
        <v>7987</v>
      </c>
      <c r="AG725" s="16" t="s">
        <v>579</v>
      </c>
      <c r="AH725" s="16" t="s">
        <v>5369</v>
      </c>
      <c r="AI725" s="16"/>
      <c r="AJ725" s="16"/>
      <c r="AK725" s="16"/>
      <c r="AL725" s="16"/>
    </row>
    <row r="726" spans="1:38" x14ac:dyDescent="0.5">
      <c r="A726">
        <v>22354</v>
      </c>
      <c r="B726" s="16" t="s">
        <v>7988</v>
      </c>
      <c r="C726" s="16" t="s">
        <v>7988</v>
      </c>
      <c r="D726" s="16"/>
      <c r="E726" s="16" t="s">
        <v>7989</v>
      </c>
      <c r="F726" s="17" t="s">
        <v>7990</v>
      </c>
      <c r="H726" s="16" t="s">
        <v>7991</v>
      </c>
      <c r="I726" s="16" t="s">
        <v>7992</v>
      </c>
      <c r="J726" s="33">
        <v>43241</v>
      </c>
      <c r="K726" s="33">
        <v>43606</v>
      </c>
      <c r="L726" s="16" t="s">
        <v>66</v>
      </c>
      <c r="M726" s="16" t="s">
        <v>67</v>
      </c>
      <c r="N726" s="16" t="s">
        <v>68</v>
      </c>
      <c r="O726" s="16" t="s">
        <v>436</v>
      </c>
      <c r="P726" s="16"/>
      <c r="Q726" s="16" t="s">
        <v>71</v>
      </c>
      <c r="R726" s="17" t="s">
        <v>7993</v>
      </c>
      <c r="S726" s="16" t="s">
        <v>7994</v>
      </c>
      <c r="T726" s="16" t="s">
        <v>1411</v>
      </c>
      <c r="U726" s="16" t="s">
        <v>1412</v>
      </c>
      <c r="V726" s="16" t="s">
        <v>7995</v>
      </c>
      <c r="W726" s="16"/>
      <c r="X726" s="16" t="s">
        <v>7996</v>
      </c>
      <c r="Y726" s="16" t="s">
        <v>744</v>
      </c>
      <c r="Z726" s="16"/>
      <c r="AA726" s="16"/>
      <c r="AB726" s="17" t="s">
        <v>7997</v>
      </c>
      <c r="AC726" s="16" t="s">
        <v>71</v>
      </c>
      <c r="AD726" s="17" t="s">
        <v>7997</v>
      </c>
      <c r="AG726" s="16" t="s">
        <v>5780</v>
      </c>
      <c r="AH726" s="16" t="s">
        <v>579</v>
      </c>
      <c r="AI726" s="16"/>
      <c r="AJ726" s="16"/>
      <c r="AK726" s="16"/>
      <c r="AL726" s="16"/>
    </row>
    <row r="727" spans="1:38" x14ac:dyDescent="0.5">
      <c r="A727">
        <v>22356</v>
      </c>
      <c r="B727" s="16" t="s">
        <v>7253</v>
      </c>
      <c r="C727" s="16" t="s">
        <v>7253</v>
      </c>
      <c r="D727" s="16"/>
      <c r="E727" s="16" t="s">
        <v>7998</v>
      </c>
      <c r="F727" s="17" t="s">
        <v>7999</v>
      </c>
      <c r="G727" s="17" t="s">
        <v>8000</v>
      </c>
      <c r="H727" s="16" t="s">
        <v>2328</v>
      </c>
      <c r="I727" s="16" t="s">
        <v>8001</v>
      </c>
      <c r="J727" s="33">
        <v>43284</v>
      </c>
      <c r="K727" s="33">
        <v>43649</v>
      </c>
      <c r="L727" s="16" t="s">
        <v>66</v>
      </c>
      <c r="M727" s="16" t="s">
        <v>67</v>
      </c>
      <c r="N727" s="16" t="s">
        <v>68</v>
      </c>
      <c r="O727" s="16" t="s">
        <v>436</v>
      </c>
      <c r="P727" s="16"/>
      <c r="Q727" s="16" t="s">
        <v>71</v>
      </c>
      <c r="R727" s="17" t="s">
        <v>8002</v>
      </c>
      <c r="S727" s="16" t="s">
        <v>359</v>
      </c>
      <c r="T727" s="16" t="s">
        <v>74</v>
      </c>
      <c r="U727" s="16" t="s">
        <v>75</v>
      </c>
      <c r="V727" s="16" t="s">
        <v>8003</v>
      </c>
      <c r="W727" s="16"/>
      <c r="X727" s="16" t="s">
        <v>8004</v>
      </c>
      <c r="Y727" s="16" t="s">
        <v>78</v>
      </c>
      <c r="Z727" s="16" t="s">
        <v>242</v>
      </c>
      <c r="AA727" s="16" t="s">
        <v>243</v>
      </c>
      <c r="AB727" s="17" t="s">
        <v>8005</v>
      </c>
      <c r="AC727" s="16" t="s">
        <v>71</v>
      </c>
      <c r="AD727" s="17" t="s">
        <v>8005</v>
      </c>
      <c r="AG727" s="16" t="s">
        <v>1913</v>
      </c>
      <c r="AH727" s="16" t="s">
        <v>2289</v>
      </c>
      <c r="AI727" s="16"/>
      <c r="AJ727" s="16"/>
      <c r="AK727" s="16"/>
      <c r="AL727" s="16"/>
    </row>
    <row r="728" spans="1:38" x14ac:dyDescent="0.5">
      <c r="A728">
        <v>22357</v>
      </c>
      <c r="B728" s="16" t="s">
        <v>8006</v>
      </c>
      <c r="C728" s="16" t="s">
        <v>8006</v>
      </c>
      <c r="D728" s="16"/>
      <c r="E728" s="16" t="s">
        <v>8007</v>
      </c>
      <c r="F728" s="17" t="s">
        <v>8008</v>
      </c>
      <c r="G728" s="17" t="s">
        <v>8009</v>
      </c>
      <c r="H728" s="16" t="s">
        <v>8010</v>
      </c>
      <c r="I728" s="16" t="s">
        <v>8011</v>
      </c>
      <c r="J728" s="33">
        <v>43220</v>
      </c>
      <c r="K728" s="33">
        <v>43585</v>
      </c>
      <c r="L728" s="16" t="s">
        <v>66</v>
      </c>
      <c r="M728" s="16" t="s">
        <v>67</v>
      </c>
      <c r="N728" s="16" t="s">
        <v>68</v>
      </c>
      <c r="O728" s="16" t="s">
        <v>436</v>
      </c>
      <c r="P728" s="16"/>
      <c r="Q728" s="16" t="s">
        <v>71</v>
      </c>
      <c r="R728" s="17" t="s">
        <v>8012</v>
      </c>
      <c r="S728" s="16" t="s">
        <v>6937</v>
      </c>
      <c r="T728" s="16" t="s">
        <v>4146</v>
      </c>
      <c r="U728" s="16" t="s">
        <v>4147</v>
      </c>
      <c r="V728" s="16" t="s">
        <v>8013</v>
      </c>
      <c r="W728" s="16" t="s">
        <v>8014</v>
      </c>
      <c r="X728" s="16" t="s">
        <v>8015</v>
      </c>
      <c r="Y728" s="16" t="s">
        <v>4151</v>
      </c>
      <c r="Z728" s="16"/>
      <c r="AA728" s="16"/>
      <c r="AB728" s="17" t="s">
        <v>8016</v>
      </c>
      <c r="AC728" s="16" t="s">
        <v>71</v>
      </c>
      <c r="AD728" s="17" t="s">
        <v>8016</v>
      </c>
      <c r="AG728" s="16" t="s">
        <v>6739</v>
      </c>
      <c r="AH728" s="16" t="s">
        <v>8017</v>
      </c>
      <c r="AI728" s="16"/>
      <c r="AJ728" s="16"/>
      <c r="AK728" s="16"/>
      <c r="AL728" s="16"/>
    </row>
    <row r="729" spans="1:38" x14ac:dyDescent="0.5">
      <c r="A729">
        <v>22358</v>
      </c>
      <c r="B729" s="16" t="s">
        <v>3624</v>
      </c>
      <c r="C729" s="16" t="s">
        <v>3624</v>
      </c>
      <c r="D729" s="16"/>
      <c r="E729" s="16" t="s">
        <v>4641</v>
      </c>
      <c r="F729" s="17" t="s">
        <v>8018</v>
      </c>
      <c r="H729" s="16" t="s">
        <v>456</v>
      </c>
      <c r="I729" s="16" t="s">
        <v>8019</v>
      </c>
      <c r="J729" s="33">
        <v>43203</v>
      </c>
      <c r="K729" s="33">
        <v>43568</v>
      </c>
      <c r="L729" s="16" t="s">
        <v>66</v>
      </c>
      <c r="M729" s="16" t="s">
        <v>67</v>
      </c>
      <c r="N729" s="16" t="s">
        <v>68</v>
      </c>
      <c r="O729" s="16" t="s">
        <v>436</v>
      </c>
      <c r="P729" s="16"/>
      <c r="Q729" s="16" t="s">
        <v>71</v>
      </c>
      <c r="R729" s="17" t="s">
        <v>8020</v>
      </c>
      <c r="S729" s="16" t="s">
        <v>4660</v>
      </c>
      <c r="T729" s="16" t="s">
        <v>74</v>
      </c>
      <c r="U729" s="16" t="s">
        <v>75</v>
      </c>
      <c r="V729" s="16" t="s">
        <v>8021</v>
      </c>
      <c r="W729" s="16"/>
      <c r="X729" s="16" t="s">
        <v>8022</v>
      </c>
      <c r="Y729" s="16" t="s">
        <v>78</v>
      </c>
      <c r="Z729" s="16" t="s">
        <v>242</v>
      </c>
      <c r="AA729" s="16" t="s">
        <v>243</v>
      </c>
      <c r="AB729" s="17" t="s">
        <v>8023</v>
      </c>
      <c r="AC729" s="16" t="s">
        <v>71</v>
      </c>
      <c r="AD729" s="17" t="s">
        <v>8023</v>
      </c>
      <c r="AG729" s="16" t="s">
        <v>3302</v>
      </c>
      <c r="AH729" s="16" t="s">
        <v>8024</v>
      </c>
      <c r="AI729" s="16"/>
      <c r="AJ729" s="16"/>
      <c r="AK729" s="16"/>
      <c r="AL729" s="16"/>
    </row>
    <row r="730" spans="1:38" x14ac:dyDescent="0.5">
      <c r="A730">
        <v>22359</v>
      </c>
      <c r="B730" s="16" t="s">
        <v>3512</v>
      </c>
      <c r="C730" s="16" t="s">
        <v>3512</v>
      </c>
      <c r="D730" s="16"/>
      <c r="E730" s="16" t="s">
        <v>8025</v>
      </c>
      <c r="F730" s="17" t="s">
        <v>8026</v>
      </c>
      <c r="H730" s="16" t="s">
        <v>699</v>
      </c>
      <c r="I730" s="16" t="s">
        <v>8027</v>
      </c>
      <c r="J730" s="33">
        <v>43220</v>
      </c>
      <c r="K730" s="33">
        <v>43585</v>
      </c>
      <c r="L730" s="16" t="s">
        <v>66</v>
      </c>
      <c r="M730" s="16" t="s">
        <v>167</v>
      </c>
      <c r="N730" s="16" t="s">
        <v>110</v>
      </c>
      <c r="O730" s="16" t="s">
        <v>280</v>
      </c>
      <c r="P730" s="16" t="s">
        <v>572</v>
      </c>
      <c r="Q730" s="16" t="s">
        <v>71</v>
      </c>
      <c r="R730" s="17" t="s">
        <v>8028</v>
      </c>
      <c r="S730" s="16" t="s">
        <v>113</v>
      </c>
      <c r="T730" s="16" t="s">
        <v>74</v>
      </c>
      <c r="U730" s="16" t="s">
        <v>75</v>
      </c>
      <c r="V730" s="16" t="s">
        <v>8029</v>
      </c>
      <c r="W730" s="16"/>
      <c r="X730" s="16" t="s">
        <v>8030</v>
      </c>
      <c r="Y730" s="16" t="s">
        <v>78</v>
      </c>
      <c r="Z730" s="16" t="s">
        <v>117</v>
      </c>
      <c r="AA730" s="16" t="s">
        <v>113</v>
      </c>
      <c r="AB730" s="17" t="s">
        <v>8031</v>
      </c>
      <c r="AC730" s="16" t="s">
        <v>71</v>
      </c>
      <c r="AD730" s="17" t="s">
        <v>8031</v>
      </c>
      <c r="AG730" s="16" t="s">
        <v>3249</v>
      </c>
      <c r="AH730" s="16" t="s">
        <v>4194</v>
      </c>
      <c r="AI730" s="16"/>
      <c r="AJ730" s="16"/>
      <c r="AK730" s="16"/>
      <c r="AL730" s="16"/>
    </row>
    <row r="731" spans="1:38" x14ac:dyDescent="0.5">
      <c r="A731">
        <v>22360</v>
      </c>
      <c r="B731" s="16" t="s">
        <v>5068</v>
      </c>
      <c r="C731" s="16" t="s">
        <v>5068</v>
      </c>
      <c r="D731" s="16"/>
      <c r="E731" s="16" t="s">
        <v>8032</v>
      </c>
      <c r="F731" s="17" t="s">
        <v>8033</v>
      </c>
      <c r="H731" s="16" t="s">
        <v>8034</v>
      </c>
      <c r="I731" s="16" t="s">
        <v>8656</v>
      </c>
      <c r="J731" s="33">
        <v>43214</v>
      </c>
      <c r="K731" s="33">
        <v>43579</v>
      </c>
      <c r="L731" s="16" t="s">
        <v>66</v>
      </c>
      <c r="M731" s="16" t="s">
        <v>67</v>
      </c>
      <c r="N731" s="16" t="s">
        <v>68</v>
      </c>
      <c r="O731" s="16" t="s">
        <v>436</v>
      </c>
      <c r="P731" s="16"/>
      <c r="Q731" s="16" t="s">
        <v>71</v>
      </c>
      <c r="R731" s="17" t="s">
        <v>8035</v>
      </c>
      <c r="S731" s="16" t="s">
        <v>4896</v>
      </c>
      <c r="T731" s="16" t="s">
        <v>74</v>
      </c>
      <c r="U731" s="16" t="s">
        <v>75</v>
      </c>
      <c r="V731" s="16" t="s">
        <v>8036</v>
      </c>
      <c r="W731" s="16"/>
      <c r="X731" s="16" t="s">
        <v>8037</v>
      </c>
      <c r="Y731" s="16" t="s">
        <v>78</v>
      </c>
      <c r="Z731" s="16" t="s">
        <v>1622</v>
      </c>
      <c r="AA731" s="16" t="s">
        <v>662</v>
      </c>
      <c r="AB731" s="17" t="s">
        <v>8038</v>
      </c>
      <c r="AC731" s="16" t="s">
        <v>71</v>
      </c>
      <c r="AD731" s="17" t="s">
        <v>8038</v>
      </c>
      <c r="AG731" s="16" t="s">
        <v>1502</v>
      </c>
      <c r="AH731" s="16" t="s">
        <v>8039</v>
      </c>
      <c r="AI731" s="16"/>
      <c r="AJ731" s="16"/>
      <c r="AK731" s="16"/>
      <c r="AL731" s="16"/>
    </row>
    <row r="732" spans="1:38" x14ac:dyDescent="0.5">
      <c r="A732">
        <v>22362</v>
      </c>
      <c r="B732" s="16" t="s">
        <v>8040</v>
      </c>
      <c r="C732" s="16" t="s">
        <v>8040</v>
      </c>
      <c r="D732" s="16"/>
      <c r="E732" s="16" t="s">
        <v>2411</v>
      </c>
      <c r="F732" s="17" t="s">
        <v>8041</v>
      </c>
      <c r="H732" s="16" t="s">
        <v>8042</v>
      </c>
      <c r="I732" s="16" t="s">
        <v>8043</v>
      </c>
      <c r="J732" s="33">
        <v>43215</v>
      </c>
      <c r="K732" s="33">
        <v>43580</v>
      </c>
      <c r="L732" s="16" t="s">
        <v>66</v>
      </c>
      <c r="M732" s="16" t="s">
        <v>67</v>
      </c>
      <c r="N732" s="16" t="s">
        <v>68</v>
      </c>
      <c r="O732" s="16" t="s">
        <v>436</v>
      </c>
      <c r="P732" s="16"/>
      <c r="Q732" s="16" t="s">
        <v>71</v>
      </c>
      <c r="R732" s="17" t="s">
        <v>8044</v>
      </c>
      <c r="S732" s="16" t="s">
        <v>8045</v>
      </c>
      <c r="T732" s="16" t="s">
        <v>74</v>
      </c>
      <c r="U732" s="16" t="s">
        <v>75</v>
      </c>
      <c r="V732" s="16" t="s">
        <v>8046</v>
      </c>
      <c r="W732" s="16"/>
      <c r="X732" s="16" t="s">
        <v>8047</v>
      </c>
      <c r="Y732" s="16" t="s">
        <v>78</v>
      </c>
      <c r="Z732" s="16" t="s">
        <v>296</v>
      </c>
      <c r="AA732" s="16" t="s">
        <v>297</v>
      </c>
      <c r="AB732" s="17" t="s">
        <v>8048</v>
      </c>
      <c r="AC732" s="16" t="s">
        <v>71</v>
      </c>
      <c r="AD732" s="17" t="s">
        <v>8048</v>
      </c>
      <c r="AG732" s="16" t="s">
        <v>1259</v>
      </c>
      <c r="AH732" s="16" t="s">
        <v>1285</v>
      </c>
      <c r="AI732" s="16"/>
      <c r="AJ732" s="16"/>
      <c r="AK732" s="16"/>
      <c r="AL732" s="16"/>
    </row>
    <row r="733" spans="1:38" x14ac:dyDescent="0.5">
      <c r="A733">
        <v>22363</v>
      </c>
      <c r="B733" s="16" t="s">
        <v>8049</v>
      </c>
      <c r="C733" s="16" t="s">
        <v>8049</v>
      </c>
      <c r="D733" s="16"/>
      <c r="E733" s="16" t="s">
        <v>8050</v>
      </c>
      <c r="F733" s="17" t="s">
        <v>8051</v>
      </c>
      <c r="H733" s="16" t="s">
        <v>8052</v>
      </c>
      <c r="I733" s="16" t="s">
        <v>8053</v>
      </c>
      <c r="J733" s="33">
        <v>43220</v>
      </c>
      <c r="K733" s="33">
        <v>43585</v>
      </c>
      <c r="L733" s="16" t="s">
        <v>66</v>
      </c>
      <c r="M733" s="16" t="s">
        <v>167</v>
      </c>
      <c r="N733" s="16" t="s">
        <v>110</v>
      </c>
      <c r="O733" s="16" t="s">
        <v>280</v>
      </c>
      <c r="P733" s="16"/>
      <c r="Q733" s="16" t="s">
        <v>71</v>
      </c>
      <c r="R733" s="17" t="s">
        <v>8054</v>
      </c>
      <c r="S733" s="16" t="s">
        <v>113</v>
      </c>
      <c r="T733" s="16" t="s">
        <v>74</v>
      </c>
      <c r="U733" s="16" t="s">
        <v>75</v>
      </c>
      <c r="V733" s="16" t="s">
        <v>8055</v>
      </c>
      <c r="W733" s="16"/>
      <c r="X733" s="16" t="s">
        <v>8056</v>
      </c>
      <c r="Y733" s="16" t="s">
        <v>78</v>
      </c>
      <c r="Z733" s="16" t="s">
        <v>117</v>
      </c>
      <c r="AA733" s="16" t="s">
        <v>113</v>
      </c>
      <c r="AB733" s="17" t="s">
        <v>8057</v>
      </c>
      <c r="AC733" s="16" t="s">
        <v>71</v>
      </c>
      <c r="AD733" s="17" t="s">
        <v>8057</v>
      </c>
      <c r="AG733" s="16" t="s">
        <v>3249</v>
      </c>
      <c r="AH733" s="16" t="s">
        <v>3808</v>
      </c>
      <c r="AI733" s="16"/>
      <c r="AJ733" s="16"/>
      <c r="AK733" s="16"/>
      <c r="AL733" s="16"/>
    </row>
    <row r="734" spans="1:38" x14ac:dyDescent="0.5">
      <c r="A734">
        <v>22364</v>
      </c>
      <c r="B734" s="16" t="s">
        <v>8058</v>
      </c>
      <c r="C734" s="16" t="s">
        <v>8058</v>
      </c>
      <c r="D734" s="16"/>
      <c r="E734" s="16" t="s">
        <v>8059</v>
      </c>
      <c r="F734" s="17" t="s">
        <v>8060</v>
      </c>
      <c r="H734" s="16" t="s">
        <v>5740</v>
      </c>
      <c r="I734" s="16" t="s">
        <v>8061</v>
      </c>
      <c r="J734" s="33">
        <v>43204</v>
      </c>
      <c r="K734" s="33">
        <v>43569</v>
      </c>
      <c r="L734" s="16" t="s">
        <v>66</v>
      </c>
      <c r="M734" s="16" t="s">
        <v>67</v>
      </c>
      <c r="N734" s="16" t="s">
        <v>68</v>
      </c>
      <c r="O734" s="16" t="s">
        <v>436</v>
      </c>
      <c r="P734" s="16"/>
      <c r="Q734" s="16" t="s">
        <v>71</v>
      </c>
      <c r="R734" s="17" t="s">
        <v>8062</v>
      </c>
      <c r="S734" s="16" t="s">
        <v>113</v>
      </c>
      <c r="T734" s="16" t="s">
        <v>74</v>
      </c>
      <c r="U734" s="16" t="s">
        <v>75</v>
      </c>
      <c r="V734" s="16" t="s">
        <v>8063</v>
      </c>
      <c r="W734" s="16"/>
      <c r="X734" s="16" t="s">
        <v>8064</v>
      </c>
      <c r="Y734" s="16" t="s">
        <v>78</v>
      </c>
      <c r="Z734" s="16" t="s">
        <v>117</v>
      </c>
      <c r="AA734" s="16" t="s">
        <v>113</v>
      </c>
      <c r="AB734" s="17" t="s">
        <v>8065</v>
      </c>
      <c r="AC734" s="16" t="s">
        <v>71</v>
      </c>
      <c r="AD734" s="17" t="s">
        <v>8065</v>
      </c>
      <c r="AG734" s="16" t="s">
        <v>4062</v>
      </c>
      <c r="AH734" s="16" t="s">
        <v>1285</v>
      </c>
      <c r="AI734" s="16"/>
      <c r="AJ734" s="16"/>
      <c r="AK734" s="16"/>
      <c r="AL734" s="16"/>
    </row>
    <row r="735" spans="1:38" x14ac:dyDescent="0.5">
      <c r="A735">
        <v>22365</v>
      </c>
      <c r="B735" s="16" t="s">
        <v>8066</v>
      </c>
      <c r="C735" s="16" t="s">
        <v>8066</v>
      </c>
      <c r="D735" s="16"/>
      <c r="E735" s="16" t="s">
        <v>8067</v>
      </c>
      <c r="F735" s="17" t="s">
        <v>8068</v>
      </c>
      <c r="H735" s="16" t="s">
        <v>8069</v>
      </c>
      <c r="I735" s="16" t="s">
        <v>8070</v>
      </c>
      <c r="J735" s="33">
        <v>43210</v>
      </c>
      <c r="K735" s="33">
        <v>43575</v>
      </c>
      <c r="L735" s="16" t="s">
        <v>66</v>
      </c>
      <c r="M735" s="16" t="s">
        <v>90</v>
      </c>
      <c r="N735" s="16" t="s">
        <v>91</v>
      </c>
      <c r="O735" s="16" t="s">
        <v>91</v>
      </c>
      <c r="P735" s="16"/>
      <c r="Q735" s="16" t="s">
        <v>71</v>
      </c>
      <c r="R735" s="17" t="s">
        <v>8071</v>
      </c>
      <c r="S735" s="16" t="s">
        <v>8072</v>
      </c>
      <c r="T735" s="16" t="s">
        <v>4588</v>
      </c>
      <c r="U735" s="16" t="s">
        <v>4589</v>
      </c>
      <c r="V735" s="16" t="s">
        <v>8070</v>
      </c>
      <c r="W735" s="16" t="s">
        <v>8073</v>
      </c>
      <c r="X735" s="16" t="s">
        <v>6736</v>
      </c>
      <c r="Y735" s="16" t="s">
        <v>744</v>
      </c>
      <c r="Z735" s="16"/>
      <c r="AA735" s="16"/>
      <c r="AB735" s="17" t="s">
        <v>8074</v>
      </c>
      <c r="AC735" s="16" t="s">
        <v>71</v>
      </c>
      <c r="AD735" s="17" t="s">
        <v>8074</v>
      </c>
      <c r="AG735" s="16" t="s">
        <v>8075</v>
      </c>
      <c r="AH735" s="16" t="s">
        <v>1850</v>
      </c>
      <c r="AI735" s="16" t="s">
        <v>8076</v>
      </c>
      <c r="AJ735" s="16"/>
      <c r="AK735" s="16" t="s">
        <v>3531</v>
      </c>
      <c r="AL735" s="16"/>
    </row>
    <row r="736" spans="1:38" x14ac:dyDescent="0.5">
      <c r="A736">
        <v>22366</v>
      </c>
      <c r="B736" s="16" t="s">
        <v>2934</v>
      </c>
      <c r="C736" s="16" t="s">
        <v>2934</v>
      </c>
      <c r="D736" s="16"/>
      <c r="E736" s="16" t="s">
        <v>8077</v>
      </c>
      <c r="F736" s="17" t="s">
        <v>8078</v>
      </c>
      <c r="H736" s="16" t="s">
        <v>699</v>
      </c>
      <c r="I736" s="16" t="s">
        <v>8079</v>
      </c>
      <c r="J736" s="33">
        <v>43214</v>
      </c>
      <c r="K736" s="33">
        <v>43579</v>
      </c>
      <c r="L736" s="16" t="s">
        <v>66</v>
      </c>
      <c r="M736" s="16" t="s">
        <v>167</v>
      </c>
      <c r="N736" s="16" t="s">
        <v>110</v>
      </c>
      <c r="O736" s="16" t="s">
        <v>280</v>
      </c>
      <c r="P736" s="16"/>
      <c r="Q736" s="16" t="s">
        <v>71</v>
      </c>
      <c r="R736" s="17" t="s">
        <v>8080</v>
      </c>
      <c r="S736" s="16" t="s">
        <v>662</v>
      </c>
      <c r="T736" s="16" t="s">
        <v>74</v>
      </c>
      <c r="U736" s="16" t="s">
        <v>75</v>
      </c>
      <c r="V736" s="16" t="s">
        <v>8081</v>
      </c>
      <c r="W736" s="16"/>
      <c r="X736" s="16" t="s">
        <v>8082</v>
      </c>
      <c r="Y736" s="16" t="s">
        <v>78</v>
      </c>
      <c r="Z736" s="16" t="s">
        <v>666</v>
      </c>
      <c r="AA736" s="16" t="s">
        <v>667</v>
      </c>
      <c r="AB736" s="17" t="s">
        <v>8083</v>
      </c>
      <c r="AC736" s="16" t="s">
        <v>71</v>
      </c>
      <c r="AD736" s="17" t="s">
        <v>8083</v>
      </c>
      <c r="AG736" s="16" t="s">
        <v>6236</v>
      </c>
      <c r="AH736" s="16" t="s">
        <v>2818</v>
      </c>
      <c r="AI736" s="16"/>
      <c r="AJ736" s="16"/>
      <c r="AK736" s="16"/>
      <c r="AL736" s="16"/>
    </row>
    <row r="737" spans="1:38" x14ac:dyDescent="0.5">
      <c r="A737">
        <v>22367</v>
      </c>
      <c r="B737" s="16" t="s">
        <v>8084</v>
      </c>
      <c r="C737" s="16" t="s">
        <v>8084</v>
      </c>
      <c r="D737" s="16"/>
      <c r="E737" s="16" t="s">
        <v>6270</v>
      </c>
      <c r="F737" s="17" t="s">
        <v>8085</v>
      </c>
      <c r="H737" s="16" t="s">
        <v>8086</v>
      </c>
      <c r="I737" s="16" t="s">
        <v>8087</v>
      </c>
      <c r="J737" s="33">
        <v>43228</v>
      </c>
      <c r="K737" s="33">
        <v>43593</v>
      </c>
      <c r="L737" s="16" t="s">
        <v>66</v>
      </c>
      <c r="M737" s="16" t="s">
        <v>67</v>
      </c>
      <c r="N737" s="16" t="s">
        <v>68</v>
      </c>
      <c r="O737" s="16" t="s">
        <v>436</v>
      </c>
      <c r="P737" s="16"/>
      <c r="Q737" s="16" t="s">
        <v>71</v>
      </c>
      <c r="R737" s="17" t="s">
        <v>8088</v>
      </c>
      <c r="S737" s="16" t="s">
        <v>662</v>
      </c>
      <c r="T737" s="16" t="s">
        <v>74</v>
      </c>
      <c r="U737" s="16" t="s">
        <v>75</v>
      </c>
      <c r="V737" s="16" t="s">
        <v>8089</v>
      </c>
      <c r="W737" s="16"/>
      <c r="X737" s="16" t="s">
        <v>8090</v>
      </c>
      <c r="Y737" s="16" t="s">
        <v>78</v>
      </c>
      <c r="Z737" s="16" t="s">
        <v>666</v>
      </c>
      <c r="AA737" s="16" t="s">
        <v>667</v>
      </c>
      <c r="AB737" s="17" t="s">
        <v>8091</v>
      </c>
      <c r="AC737" s="16" t="s">
        <v>71</v>
      </c>
      <c r="AD737" s="17" t="s">
        <v>8091</v>
      </c>
      <c r="AG737" s="16" t="s">
        <v>2818</v>
      </c>
      <c r="AH737" s="16" t="s">
        <v>2817</v>
      </c>
      <c r="AI737" s="16"/>
      <c r="AJ737" s="16"/>
      <c r="AK737" s="16"/>
      <c r="AL737" s="16"/>
    </row>
    <row r="738" spans="1:38" x14ac:dyDescent="0.5">
      <c r="A738">
        <v>22368</v>
      </c>
      <c r="B738" s="16" t="s">
        <v>453</v>
      </c>
      <c r="C738" s="16" t="s">
        <v>453</v>
      </c>
      <c r="D738" s="16"/>
      <c r="E738" s="16" t="s">
        <v>8092</v>
      </c>
      <c r="F738" s="17" t="s">
        <v>8093</v>
      </c>
      <c r="H738" s="16" t="s">
        <v>456</v>
      </c>
      <c r="I738" s="16" t="s">
        <v>8094</v>
      </c>
      <c r="J738" s="33">
        <v>43210</v>
      </c>
      <c r="K738" s="33">
        <v>43575</v>
      </c>
      <c r="L738" s="16" t="s">
        <v>66</v>
      </c>
      <c r="M738" s="16" t="s">
        <v>235</v>
      </c>
      <c r="N738" s="16" t="s">
        <v>236</v>
      </c>
      <c r="O738" s="16" t="s">
        <v>237</v>
      </c>
      <c r="P738" s="16"/>
      <c r="Q738" s="16" t="s">
        <v>71</v>
      </c>
      <c r="R738" s="17" t="s">
        <v>8095</v>
      </c>
      <c r="S738" s="16" t="s">
        <v>113</v>
      </c>
      <c r="T738" s="16" t="s">
        <v>74</v>
      </c>
      <c r="U738" s="16" t="s">
        <v>75</v>
      </c>
      <c r="V738" s="16" t="s">
        <v>8096</v>
      </c>
      <c r="W738" s="16"/>
      <c r="X738" s="16" t="s">
        <v>8097</v>
      </c>
      <c r="Y738" s="16" t="s">
        <v>78</v>
      </c>
      <c r="Z738" s="16" t="s">
        <v>117</v>
      </c>
      <c r="AA738" s="16" t="s">
        <v>113</v>
      </c>
      <c r="AB738" s="17" t="s">
        <v>8098</v>
      </c>
      <c r="AC738" s="16" t="s">
        <v>71</v>
      </c>
      <c r="AD738" s="17" t="s">
        <v>8098</v>
      </c>
      <c r="AF738" s="17" t="s">
        <v>8099</v>
      </c>
      <c r="AG738" s="16" t="s">
        <v>6131</v>
      </c>
      <c r="AH738" s="16" t="s">
        <v>1731</v>
      </c>
      <c r="AI738" s="16"/>
      <c r="AJ738" s="16"/>
      <c r="AK738" s="16"/>
      <c r="AL738" s="16"/>
    </row>
    <row r="739" spans="1:38" x14ac:dyDescent="0.5">
      <c r="A739">
        <v>22369</v>
      </c>
      <c r="B739" s="16" t="s">
        <v>2382</v>
      </c>
      <c r="C739" s="16" t="s">
        <v>2382</v>
      </c>
      <c r="D739" s="16"/>
      <c r="E739" s="16" t="s">
        <v>8100</v>
      </c>
      <c r="F739" s="17" t="s">
        <v>8101</v>
      </c>
      <c r="H739" s="16" t="s">
        <v>8102</v>
      </c>
      <c r="I739" s="16" t="s">
        <v>8103</v>
      </c>
      <c r="J739" s="33">
        <v>43228</v>
      </c>
      <c r="K739" s="33">
        <v>43593</v>
      </c>
      <c r="L739" s="16" t="s">
        <v>66</v>
      </c>
      <c r="M739" s="16" t="s">
        <v>67</v>
      </c>
      <c r="N739" s="16" t="s">
        <v>68</v>
      </c>
      <c r="O739" s="16" t="s">
        <v>436</v>
      </c>
      <c r="P739" s="16"/>
      <c r="Q739" s="16" t="s">
        <v>71</v>
      </c>
      <c r="R739" s="17" t="s">
        <v>8104</v>
      </c>
      <c r="S739" s="16" t="s">
        <v>6937</v>
      </c>
      <c r="T739" s="16" t="s">
        <v>4146</v>
      </c>
      <c r="U739" s="16" t="s">
        <v>4147</v>
      </c>
      <c r="V739" s="16" t="s">
        <v>8105</v>
      </c>
      <c r="W739" s="16"/>
      <c r="X739" s="16" t="s">
        <v>8015</v>
      </c>
      <c r="Y739" s="16" t="s">
        <v>4151</v>
      </c>
      <c r="Z739" s="16"/>
      <c r="AA739" s="16"/>
      <c r="AB739" s="17" t="s">
        <v>8106</v>
      </c>
      <c r="AC739" s="16" t="s">
        <v>71</v>
      </c>
      <c r="AD739" s="17" t="s">
        <v>8106</v>
      </c>
      <c r="AG739" s="16" t="s">
        <v>6739</v>
      </c>
      <c r="AH739" s="16" t="s">
        <v>1345</v>
      </c>
      <c r="AI739" s="16"/>
      <c r="AJ739" s="16"/>
      <c r="AK739" s="16"/>
      <c r="AL739" s="16"/>
    </row>
    <row r="740" spans="1:38" x14ac:dyDescent="0.5">
      <c r="A740">
        <v>22370</v>
      </c>
      <c r="B740" s="16" t="s">
        <v>1505</v>
      </c>
      <c r="C740" s="16" t="s">
        <v>1505</v>
      </c>
      <c r="D740" s="16"/>
      <c r="E740" s="16" t="s">
        <v>3572</v>
      </c>
      <c r="F740" s="17" t="s">
        <v>8107</v>
      </c>
      <c r="H740" s="16" t="s">
        <v>1429</v>
      </c>
      <c r="I740" s="16" t="s">
        <v>8108</v>
      </c>
      <c r="J740" s="33">
        <v>43210</v>
      </c>
      <c r="K740" s="33">
        <v>43575</v>
      </c>
      <c r="L740" s="16" t="s">
        <v>66</v>
      </c>
      <c r="M740" s="16" t="s">
        <v>67</v>
      </c>
      <c r="N740" s="16" t="s">
        <v>68</v>
      </c>
      <c r="O740" s="16" t="s">
        <v>436</v>
      </c>
      <c r="P740" s="16"/>
      <c r="Q740" s="16" t="s">
        <v>71</v>
      </c>
      <c r="R740" s="17" t="s">
        <v>8109</v>
      </c>
      <c r="S740" s="16" t="s">
        <v>8110</v>
      </c>
      <c r="T740" s="16" t="s">
        <v>74</v>
      </c>
      <c r="U740" s="16" t="s">
        <v>75</v>
      </c>
      <c r="V740" s="16" t="s">
        <v>8111</v>
      </c>
      <c r="W740" s="16"/>
      <c r="X740" s="16" t="s">
        <v>8112</v>
      </c>
      <c r="Y740" s="16" t="s">
        <v>78</v>
      </c>
      <c r="Z740" s="16" t="s">
        <v>349</v>
      </c>
      <c r="AA740" s="16" t="s">
        <v>350</v>
      </c>
      <c r="AB740" s="17" t="s">
        <v>8113</v>
      </c>
      <c r="AC740" s="16" t="s">
        <v>71</v>
      </c>
      <c r="AD740" s="17" t="s">
        <v>8113</v>
      </c>
      <c r="AG740" s="16" t="s">
        <v>2156</v>
      </c>
      <c r="AH740" s="16" t="s">
        <v>2093</v>
      </c>
      <c r="AI740" s="16"/>
      <c r="AJ740" s="16"/>
      <c r="AK740" s="16"/>
      <c r="AL740" s="16"/>
    </row>
    <row r="741" spans="1:38" x14ac:dyDescent="0.5">
      <c r="A741">
        <v>22371</v>
      </c>
      <c r="B741" s="16" t="s">
        <v>902</v>
      </c>
      <c r="C741" s="16" t="s">
        <v>902</v>
      </c>
      <c r="D741" s="16"/>
      <c r="E741" s="16" t="s">
        <v>8114</v>
      </c>
      <c r="F741" s="17" t="s">
        <v>8115</v>
      </c>
      <c r="H741" s="16" t="s">
        <v>699</v>
      </c>
      <c r="I741" s="16" t="s">
        <v>8116</v>
      </c>
      <c r="J741" s="33">
        <v>43204</v>
      </c>
      <c r="K741" s="33">
        <v>43569</v>
      </c>
      <c r="L741" s="16" t="s">
        <v>66</v>
      </c>
      <c r="M741" s="16" t="s">
        <v>167</v>
      </c>
      <c r="N741" s="16" t="s">
        <v>110</v>
      </c>
      <c r="O741" s="16" t="s">
        <v>280</v>
      </c>
      <c r="P741" s="16"/>
      <c r="Q741" s="16" t="s">
        <v>71</v>
      </c>
      <c r="R741" s="17" t="s">
        <v>8117</v>
      </c>
      <c r="S741" s="16" t="s">
        <v>113</v>
      </c>
      <c r="T741" s="16" t="s">
        <v>74</v>
      </c>
      <c r="U741" s="16" t="s">
        <v>75</v>
      </c>
      <c r="V741" s="16" t="s">
        <v>8118</v>
      </c>
      <c r="W741" s="16"/>
      <c r="X741" s="16" t="s">
        <v>8119</v>
      </c>
      <c r="Y741" s="16" t="s">
        <v>78</v>
      </c>
      <c r="Z741" s="16" t="s">
        <v>117</v>
      </c>
      <c r="AA741" s="16" t="s">
        <v>113</v>
      </c>
      <c r="AB741" s="17" t="s">
        <v>8120</v>
      </c>
      <c r="AC741" s="16" t="s">
        <v>71</v>
      </c>
      <c r="AD741" s="17" t="s">
        <v>8120</v>
      </c>
      <c r="AG741" s="16" t="s">
        <v>3249</v>
      </c>
      <c r="AH741" s="16" t="s">
        <v>2346</v>
      </c>
      <c r="AI741" s="16"/>
      <c r="AJ741" s="16"/>
      <c r="AK741" s="16"/>
      <c r="AL741" s="16"/>
    </row>
    <row r="742" spans="1:38" x14ac:dyDescent="0.5">
      <c r="A742">
        <v>22372</v>
      </c>
      <c r="B742" s="16" t="s">
        <v>8121</v>
      </c>
      <c r="C742" s="16" t="s">
        <v>8121</v>
      </c>
      <c r="D742" s="16"/>
      <c r="E742" s="16" t="s">
        <v>8122</v>
      </c>
      <c r="F742" s="17" t="s">
        <v>8123</v>
      </c>
      <c r="H742" s="16" t="s">
        <v>3741</v>
      </c>
      <c r="I742" s="16" t="s">
        <v>8124</v>
      </c>
      <c r="J742" s="33">
        <v>43211</v>
      </c>
      <c r="K742" s="33">
        <v>43576</v>
      </c>
      <c r="L742" s="16" t="s">
        <v>66</v>
      </c>
      <c r="M742" s="16" t="s">
        <v>167</v>
      </c>
      <c r="N742" s="16" t="s">
        <v>110</v>
      </c>
      <c r="O742" s="16" t="s">
        <v>280</v>
      </c>
      <c r="P742" s="16"/>
      <c r="Q742" s="16" t="s">
        <v>71</v>
      </c>
      <c r="R742" s="17" t="s">
        <v>8125</v>
      </c>
      <c r="S742" s="16" t="s">
        <v>373</v>
      </c>
      <c r="T742" s="16" t="s">
        <v>74</v>
      </c>
      <c r="U742" s="16" t="s">
        <v>75</v>
      </c>
      <c r="V742" s="16" t="s">
        <v>8126</v>
      </c>
      <c r="W742" s="16"/>
      <c r="X742" s="16" t="s">
        <v>8127</v>
      </c>
      <c r="Y742" s="16" t="s">
        <v>78</v>
      </c>
      <c r="Z742" s="16" t="s">
        <v>376</v>
      </c>
      <c r="AA742" s="16" t="s">
        <v>377</v>
      </c>
      <c r="AB742" s="17" t="s">
        <v>8128</v>
      </c>
      <c r="AC742" s="16" t="s">
        <v>71</v>
      </c>
      <c r="AD742" s="17" t="s">
        <v>8128</v>
      </c>
      <c r="AG742" s="16" t="s">
        <v>3808</v>
      </c>
      <c r="AH742" s="16" t="s">
        <v>1754</v>
      </c>
      <c r="AI742" s="16" t="s">
        <v>5313</v>
      </c>
      <c r="AJ742" s="16"/>
      <c r="AK742" s="16"/>
      <c r="AL742" s="16"/>
    </row>
    <row r="743" spans="1:38" x14ac:dyDescent="0.5">
      <c r="A743">
        <v>22373</v>
      </c>
      <c r="B743" s="16" t="s">
        <v>8129</v>
      </c>
      <c r="C743" s="16" t="s">
        <v>8129</v>
      </c>
      <c r="D743" s="16" t="s">
        <v>8130</v>
      </c>
      <c r="E743" s="16" t="s">
        <v>760</v>
      </c>
      <c r="F743" s="17" t="s">
        <v>8131</v>
      </c>
      <c r="H743" s="16" t="s">
        <v>8132</v>
      </c>
      <c r="I743" s="16" t="s">
        <v>8133</v>
      </c>
      <c r="J743" s="33">
        <v>43241</v>
      </c>
      <c r="K743" s="33">
        <v>43606</v>
      </c>
      <c r="L743" s="16" t="s">
        <v>66</v>
      </c>
      <c r="M743" s="16" t="s">
        <v>67</v>
      </c>
      <c r="N743" s="16" t="s">
        <v>68</v>
      </c>
      <c r="O743" s="16" t="s">
        <v>436</v>
      </c>
      <c r="P743" s="16"/>
      <c r="Q743" s="16" t="s">
        <v>71</v>
      </c>
      <c r="R743" s="17" t="s">
        <v>8134</v>
      </c>
      <c r="S743" s="16" t="s">
        <v>3073</v>
      </c>
      <c r="T743" s="16" t="s">
        <v>74</v>
      </c>
      <c r="U743" s="16" t="s">
        <v>75</v>
      </c>
      <c r="V743" s="16" t="s">
        <v>8135</v>
      </c>
      <c r="W743" s="16" t="s">
        <v>8136</v>
      </c>
      <c r="X743" s="16" t="s">
        <v>8137</v>
      </c>
      <c r="Y743" s="16" t="s">
        <v>78</v>
      </c>
      <c r="Z743" s="16" t="s">
        <v>2165</v>
      </c>
      <c r="AA743" s="16" t="s">
        <v>2166</v>
      </c>
      <c r="AB743" s="17" t="s">
        <v>8138</v>
      </c>
      <c r="AC743" s="16" t="s">
        <v>71</v>
      </c>
      <c r="AD743" s="17" t="s">
        <v>8138</v>
      </c>
      <c r="AG743" s="16" t="s">
        <v>2923</v>
      </c>
      <c r="AH743" s="16" t="s">
        <v>2552</v>
      </c>
      <c r="AI743" s="16"/>
      <c r="AJ743" s="16"/>
      <c r="AK743" s="16"/>
      <c r="AL743" s="16" t="s">
        <v>8139</v>
      </c>
    </row>
    <row r="744" spans="1:38" x14ac:dyDescent="0.5">
      <c r="A744">
        <v>22374</v>
      </c>
      <c r="B744" s="16" t="s">
        <v>4463</v>
      </c>
      <c r="C744" s="16" t="s">
        <v>4463</v>
      </c>
      <c r="D744" s="16"/>
      <c r="E744" s="16" t="s">
        <v>6176</v>
      </c>
      <c r="F744" s="17" t="s">
        <v>8140</v>
      </c>
      <c r="H744" s="16" t="s">
        <v>8141</v>
      </c>
      <c r="I744" s="16" t="s">
        <v>8142</v>
      </c>
      <c r="J744" s="33">
        <v>43204</v>
      </c>
      <c r="K744" s="33">
        <v>43569</v>
      </c>
      <c r="L744" s="16" t="s">
        <v>66</v>
      </c>
      <c r="M744" s="16" t="s">
        <v>67</v>
      </c>
      <c r="N744" s="16" t="s">
        <v>68</v>
      </c>
      <c r="O744" s="16" t="s">
        <v>436</v>
      </c>
      <c r="P744" s="16"/>
      <c r="Q744" s="16" t="s">
        <v>71</v>
      </c>
      <c r="R744" s="17" t="s">
        <v>8143</v>
      </c>
      <c r="S744" s="16" t="s">
        <v>1460</v>
      </c>
      <c r="T744" s="16" t="s">
        <v>74</v>
      </c>
      <c r="U744" s="16" t="s">
        <v>75</v>
      </c>
      <c r="V744" s="16" t="s">
        <v>8144</v>
      </c>
      <c r="W744" s="16"/>
      <c r="X744" s="16" t="s">
        <v>8145</v>
      </c>
      <c r="Y744" s="16" t="s">
        <v>78</v>
      </c>
      <c r="Z744" s="16" t="s">
        <v>242</v>
      </c>
      <c r="AA744" s="16" t="s">
        <v>243</v>
      </c>
      <c r="AB744" s="17" t="s">
        <v>8146</v>
      </c>
      <c r="AC744" s="16" t="s">
        <v>71</v>
      </c>
      <c r="AD744" s="17" t="s">
        <v>8146</v>
      </c>
      <c r="AG744" s="16" t="s">
        <v>3302</v>
      </c>
      <c r="AH744" s="16" t="s">
        <v>653</v>
      </c>
      <c r="AI744" s="16"/>
      <c r="AJ744" s="16"/>
      <c r="AK744" s="16"/>
      <c r="AL744" s="16"/>
    </row>
    <row r="745" spans="1:38" x14ac:dyDescent="0.5">
      <c r="A745">
        <v>22375</v>
      </c>
      <c r="B745" s="16" t="s">
        <v>8147</v>
      </c>
      <c r="C745" s="16" t="s">
        <v>8147</v>
      </c>
      <c r="D745" s="16"/>
      <c r="E745" s="16" t="s">
        <v>8148</v>
      </c>
      <c r="F745" s="17" t="s">
        <v>8149</v>
      </c>
      <c r="H745" s="16" t="s">
        <v>8150</v>
      </c>
      <c r="I745" s="16" t="s">
        <v>1264</v>
      </c>
      <c r="J745" s="33">
        <v>43210</v>
      </c>
      <c r="K745" s="33">
        <v>43575</v>
      </c>
      <c r="L745" s="16" t="s">
        <v>66</v>
      </c>
      <c r="M745" s="16" t="s">
        <v>67</v>
      </c>
      <c r="N745" s="16" t="s">
        <v>68</v>
      </c>
      <c r="O745" s="16" t="s">
        <v>436</v>
      </c>
      <c r="P745" s="16"/>
      <c r="Q745" s="16" t="s">
        <v>71</v>
      </c>
      <c r="R745" s="17" t="s">
        <v>8151</v>
      </c>
      <c r="S745" s="16" t="s">
        <v>8152</v>
      </c>
      <c r="T745" s="16" t="s">
        <v>74</v>
      </c>
      <c r="U745" s="16" t="s">
        <v>75</v>
      </c>
      <c r="V745" s="16" t="s">
        <v>8153</v>
      </c>
      <c r="W745" s="16" t="s">
        <v>8154</v>
      </c>
      <c r="X745" s="16" t="s">
        <v>8155</v>
      </c>
      <c r="Y745" s="16" t="s">
        <v>78</v>
      </c>
      <c r="Z745" s="16" t="s">
        <v>296</v>
      </c>
      <c r="AA745" s="16" t="s">
        <v>297</v>
      </c>
      <c r="AB745" s="17" t="s">
        <v>8156</v>
      </c>
      <c r="AC745" s="16" t="s">
        <v>71</v>
      </c>
      <c r="AD745" s="17" t="s">
        <v>8156</v>
      </c>
      <c r="AF745" s="17" t="s">
        <v>8157</v>
      </c>
      <c r="AG745" s="16" t="s">
        <v>5094</v>
      </c>
      <c r="AH745" s="16" t="s">
        <v>8158</v>
      </c>
      <c r="AI745" s="16"/>
      <c r="AJ745" s="16"/>
      <c r="AK745" s="16"/>
      <c r="AL745" s="16"/>
    </row>
    <row r="746" spans="1:38" x14ac:dyDescent="0.5">
      <c r="A746">
        <v>22376</v>
      </c>
      <c r="B746" s="16" t="s">
        <v>8159</v>
      </c>
      <c r="C746" s="16" t="s">
        <v>8159</v>
      </c>
      <c r="D746" s="16" t="s">
        <v>8160</v>
      </c>
      <c r="E746" s="16" t="s">
        <v>8161</v>
      </c>
      <c r="F746" s="17" t="s">
        <v>8162</v>
      </c>
      <c r="H746" s="16" t="s">
        <v>2328</v>
      </c>
      <c r="I746" s="16" t="s">
        <v>8163</v>
      </c>
      <c r="J746" s="33">
        <v>43220</v>
      </c>
      <c r="K746" s="33">
        <v>43585</v>
      </c>
      <c r="L746" s="16" t="s">
        <v>66</v>
      </c>
      <c r="M746" s="16" t="s">
        <v>235</v>
      </c>
      <c r="N746" s="16" t="s">
        <v>236</v>
      </c>
      <c r="O746" s="16" t="s">
        <v>237</v>
      </c>
      <c r="P746" s="16" t="s">
        <v>572</v>
      </c>
      <c r="Q746" s="16" t="s">
        <v>71</v>
      </c>
      <c r="R746" s="17" t="s">
        <v>8164</v>
      </c>
      <c r="S746" s="16" t="s">
        <v>113</v>
      </c>
      <c r="T746" s="16" t="s">
        <v>74</v>
      </c>
      <c r="U746" s="16" t="s">
        <v>75</v>
      </c>
      <c r="V746" s="16" t="s">
        <v>8165</v>
      </c>
      <c r="W746" s="16"/>
      <c r="X746" s="16" t="s">
        <v>8166</v>
      </c>
      <c r="Y746" s="16" t="s">
        <v>78</v>
      </c>
      <c r="Z746" s="16" t="s">
        <v>117</v>
      </c>
      <c r="AA746" s="16" t="s">
        <v>113</v>
      </c>
      <c r="AB746" s="17" t="s">
        <v>8167</v>
      </c>
      <c r="AC746" s="16" t="s">
        <v>71</v>
      </c>
      <c r="AD746" s="17" t="s">
        <v>8167</v>
      </c>
      <c r="AG746" s="16" t="s">
        <v>2346</v>
      </c>
      <c r="AH746" s="16" t="s">
        <v>3530</v>
      </c>
      <c r="AI746" s="16"/>
      <c r="AJ746" s="16"/>
      <c r="AK746" s="16"/>
      <c r="AL746" s="16"/>
    </row>
    <row r="747" spans="1:38" x14ac:dyDescent="0.5">
      <c r="A747">
        <v>22392</v>
      </c>
      <c r="B747" s="16" t="s">
        <v>8168</v>
      </c>
      <c r="C747" s="16" t="s">
        <v>8168</v>
      </c>
      <c r="D747" s="16"/>
      <c r="E747" s="16" t="s">
        <v>8169</v>
      </c>
      <c r="F747" s="17" t="s">
        <v>8170</v>
      </c>
      <c r="H747" s="16" t="s">
        <v>2113</v>
      </c>
      <c r="I747" s="16" t="s">
        <v>8171</v>
      </c>
      <c r="J747" s="33">
        <v>43284</v>
      </c>
      <c r="K747" s="33">
        <v>43649</v>
      </c>
      <c r="L747" s="16" t="s">
        <v>66</v>
      </c>
      <c r="M747" s="16" t="s">
        <v>67</v>
      </c>
      <c r="N747" s="16" t="s">
        <v>68</v>
      </c>
      <c r="O747" s="16" t="s">
        <v>436</v>
      </c>
      <c r="P747" s="16" t="s">
        <v>572</v>
      </c>
      <c r="Q747" s="16" t="s">
        <v>71</v>
      </c>
      <c r="R747" s="17" t="s">
        <v>8172</v>
      </c>
      <c r="S747" s="16" t="s">
        <v>8173</v>
      </c>
      <c r="T747" s="16" t="s">
        <v>2596</v>
      </c>
      <c r="U747" s="16" t="s">
        <v>2597</v>
      </c>
      <c r="V747" s="16" t="s">
        <v>8174</v>
      </c>
      <c r="W747" s="16"/>
      <c r="X747" s="16" t="s">
        <v>8175</v>
      </c>
      <c r="Y747" s="16"/>
      <c r="Z747" s="16"/>
      <c r="AA747" s="16"/>
      <c r="AB747" s="17" t="s">
        <v>8176</v>
      </c>
      <c r="AC747" s="16" t="s">
        <v>71</v>
      </c>
      <c r="AD747" s="17" t="s">
        <v>8176</v>
      </c>
      <c r="AG747" s="16" t="s">
        <v>8177</v>
      </c>
      <c r="AH747" s="16" t="s">
        <v>5357</v>
      </c>
      <c r="AI747" s="16"/>
      <c r="AJ747" s="16"/>
      <c r="AK747" s="16"/>
      <c r="AL747" s="16" t="s">
        <v>8178</v>
      </c>
    </row>
    <row r="748" spans="1:38" x14ac:dyDescent="0.5">
      <c r="A748">
        <v>22394</v>
      </c>
      <c r="B748" s="16" t="s">
        <v>8179</v>
      </c>
      <c r="C748" s="16" t="s">
        <v>8179</v>
      </c>
      <c r="D748" s="16"/>
      <c r="E748" s="16" t="s">
        <v>8180</v>
      </c>
      <c r="F748" s="17" t="s">
        <v>8181</v>
      </c>
      <c r="H748" s="16" t="s">
        <v>4999</v>
      </c>
      <c r="I748" s="16" t="s">
        <v>8182</v>
      </c>
      <c r="J748" s="33">
        <v>43334</v>
      </c>
      <c r="K748" s="33">
        <v>43699</v>
      </c>
      <c r="L748" s="16" t="s">
        <v>66</v>
      </c>
      <c r="M748" s="16" t="s">
        <v>67</v>
      </c>
      <c r="N748" s="16" t="s">
        <v>68</v>
      </c>
      <c r="O748" s="16" t="s">
        <v>436</v>
      </c>
      <c r="P748" s="16" t="s">
        <v>572</v>
      </c>
      <c r="Q748" s="16" t="s">
        <v>71</v>
      </c>
      <c r="R748" s="17" t="s">
        <v>8183</v>
      </c>
      <c r="S748" s="16" t="s">
        <v>8184</v>
      </c>
      <c r="T748" s="16" t="s">
        <v>2596</v>
      </c>
      <c r="U748" s="16" t="s">
        <v>2597</v>
      </c>
      <c r="V748" s="16" t="s">
        <v>8185</v>
      </c>
      <c r="W748" s="16" t="s">
        <v>8186</v>
      </c>
      <c r="X748" s="16" t="s">
        <v>8187</v>
      </c>
      <c r="Y748" s="16" t="s">
        <v>744</v>
      </c>
      <c r="Z748" s="16"/>
      <c r="AA748" s="16"/>
      <c r="AB748" s="17" t="s">
        <v>8188</v>
      </c>
      <c r="AC748" s="16" t="s">
        <v>71</v>
      </c>
      <c r="AD748" s="17" t="s">
        <v>8188</v>
      </c>
      <c r="AF748" s="17" t="s">
        <v>8189</v>
      </c>
      <c r="AG748" s="16" t="s">
        <v>5357</v>
      </c>
      <c r="AH748" s="16" t="s">
        <v>8177</v>
      </c>
      <c r="AI748" s="16"/>
      <c r="AJ748" s="16"/>
      <c r="AK748" s="16"/>
      <c r="AL748" s="16" t="s">
        <v>8190</v>
      </c>
    </row>
    <row r="749" spans="1:38" x14ac:dyDescent="0.5">
      <c r="A749">
        <v>22454</v>
      </c>
      <c r="B749" s="16" t="s">
        <v>1490</v>
      </c>
      <c r="C749" s="16" t="s">
        <v>1490</v>
      </c>
      <c r="D749" s="16"/>
      <c r="E749" s="16" t="s">
        <v>8191</v>
      </c>
      <c r="F749" s="17" t="s">
        <v>8192</v>
      </c>
      <c r="G749" s="17" t="s">
        <v>8193</v>
      </c>
      <c r="H749" s="16" t="s">
        <v>8194</v>
      </c>
      <c r="I749" s="16" t="s">
        <v>8195</v>
      </c>
      <c r="J749" s="33">
        <v>43277</v>
      </c>
      <c r="K749" s="33">
        <v>43642</v>
      </c>
      <c r="L749" s="16" t="s">
        <v>66</v>
      </c>
      <c r="M749" s="16" t="s">
        <v>67</v>
      </c>
      <c r="N749" s="16" t="s">
        <v>68</v>
      </c>
      <c r="O749" s="16" t="s">
        <v>436</v>
      </c>
      <c r="P749" s="16" t="s">
        <v>572</v>
      </c>
      <c r="Q749" s="16" t="s">
        <v>71</v>
      </c>
      <c r="R749" s="17" t="s">
        <v>8196</v>
      </c>
      <c r="S749" s="16" t="s">
        <v>8197</v>
      </c>
      <c r="T749" s="16" t="s">
        <v>74</v>
      </c>
      <c r="U749" s="16" t="s">
        <v>75</v>
      </c>
      <c r="V749" s="16" t="s">
        <v>8198</v>
      </c>
      <c r="W749" s="16"/>
      <c r="X749" s="16" t="s">
        <v>8199</v>
      </c>
      <c r="Y749" s="16" t="s">
        <v>78</v>
      </c>
      <c r="Z749" s="16" t="s">
        <v>189</v>
      </c>
      <c r="AA749" s="16" t="s">
        <v>190</v>
      </c>
      <c r="AB749" s="17" t="s">
        <v>8200</v>
      </c>
      <c r="AC749" s="16" t="s">
        <v>71</v>
      </c>
      <c r="AD749" s="17" t="s">
        <v>8200</v>
      </c>
      <c r="AE749" s="17" t="s">
        <v>8201</v>
      </c>
      <c r="AG749" s="16" t="s">
        <v>1030</v>
      </c>
      <c r="AH749" s="16" t="s">
        <v>8202</v>
      </c>
      <c r="AI749" s="16"/>
      <c r="AJ749" s="16"/>
      <c r="AK749" s="16"/>
      <c r="AL749" s="16" t="s">
        <v>8203</v>
      </c>
    </row>
    <row r="750" spans="1:38" x14ac:dyDescent="0.5">
      <c r="A750">
        <v>22455</v>
      </c>
      <c r="B750" s="16" t="s">
        <v>8204</v>
      </c>
      <c r="C750" s="16" t="s">
        <v>8204</v>
      </c>
      <c r="D750" s="16"/>
      <c r="E750" s="16" t="s">
        <v>4714</v>
      </c>
      <c r="F750" s="17" t="s">
        <v>8205</v>
      </c>
      <c r="H750" s="16" t="s">
        <v>1429</v>
      </c>
      <c r="I750" s="16" t="s">
        <v>8206</v>
      </c>
      <c r="J750" s="33">
        <v>43283</v>
      </c>
      <c r="K750" s="33">
        <v>43648</v>
      </c>
      <c r="L750" s="16" t="s">
        <v>66</v>
      </c>
      <c r="M750" s="16" t="s">
        <v>67</v>
      </c>
      <c r="N750" s="16" t="s">
        <v>68</v>
      </c>
      <c r="O750" s="16" t="s">
        <v>436</v>
      </c>
      <c r="P750" s="16" t="s">
        <v>572</v>
      </c>
      <c r="Q750" s="16" t="s">
        <v>71</v>
      </c>
      <c r="R750" s="17" t="s">
        <v>8207</v>
      </c>
      <c r="S750" s="16" t="s">
        <v>662</v>
      </c>
      <c r="T750" s="16" t="s">
        <v>74</v>
      </c>
      <c r="U750" s="16" t="s">
        <v>75</v>
      </c>
      <c r="V750" s="16" t="s">
        <v>8208</v>
      </c>
      <c r="W750" s="16"/>
      <c r="X750" s="16" t="s">
        <v>8209</v>
      </c>
      <c r="Y750" s="16" t="s">
        <v>78</v>
      </c>
      <c r="Z750" s="16" t="s">
        <v>666</v>
      </c>
      <c r="AA750" s="16" t="s">
        <v>667</v>
      </c>
      <c r="AB750" s="17" t="s">
        <v>8210</v>
      </c>
      <c r="AC750" s="16" t="s">
        <v>71</v>
      </c>
      <c r="AD750" s="17" t="s">
        <v>8210</v>
      </c>
      <c r="AG750" s="16" t="s">
        <v>8211</v>
      </c>
      <c r="AH750" s="16" t="s">
        <v>3302</v>
      </c>
      <c r="AI750" s="16"/>
      <c r="AJ750" s="16"/>
      <c r="AK750" s="16"/>
      <c r="AL750" s="16" t="s">
        <v>8212</v>
      </c>
    </row>
    <row r="751" spans="1:38" x14ac:dyDescent="0.5">
      <c r="A751">
        <v>22458</v>
      </c>
      <c r="B751" s="16" t="s">
        <v>3643</v>
      </c>
      <c r="C751" s="16" t="s">
        <v>3643</v>
      </c>
      <c r="D751" s="16"/>
      <c r="E751" s="16" t="s">
        <v>8213</v>
      </c>
      <c r="F751" s="17" t="s">
        <v>8214</v>
      </c>
      <c r="G751" s="17" t="s">
        <v>8215</v>
      </c>
      <c r="H751" s="16" t="s">
        <v>685</v>
      </c>
      <c r="I751" s="16" t="s">
        <v>8216</v>
      </c>
      <c r="J751" s="33">
        <v>43277</v>
      </c>
      <c r="K751" s="33">
        <v>43642</v>
      </c>
      <c r="L751" s="16" t="s">
        <v>66</v>
      </c>
      <c r="M751" s="16" t="s">
        <v>67</v>
      </c>
      <c r="N751" s="16" t="s">
        <v>68</v>
      </c>
      <c r="O751" s="16" t="s">
        <v>436</v>
      </c>
      <c r="P751" s="16" t="s">
        <v>572</v>
      </c>
      <c r="Q751" s="16" t="s">
        <v>71</v>
      </c>
      <c r="R751" s="17" t="s">
        <v>8217</v>
      </c>
      <c r="S751" s="16" t="s">
        <v>113</v>
      </c>
      <c r="T751" s="16" t="s">
        <v>74</v>
      </c>
      <c r="U751" s="16" t="s">
        <v>75</v>
      </c>
      <c r="V751" s="16" t="s">
        <v>8218</v>
      </c>
      <c r="W751" s="16"/>
      <c r="X751" s="16" t="s">
        <v>8219</v>
      </c>
      <c r="Y751" s="16" t="s">
        <v>78</v>
      </c>
      <c r="Z751" s="16" t="s">
        <v>117</v>
      </c>
      <c r="AA751" s="16" t="s">
        <v>113</v>
      </c>
      <c r="AB751" s="17" t="s">
        <v>8220</v>
      </c>
      <c r="AC751" s="16" t="s">
        <v>71</v>
      </c>
      <c r="AD751" s="17" t="s">
        <v>8220</v>
      </c>
      <c r="AE751" s="17" t="s">
        <v>8221</v>
      </c>
      <c r="AG751" s="16" t="s">
        <v>4062</v>
      </c>
      <c r="AH751" s="16" t="s">
        <v>4063</v>
      </c>
      <c r="AI751" s="16"/>
      <c r="AJ751" s="16"/>
      <c r="AK751" s="16"/>
      <c r="AL751" s="16" t="s">
        <v>8222</v>
      </c>
    </row>
    <row r="752" spans="1:38" x14ac:dyDescent="0.5">
      <c r="A752">
        <v>22461</v>
      </c>
      <c r="B752" s="16" t="s">
        <v>4675</v>
      </c>
      <c r="C752" s="16" t="s">
        <v>4675</v>
      </c>
      <c r="D752" s="16"/>
      <c r="E752" s="16" t="s">
        <v>8223</v>
      </c>
      <c r="F752" s="17" t="s">
        <v>8224</v>
      </c>
      <c r="G752" s="17" t="s">
        <v>8225</v>
      </c>
      <c r="H752" s="16" t="s">
        <v>3183</v>
      </c>
      <c r="I752" s="16" t="s">
        <v>3565</v>
      </c>
      <c r="J752" s="33">
        <v>43278</v>
      </c>
      <c r="K752" s="33">
        <v>43643</v>
      </c>
      <c r="L752" s="16" t="s">
        <v>66</v>
      </c>
      <c r="M752" s="16" t="s">
        <v>67</v>
      </c>
      <c r="N752" s="16" t="s">
        <v>68</v>
      </c>
      <c r="O752" s="16" t="s">
        <v>436</v>
      </c>
      <c r="P752" s="16" t="s">
        <v>572</v>
      </c>
      <c r="Q752" s="16" t="s">
        <v>71</v>
      </c>
      <c r="R752" s="17" t="s">
        <v>8226</v>
      </c>
      <c r="S752" s="16" t="s">
        <v>113</v>
      </c>
      <c r="T752" s="16" t="s">
        <v>74</v>
      </c>
      <c r="U752" s="16" t="s">
        <v>75</v>
      </c>
      <c r="V752" s="16" t="s">
        <v>8227</v>
      </c>
      <c r="W752" s="16"/>
      <c r="X752" s="16" t="s">
        <v>8228</v>
      </c>
      <c r="Y752" s="16" t="s">
        <v>78</v>
      </c>
      <c r="Z752" s="16" t="s">
        <v>117</v>
      </c>
      <c r="AA752" s="16" t="s">
        <v>113</v>
      </c>
      <c r="AB752" s="17" t="s">
        <v>8229</v>
      </c>
      <c r="AC752" s="16" t="s">
        <v>71</v>
      </c>
      <c r="AD752" s="17" t="s">
        <v>8229</v>
      </c>
      <c r="AE752" s="17" t="s">
        <v>8230</v>
      </c>
      <c r="AG752" s="16" t="s">
        <v>2297</v>
      </c>
      <c r="AH752" s="16" t="s">
        <v>4062</v>
      </c>
      <c r="AI752" s="16"/>
      <c r="AJ752" s="16"/>
      <c r="AK752" s="16"/>
      <c r="AL752" s="16" t="s">
        <v>8231</v>
      </c>
    </row>
    <row r="753" spans="1:38" x14ac:dyDescent="0.5">
      <c r="A753">
        <v>22462</v>
      </c>
      <c r="B753" s="16" t="s">
        <v>1377</v>
      </c>
      <c r="C753" s="16" t="s">
        <v>1377</v>
      </c>
      <c r="D753" s="16"/>
      <c r="E753" s="16" t="s">
        <v>8232</v>
      </c>
      <c r="F753" s="17" t="s">
        <v>8233</v>
      </c>
      <c r="H753" s="16" t="s">
        <v>3183</v>
      </c>
      <c r="I753" s="16" t="s">
        <v>8234</v>
      </c>
      <c r="J753" s="33">
        <v>43354</v>
      </c>
      <c r="K753" s="33">
        <v>43719</v>
      </c>
      <c r="L753" s="16" t="s">
        <v>66</v>
      </c>
      <c r="M753" s="16" t="s">
        <v>67</v>
      </c>
      <c r="N753" s="16" t="s">
        <v>68</v>
      </c>
      <c r="O753" s="16" t="s">
        <v>436</v>
      </c>
      <c r="P753" s="16" t="s">
        <v>572</v>
      </c>
      <c r="Q753" s="16" t="s">
        <v>71</v>
      </c>
      <c r="R753" s="17" t="s">
        <v>8235</v>
      </c>
      <c r="S753" s="16" t="s">
        <v>8236</v>
      </c>
      <c r="T753" s="16" t="s">
        <v>74</v>
      </c>
      <c r="U753" s="16" t="s">
        <v>75</v>
      </c>
      <c r="V753" s="16" t="s">
        <v>8237</v>
      </c>
      <c r="W753" s="16"/>
      <c r="X753" s="16" t="s">
        <v>8238</v>
      </c>
      <c r="Y753" s="16" t="s">
        <v>78</v>
      </c>
      <c r="Z753" s="16" t="s">
        <v>117</v>
      </c>
      <c r="AA753" s="16" t="s">
        <v>113</v>
      </c>
      <c r="AB753" s="17" t="s">
        <v>8239</v>
      </c>
      <c r="AC753" s="16" t="s">
        <v>71</v>
      </c>
      <c r="AD753" s="17" t="s">
        <v>8239</v>
      </c>
      <c r="AG753" s="16" t="s">
        <v>8240</v>
      </c>
      <c r="AH753" s="16" t="s">
        <v>1216</v>
      </c>
      <c r="AI753" s="16"/>
      <c r="AJ753" s="16"/>
      <c r="AK753" s="16"/>
      <c r="AL753" s="16" t="s">
        <v>8241</v>
      </c>
    </row>
    <row r="754" spans="1:38" x14ac:dyDescent="0.5">
      <c r="A754">
        <v>22463</v>
      </c>
      <c r="B754" s="16" t="s">
        <v>671</v>
      </c>
      <c r="C754" s="16" t="s">
        <v>671</v>
      </c>
      <c r="D754" s="16"/>
      <c r="E754" s="16" t="s">
        <v>8242</v>
      </c>
      <c r="F754" s="17" t="s">
        <v>8243</v>
      </c>
      <c r="H754" s="16" t="s">
        <v>8244</v>
      </c>
      <c r="I754" s="16" t="s">
        <v>8245</v>
      </c>
      <c r="J754" s="33">
        <v>43277</v>
      </c>
      <c r="K754" s="33">
        <v>43642</v>
      </c>
      <c r="L754" s="16" t="s">
        <v>66</v>
      </c>
      <c r="M754" s="16" t="s">
        <v>67</v>
      </c>
      <c r="N754" s="16" t="s">
        <v>68</v>
      </c>
      <c r="O754" s="16" t="s">
        <v>436</v>
      </c>
      <c r="P754" s="16" t="s">
        <v>572</v>
      </c>
      <c r="Q754" s="16" t="s">
        <v>71</v>
      </c>
      <c r="R754" s="17" t="s">
        <v>8246</v>
      </c>
      <c r="S754" s="16" t="s">
        <v>361</v>
      </c>
      <c r="T754" s="16" t="s">
        <v>74</v>
      </c>
      <c r="U754" s="16" t="s">
        <v>75</v>
      </c>
      <c r="V754" s="16" t="s">
        <v>8247</v>
      </c>
      <c r="W754" s="16"/>
      <c r="X754" s="16" t="s">
        <v>8248</v>
      </c>
      <c r="Y754" s="16" t="s">
        <v>78</v>
      </c>
      <c r="Z754" s="16" t="s">
        <v>599</v>
      </c>
      <c r="AA754" s="16" t="s">
        <v>600</v>
      </c>
      <c r="AB754" s="17" t="s">
        <v>8249</v>
      </c>
      <c r="AC754" s="16" t="s">
        <v>71</v>
      </c>
      <c r="AD754" s="17" t="s">
        <v>8249</v>
      </c>
      <c r="AG754" s="16" t="s">
        <v>1003</v>
      </c>
      <c r="AH754" s="16" t="s">
        <v>5165</v>
      </c>
      <c r="AI754" s="16" t="s">
        <v>4062</v>
      </c>
      <c r="AJ754" s="16"/>
      <c r="AK754" s="16"/>
      <c r="AL754" s="16" t="s">
        <v>8250</v>
      </c>
    </row>
    <row r="755" spans="1:38" x14ac:dyDescent="0.5">
      <c r="A755">
        <v>22464</v>
      </c>
      <c r="B755" s="16" t="s">
        <v>556</v>
      </c>
      <c r="C755" s="16" t="s">
        <v>556</v>
      </c>
      <c r="D755" s="16"/>
      <c r="E755" s="16" t="s">
        <v>8251</v>
      </c>
      <c r="F755" s="17" t="s">
        <v>8252</v>
      </c>
      <c r="H755" s="16" t="s">
        <v>8253</v>
      </c>
      <c r="I755" s="16" t="s">
        <v>8254</v>
      </c>
      <c r="J755" s="33">
        <v>43290</v>
      </c>
      <c r="K755" s="33">
        <v>43655</v>
      </c>
      <c r="L755" s="16" t="s">
        <v>66</v>
      </c>
      <c r="M755" s="16" t="s">
        <v>67</v>
      </c>
      <c r="N755" s="16"/>
      <c r="O755" s="16"/>
      <c r="P755" s="16"/>
      <c r="Q755" s="16" t="s">
        <v>71</v>
      </c>
      <c r="R755" s="17" t="s">
        <v>8255</v>
      </c>
      <c r="S755" s="16" t="s">
        <v>8256</v>
      </c>
      <c r="T755" s="16" t="s">
        <v>5133</v>
      </c>
      <c r="U755" s="16" t="s">
        <v>5134</v>
      </c>
      <c r="V755" s="16" t="s">
        <v>8257</v>
      </c>
      <c r="W755" s="16" t="s">
        <v>8258</v>
      </c>
      <c r="X755" s="16" t="s">
        <v>8259</v>
      </c>
      <c r="Y755" s="16" t="s">
        <v>1307</v>
      </c>
      <c r="Z755" s="16" t="s">
        <v>5132</v>
      </c>
      <c r="AA755" s="16"/>
      <c r="AB755" s="17" t="s">
        <v>8260</v>
      </c>
      <c r="AC755" s="16" t="s">
        <v>71</v>
      </c>
      <c r="AD755" s="17" t="s">
        <v>8260</v>
      </c>
      <c r="AG755" s="16" t="s">
        <v>5138</v>
      </c>
      <c r="AH755" s="16" t="s">
        <v>1345</v>
      </c>
      <c r="AI755" s="16"/>
      <c r="AJ755" s="16"/>
      <c r="AK755" s="16"/>
      <c r="AL755" s="16" t="s">
        <v>8261</v>
      </c>
    </row>
    <row r="756" spans="1:38" x14ac:dyDescent="0.5">
      <c r="A756">
        <v>22465</v>
      </c>
      <c r="B756" s="16" t="s">
        <v>8262</v>
      </c>
      <c r="C756" s="16" t="s">
        <v>8262</v>
      </c>
      <c r="D756" s="16"/>
      <c r="E756" s="16" t="s">
        <v>8263</v>
      </c>
      <c r="F756" s="17" t="s">
        <v>8264</v>
      </c>
      <c r="G756" s="17" t="s">
        <v>8265</v>
      </c>
      <c r="H756" s="16" t="s">
        <v>5693</v>
      </c>
      <c r="I756" s="16" t="s">
        <v>8266</v>
      </c>
      <c r="J756" s="33">
        <v>43298</v>
      </c>
      <c r="K756" s="33">
        <v>43663</v>
      </c>
      <c r="L756" s="16" t="s">
        <v>66</v>
      </c>
      <c r="M756" s="16" t="s">
        <v>67</v>
      </c>
      <c r="N756" s="16" t="s">
        <v>68</v>
      </c>
      <c r="O756" s="16" t="s">
        <v>436</v>
      </c>
      <c r="P756" s="16" t="s">
        <v>572</v>
      </c>
      <c r="Q756" s="16" t="s">
        <v>71</v>
      </c>
      <c r="R756" s="17" t="s">
        <v>8267</v>
      </c>
      <c r="S756" s="16" t="s">
        <v>8268</v>
      </c>
      <c r="T756" s="16" t="s">
        <v>74</v>
      </c>
      <c r="U756" s="16" t="s">
        <v>75</v>
      </c>
      <c r="V756" s="16" t="s">
        <v>8269</v>
      </c>
      <c r="W756" s="16"/>
      <c r="X756" s="16" t="s">
        <v>8270</v>
      </c>
      <c r="Y756" s="16" t="s">
        <v>78</v>
      </c>
      <c r="Z756" s="16" t="s">
        <v>1228</v>
      </c>
      <c r="AA756" s="16" t="s">
        <v>1229</v>
      </c>
      <c r="AB756" s="17" t="s">
        <v>8271</v>
      </c>
      <c r="AC756" s="16" t="s">
        <v>71</v>
      </c>
      <c r="AD756" s="17" t="s">
        <v>8271</v>
      </c>
      <c r="AF756" s="17" t="s">
        <v>8272</v>
      </c>
      <c r="AG756" s="16" t="s">
        <v>5213</v>
      </c>
      <c r="AH756" s="16" t="s">
        <v>5818</v>
      </c>
      <c r="AI756" s="16"/>
      <c r="AJ756" s="16"/>
      <c r="AK756" s="16"/>
      <c r="AL756" s="16" t="s">
        <v>8273</v>
      </c>
    </row>
    <row r="757" spans="1:38" x14ac:dyDescent="0.5">
      <c r="A757">
        <v>22466</v>
      </c>
      <c r="B757" s="16" t="s">
        <v>59</v>
      </c>
      <c r="C757" s="16" t="s">
        <v>59</v>
      </c>
      <c r="D757" s="16"/>
      <c r="E757" s="16" t="s">
        <v>8274</v>
      </c>
      <c r="F757" s="17" t="s">
        <v>8275</v>
      </c>
      <c r="G757" s="17" t="s">
        <v>8276</v>
      </c>
      <c r="H757" s="16" t="s">
        <v>8277</v>
      </c>
      <c r="I757" s="16" t="s">
        <v>8278</v>
      </c>
      <c r="J757" s="33">
        <v>43290</v>
      </c>
      <c r="K757" s="33">
        <v>43655</v>
      </c>
      <c r="L757" s="16" t="s">
        <v>66</v>
      </c>
      <c r="M757" s="16" t="s">
        <v>67</v>
      </c>
      <c r="N757" s="16" t="s">
        <v>68</v>
      </c>
      <c r="O757" s="16" t="s">
        <v>436</v>
      </c>
      <c r="P757" s="16" t="s">
        <v>572</v>
      </c>
      <c r="Q757" s="16" t="s">
        <v>71</v>
      </c>
      <c r="R757" s="17" t="s">
        <v>8279</v>
      </c>
      <c r="S757" s="16" t="s">
        <v>6937</v>
      </c>
      <c r="T757" s="16" t="s">
        <v>4146</v>
      </c>
      <c r="U757" s="16" t="s">
        <v>4147</v>
      </c>
      <c r="V757" s="16" t="s">
        <v>8280</v>
      </c>
      <c r="W757" s="16"/>
      <c r="X757" s="16" t="s">
        <v>8281</v>
      </c>
      <c r="Y757" s="16" t="s">
        <v>4151</v>
      </c>
      <c r="Z757" s="16"/>
      <c r="AA757" s="16"/>
      <c r="AB757" s="17" t="s">
        <v>8282</v>
      </c>
      <c r="AC757" s="16" t="s">
        <v>71</v>
      </c>
      <c r="AD757" s="17" t="s">
        <v>8282</v>
      </c>
      <c r="AE757" s="17" t="s">
        <v>8283</v>
      </c>
      <c r="AG757" s="16" t="s">
        <v>1345</v>
      </c>
      <c r="AH757" s="16" t="s">
        <v>6739</v>
      </c>
      <c r="AI757" s="16" t="s">
        <v>2297</v>
      </c>
      <c r="AJ757" s="16"/>
      <c r="AK757" s="16"/>
      <c r="AL757" s="16" t="s">
        <v>8284</v>
      </c>
    </row>
    <row r="758" spans="1:38" x14ac:dyDescent="0.5">
      <c r="A758">
        <v>22467</v>
      </c>
      <c r="B758" s="16" t="s">
        <v>8285</v>
      </c>
      <c r="C758" s="16" t="s">
        <v>8285</v>
      </c>
      <c r="D758" s="16"/>
      <c r="E758" s="16" t="s">
        <v>8286</v>
      </c>
      <c r="F758" s="17" t="s">
        <v>8287</v>
      </c>
      <c r="G758" s="17" t="s">
        <v>8288</v>
      </c>
      <c r="H758" s="16" t="s">
        <v>5980</v>
      </c>
      <c r="I758" s="16" t="s">
        <v>4135</v>
      </c>
      <c r="J758" s="33">
        <v>43284</v>
      </c>
      <c r="K758" s="33">
        <v>43649</v>
      </c>
      <c r="L758" s="16" t="s">
        <v>66</v>
      </c>
      <c r="M758" s="16" t="s">
        <v>67</v>
      </c>
      <c r="N758" s="16" t="s">
        <v>68</v>
      </c>
      <c r="O758" s="16" t="s">
        <v>436</v>
      </c>
      <c r="P758" s="16" t="s">
        <v>572</v>
      </c>
      <c r="Q758" s="16" t="s">
        <v>71</v>
      </c>
      <c r="R758" s="17" t="s">
        <v>8289</v>
      </c>
      <c r="S758" s="16" t="s">
        <v>8290</v>
      </c>
      <c r="T758" s="16" t="s">
        <v>2137</v>
      </c>
      <c r="U758" s="16" t="s">
        <v>2138</v>
      </c>
      <c r="V758" s="16" t="s">
        <v>8291</v>
      </c>
      <c r="W758" s="16"/>
      <c r="X758" s="16" t="s">
        <v>8292</v>
      </c>
      <c r="Y758" s="16" t="s">
        <v>744</v>
      </c>
      <c r="Z758" s="16"/>
      <c r="AA758" s="16"/>
      <c r="AB758" s="17" t="s">
        <v>8293</v>
      </c>
      <c r="AC758" s="16" t="s">
        <v>71</v>
      </c>
      <c r="AD758" s="17" t="s">
        <v>8293</v>
      </c>
      <c r="AG758" s="16" t="s">
        <v>3249</v>
      </c>
      <c r="AH758" s="16" t="s">
        <v>4194</v>
      </c>
      <c r="AI758" s="16"/>
      <c r="AJ758" s="16"/>
      <c r="AK758" s="16"/>
      <c r="AL758" s="16" t="s">
        <v>8294</v>
      </c>
    </row>
    <row r="759" spans="1:38" x14ac:dyDescent="0.5">
      <c r="A759">
        <v>22468</v>
      </c>
      <c r="B759" s="16" t="s">
        <v>5164</v>
      </c>
      <c r="C759" s="16" t="s">
        <v>8295</v>
      </c>
      <c r="D759" s="16"/>
      <c r="E759" s="16" t="s">
        <v>683</v>
      </c>
      <c r="F759" s="17" t="s">
        <v>8296</v>
      </c>
      <c r="H759" s="16" t="s">
        <v>6731</v>
      </c>
      <c r="I759" s="16" t="s">
        <v>8297</v>
      </c>
      <c r="J759" s="33">
        <v>43277</v>
      </c>
      <c r="K759" s="33">
        <v>43642</v>
      </c>
      <c r="L759" s="16" t="s">
        <v>66</v>
      </c>
      <c r="M759" s="16" t="s">
        <v>67</v>
      </c>
      <c r="N759" s="16" t="s">
        <v>68</v>
      </c>
      <c r="O759" s="16" t="s">
        <v>436</v>
      </c>
      <c r="P759" s="16" t="s">
        <v>572</v>
      </c>
      <c r="Q759" s="16" t="s">
        <v>71</v>
      </c>
      <c r="R759" s="17" t="s">
        <v>8298</v>
      </c>
      <c r="S759" s="16" t="s">
        <v>2415</v>
      </c>
      <c r="T759" s="16" t="s">
        <v>4146</v>
      </c>
      <c r="U759" s="16" t="s">
        <v>4147</v>
      </c>
      <c r="V759" s="16" t="s">
        <v>8299</v>
      </c>
      <c r="W759" s="16"/>
      <c r="X759" s="16" t="s">
        <v>8300</v>
      </c>
      <c r="Y759" s="16" t="s">
        <v>4151</v>
      </c>
      <c r="Z759" s="16"/>
      <c r="AA759" s="16"/>
      <c r="AB759" s="17" t="s">
        <v>8301</v>
      </c>
      <c r="AC759" s="16" t="s">
        <v>71</v>
      </c>
      <c r="AD759" s="17" t="s">
        <v>8301</v>
      </c>
      <c r="AG759" s="16" t="s">
        <v>6739</v>
      </c>
      <c r="AH759" s="16" t="s">
        <v>1345</v>
      </c>
      <c r="AI759" s="16"/>
      <c r="AJ759" s="16"/>
      <c r="AK759" s="16"/>
      <c r="AL759" s="16" t="s">
        <v>8302</v>
      </c>
    </row>
    <row r="760" spans="1:38" x14ac:dyDescent="0.5">
      <c r="A760">
        <v>22470</v>
      </c>
      <c r="B760" s="16" t="s">
        <v>1453</v>
      </c>
      <c r="C760" s="16" t="s">
        <v>1453</v>
      </c>
      <c r="D760" s="16"/>
      <c r="E760" s="16" t="s">
        <v>8303</v>
      </c>
      <c r="F760" s="17" t="s">
        <v>8304</v>
      </c>
      <c r="H760" s="16" t="s">
        <v>8305</v>
      </c>
      <c r="I760" s="16" t="s">
        <v>8306</v>
      </c>
      <c r="J760" s="33">
        <v>43277</v>
      </c>
      <c r="K760" s="33">
        <v>43642</v>
      </c>
      <c r="L760" s="16" t="s">
        <v>66</v>
      </c>
      <c r="M760" s="16" t="s">
        <v>67</v>
      </c>
      <c r="N760" s="16" t="s">
        <v>68</v>
      </c>
      <c r="O760" s="16" t="s">
        <v>436</v>
      </c>
      <c r="P760" s="16" t="s">
        <v>572</v>
      </c>
      <c r="Q760" s="16" t="s">
        <v>71</v>
      </c>
      <c r="R760" s="17" t="s">
        <v>8307</v>
      </c>
      <c r="S760" s="16" t="s">
        <v>113</v>
      </c>
      <c r="T760" s="16" t="s">
        <v>74</v>
      </c>
      <c r="U760" s="16" t="s">
        <v>75</v>
      </c>
      <c r="V760" s="16" t="s">
        <v>8308</v>
      </c>
      <c r="W760" s="16"/>
      <c r="X760" s="16" t="s">
        <v>8309</v>
      </c>
      <c r="Y760" s="16" t="s">
        <v>78</v>
      </c>
      <c r="Z760" s="16" t="s">
        <v>117</v>
      </c>
      <c r="AA760" s="16" t="s">
        <v>113</v>
      </c>
      <c r="AB760" s="17" t="s">
        <v>8310</v>
      </c>
      <c r="AC760" s="16" t="s">
        <v>71</v>
      </c>
      <c r="AD760" s="17" t="s">
        <v>8310</v>
      </c>
      <c r="AG760" s="16" t="s">
        <v>3302</v>
      </c>
      <c r="AH760" s="16" t="s">
        <v>653</v>
      </c>
      <c r="AI760" s="16"/>
      <c r="AJ760" s="16"/>
      <c r="AK760" s="16"/>
      <c r="AL760" s="16" t="s">
        <v>8311</v>
      </c>
    </row>
    <row r="761" spans="1:38" x14ac:dyDescent="0.5">
      <c r="A761">
        <v>22471</v>
      </c>
      <c r="B761" s="16" t="s">
        <v>804</v>
      </c>
      <c r="C761" s="16" t="s">
        <v>804</v>
      </c>
      <c r="D761" s="16"/>
      <c r="E761" s="16" t="s">
        <v>8312</v>
      </c>
      <c r="F761" s="17" t="s">
        <v>8313</v>
      </c>
      <c r="H761" s="16" t="s">
        <v>3140</v>
      </c>
      <c r="I761" s="16" t="s">
        <v>8314</v>
      </c>
      <c r="J761" s="33">
        <v>43343</v>
      </c>
      <c r="K761" s="33">
        <v>43708</v>
      </c>
      <c r="L761" s="16" t="s">
        <v>66</v>
      </c>
      <c r="M761" s="16" t="s">
        <v>67</v>
      </c>
      <c r="N761" s="16" t="s">
        <v>68</v>
      </c>
      <c r="O761" s="16" t="s">
        <v>436</v>
      </c>
      <c r="P761" s="16" t="s">
        <v>572</v>
      </c>
      <c r="Q761" s="16" t="s">
        <v>71</v>
      </c>
      <c r="R761" s="17" t="s">
        <v>8315</v>
      </c>
      <c r="S761" s="16" t="s">
        <v>459</v>
      </c>
      <c r="T761" s="16" t="s">
        <v>74</v>
      </c>
      <c r="U761" s="16" t="s">
        <v>75</v>
      </c>
      <c r="V761" s="16" t="s">
        <v>8316</v>
      </c>
      <c r="W761" s="16"/>
      <c r="X761" s="16" t="s">
        <v>8317</v>
      </c>
      <c r="Y761" s="16" t="s">
        <v>78</v>
      </c>
      <c r="Z761" s="16" t="s">
        <v>242</v>
      </c>
      <c r="AA761" s="16" t="s">
        <v>243</v>
      </c>
      <c r="AB761" s="17" t="s">
        <v>8318</v>
      </c>
      <c r="AC761" s="16" t="s">
        <v>71</v>
      </c>
      <c r="AD761" s="17" t="s">
        <v>8318</v>
      </c>
      <c r="AF761" s="17" t="s">
        <v>8319</v>
      </c>
      <c r="AG761" s="16" t="s">
        <v>4621</v>
      </c>
      <c r="AH761" s="16" t="s">
        <v>653</v>
      </c>
      <c r="AI761" s="16"/>
      <c r="AJ761" s="16"/>
      <c r="AK761" s="16"/>
      <c r="AL761" s="16" t="s">
        <v>8320</v>
      </c>
    </row>
    <row r="762" spans="1:38" x14ac:dyDescent="0.5">
      <c r="A762">
        <v>22472</v>
      </c>
      <c r="B762" s="16" t="s">
        <v>8321</v>
      </c>
      <c r="C762" s="16" t="s">
        <v>8321</v>
      </c>
      <c r="D762" s="16"/>
      <c r="E762" s="16" t="s">
        <v>8322</v>
      </c>
      <c r="F762" s="17" t="s">
        <v>8323</v>
      </c>
      <c r="H762" s="16"/>
      <c r="I762" s="16"/>
      <c r="J762" s="33">
        <v>43277</v>
      </c>
      <c r="K762" s="33">
        <v>43642</v>
      </c>
      <c r="L762" s="16" t="s">
        <v>66</v>
      </c>
      <c r="M762" s="16" t="s">
        <v>67</v>
      </c>
      <c r="N762" s="16" t="s">
        <v>68</v>
      </c>
      <c r="O762" s="16" t="s">
        <v>1082</v>
      </c>
      <c r="P762" s="16" t="s">
        <v>4047</v>
      </c>
      <c r="Q762" s="16" t="s">
        <v>71</v>
      </c>
      <c r="R762" s="17" t="s">
        <v>8324</v>
      </c>
      <c r="S762" s="16" t="s">
        <v>113</v>
      </c>
      <c r="T762" s="16" t="s">
        <v>74</v>
      </c>
      <c r="U762" s="16" t="s">
        <v>75</v>
      </c>
      <c r="V762" s="16" t="s">
        <v>8325</v>
      </c>
      <c r="W762" s="16"/>
      <c r="X762" s="16" t="s">
        <v>8326</v>
      </c>
      <c r="Y762" s="16" t="s">
        <v>78</v>
      </c>
      <c r="Z762" s="16" t="s">
        <v>117</v>
      </c>
      <c r="AA762" s="16" t="s">
        <v>113</v>
      </c>
      <c r="AB762" s="17" t="s">
        <v>8327</v>
      </c>
      <c r="AC762" s="16" t="s">
        <v>966</v>
      </c>
      <c r="AF762" s="17" t="s">
        <v>8327</v>
      </c>
      <c r="AG762" s="16" t="s">
        <v>8328</v>
      </c>
      <c r="AH762" s="16" t="s">
        <v>579</v>
      </c>
      <c r="AI762" s="16"/>
      <c r="AJ762" s="16"/>
      <c r="AK762" s="16"/>
      <c r="AL762" s="16" t="s">
        <v>8329</v>
      </c>
    </row>
    <row r="763" spans="1:38" x14ac:dyDescent="0.5">
      <c r="A763">
        <v>22473</v>
      </c>
      <c r="B763" s="16" t="s">
        <v>1490</v>
      </c>
      <c r="C763" s="16" t="s">
        <v>1490</v>
      </c>
      <c r="D763" s="16"/>
      <c r="E763" s="16" t="s">
        <v>8330</v>
      </c>
      <c r="F763" s="17" t="s">
        <v>8331</v>
      </c>
      <c r="H763" s="16" t="s">
        <v>4894</v>
      </c>
      <c r="I763" s="16" t="s">
        <v>8657</v>
      </c>
      <c r="J763" s="33">
        <v>43290</v>
      </c>
      <c r="K763" s="33">
        <v>43655</v>
      </c>
      <c r="L763" s="16" t="s">
        <v>66</v>
      </c>
      <c r="M763" s="16" t="s">
        <v>167</v>
      </c>
      <c r="N763" s="16" t="s">
        <v>110</v>
      </c>
      <c r="O763" s="16" t="s">
        <v>280</v>
      </c>
      <c r="P763" s="16" t="s">
        <v>572</v>
      </c>
      <c r="Q763" s="16" t="s">
        <v>71</v>
      </c>
      <c r="R763" s="17" t="s">
        <v>8332</v>
      </c>
      <c r="S763" s="16" t="s">
        <v>8333</v>
      </c>
      <c r="T763" s="16" t="s">
        <v>74</v>
      </c>
      <c r="U763" s="16" t="s">
        <v>75</v>
      </c>
      <c r="V763" s="16" t="s">
        <v>8334</v>
      </c>
      <c r="W763" s="16"/>
      <c r="X763" s="16" t="s">
        <v>8335</v>
      </c>
      <c r="Y763" s="16" t="s">
        <v>78</v>
      </c>
      <c r="Z763" s="16" t="s">
        <v>963</v>
      </c>
      <c r="AA763" s="16" t="s">
        <v>964</v>
      </c>
      <c r="AB763" s="17" t="s">
        <v>8336</v>
      </c>
      <c r="AC763" s="16" t="s">
        <v>71</v>
      </c>
      <c r="AD763" s="17" t="s">
        <v>8336</v>
      </c>
      <c r="AG763" s="16" t="s">
        <v>1003</v>
      </c>
      <c r="AH763" s="16" t="s">
        <v>3808</v>
      </c>
      <c r="AI763" s="16"/>
      <c r="AJ763" s="16"/>
      <c r="AK763" s="16"/>
      <c r="AL763" s="16" t="s">
        <v>8337</v>
      </c>
    </row>
    <row r="764" spans="1:38" x14ac:dyDescent="0.5">
      <c r="A764">
        <v>22474</v>
      </c>
      <c r="B764" s="16" t="s">
        <v>8338</v>
      </c>
      <c r="C764" s="16" t="s">
        <v>8338</v>
      </c>
      <c r="D764" s="16"/>
      <c r="E764" s="16" t="s">
        <v>8339</v>
      </c>
      <c r="F764" s="17" t="s">
        <v>8340</v>
      </c>
      <c r="H764" s="16" t="s">
        <v>699</v>
      </c>
      <c r="I764" s="16" t="s">
        <v>8341</v>
      </c>
      <c r="J764" s="33">
        <v>43290</v>
      </c>
      <c r="K764" s="33">
        <v>43655</v>
      </c>
      <c r="L764" s="16" t="s">
        <v>66</v>
      </c>
      <c r="M764" s="16" t="s">
        <v>167</v>
      </c>
      <c r="N764" s="16" t="s">
        <v>110</v>
      </c>
      <c r="O764" s="16" t="s">
        <v>280</v>
      </c>
      <c r="P764" s="16" t="s">
        <v>572</v>
      </c>
      <c r="Q764" s="16" t="s">
        <v>71</v>
      </c>
      <c r="R764" s="17" t="s">
        <v>8342</v>
      </c>
      <c r="S764" s="16" t="s">
        <v>8343</v>
      </c>
      <c r="T764" s="16" t="s">
        <v>2626</v>
      </c>
      <c r="U764" s="16" t="s">
        <v>2627</v>
      </c>
      <c r="V764" s="16" t="s">
        <v>8344</v>
      </c>
      <c r="W764" s="16" t="s">
        <v>8345</v>
      </c>
      <c r="X764" s="16"/>
      <c r="Y764" s="16" t="s">
        <v>2630</v>
      </c>
      <c r="Z764" s="16"/>
      <c r="AA764" s="16"/>
      <c r="AB764" s="17" t="s">
        <v>8346</v>
      </c>
      <c r="AC764" s="16" t="s">
        <v>71</v>
      </c>
      <c r="AD764" s="17" t="s">
        <v>8346</v>
      </c>
      <c r="AG764" s="16" t="s">
        <v>579</v>
      </c>
      <c r="AH764" s="16" t="s">
        <v>1345</v>
      </c>
      <c r="AI764" s="16"/>
      <c r="AJ764" s="16"/>
      <c r="AK764" s="16"/>
      <c r="AL764" s="16" t="s">
        <v>8347</v>
      </c>
    </row>
    <row r="765" spans="1:38" x14ac:dyDescent="0.5">
      <c r="A765">
        <v>22475</v>
      </c>
      <c r="B765" s="16" t="s">
        <v>8348</v>
      </c>
      <c r="C765" s="16" t="s">
        <v>8348</v>
      </c>
      <c r="D765" s="16" t="s">
        <v>794</v>
      </c>
      <c r="E765" s="16" t="s">
        <v>8349</v>
      </c>
      <c r="F765" s="17" t="s">
        <v>8350</v>
      </c>
      <c r="G765" s="17" t="s">
        <v>8351</v>
      </c>
      <c r="H765" s="16" t="s">
        <v>8352</v>
      </c>
      <c r="I765" s="16" t="s">
        <v>2268</v>
      </c>
      <c r="J765" s="33">
        <v>43292</v>
      </c>
      <c r="K765" s="33">
        <v>43657</v>
      </c>
      <c r="L765" s="16" t="s">
        <v>66</v>
      </c>
      <c r="M765" s="16" t="s">
        <v>90</v>
      </c>
      <c r="N765" s="16" t="s">
        <v>91</v>
      </c>
      <c r="O765" s="16" t="s">
        <v>91</v>
      </c>
      <c r="P765" s="16" t="s">
        <v>572</v>
      </c>
      <c r="Q765" s="16" t="s">
        <v>71</v>
      </c>
      <c r="R765" s="17" t="s">
        <v>8353</v>
      </c>
      <c r="S765" s="16" t="s">
        <v>8354</v>
      </c>
      <c r="T765" s="16" t="s">
        <v>74</v>
      </c>
      <c r="U765" s="16" t="s">
        <v>75</v>
      </c>
      <c r="V765" s="16" t="s">
        <v>8355</v>
      </c>
      <c r="W765" s="16" t="s">
        <v>8356</v>
      </c>
      <c r="X765" s="16" t="s">
        <v>8357</v>
      </c>
      <c r="Y765" s="16" t="s">
        <v>78</v>
      </c>
      <c r="Z765" s="16" t="s">
        <v>1055</v>
      </c>
      <c r="AA765" s="16" t="s">
        <v>1056</v>
      </c>
      <c r="AB765" s="17" t="s">
        <v>8358</v>
      </c>
      <c r="AC765" s="16" t="s">
        <v>71</v>
      </c>
      <c r="AD765" s="17" t="s">
        <v>8358</v>
      </c>
      <c r="AE765" s="17" t="s">
        <v>8359</v>
      </c>
      <c r="AG765" s="16" t="s">
        <v>8360</v>
      </c>
      <c r="AH765" s="16" t="s">
        <v>1285</v>
      </c>
      <c r="AI765" s="16"/>
      <c r="AJ765" s="16"/>
      <c r="AK765" s="16"/>
      <c r="AL765" s="16" t="s">
        <v>8361</v>
      </c>
    </row>
    <row r="766" spans="1:38" x14ac:dyDescent="0.5">
      <c r="A766">
        <v>22476</v>
      </c>
      <c r="B766" s="16" t="s">
        <v>340</v>
      </c>
      <c r="C766" s="16" t="s">
        <v>340</v>
      </c>
      <c r="D766" s="16"/>
      <c r="E766" s="16" t="s">
        <v>8362</v>
      </c>
      <c r="F766" s="17" t="s">
        <v>8363</v>
      </c>
      <c r="H766" s="16" t="s">
        <v>8364</v>
      </c>
      <c r="I766" s="16" t="s">
        <v>8365</v>
      </c>
      <c r="J766" s="33">
        <v>43284</v>
      </c>
      <c r="K766" s="33">
        <v>43649</v>
      </c>
      <c r="L766" s="16" t="s">
        <v>66</v>
      </c>
      <c r="M766" s="16" t="s">
        <v>90</v>
      </c>
      <c r="N766" s="16" t="s">
        <v>91</v>
      </c>
      <c r="O766" s="16" t="s">
        <v>91</v>
      </c>
      <c r="P766" s="16" t="s">
        <v>572</v>
      </c>
      <c r="Q766" s="16" t="s">
        <v>71</v>
      </c>
      <c r="R766" s="17" t="s">
        <v>8366</v>
      </c>
      <c r="S766" s="16" t="s">
        <v>8367</v>
      </c>
      <c r="T766" s="16" t="s">
        <v>74</v>
      </c>
      <c r="U766" s="16" t="s">
        <v>75</v>
      </c>
      <c r="V766" s="16" t="s">
        <v>8368</v>
      </c>
      <c r="W766" s="16" t="s">
        <v>8369</v>
      </c>
      <c r="X766" s="16" t="s">
        <v>8370</v>
      </c>
      <c r="Y766" s="16" t="s">
        <v>78</v>
      </c>
      <c r="Z766" s="16" t="s">
        <v>7271</v>
      </c>
      <c r="AA766" s="16" t="s">
        <v>7272</v>
      </c>
      <c r="AB766" s="17" t="s">
        <v>8371</v>
      </c>
      <c r="AC766" s="16" t="s">
        <v>71</v>
      </c>
      <c r="AD766" s="17" t="s">
        <v>8371</v>
      </c>
      <c r="AG766" s="16" t="s">
        <v>8372</v>
      </c>
      <c r="AH766" s="16" t="s">
        <v>3531</v>
      </c>
      <c r="AI766" s="16"/>
      <c r="AJ766" s="16"/>
      <c r="AK766" s="16"/>
      <c r="AL766" s="16" t="s">
        <v>8373</v>
      </c>
    </row>
    <row r="767" spans="1:38" x14ac:dyDescent="0.5">
      <c r="A767">
        <v>22477</v>
      </c>
      <c r="B767" s="16" t="s">
        <v>8374</v>
      </c>
      <c r="C767" s="16" t="s">
        <v>8374</v>
      </c>
      <c r="D767" s="16"/>
      <c r="E767" s="16" t="s">
        <v>8375</v>
      </c>
      <c r="F767" s="17" t="s">
        <v>8376</v>
      </c>
      <c r="G767" s="17" t="s">
        <v>8377</v>
      </c>
      <c r="H767" s="16" t="s">
        <v>993</v>
      </c>
      <c r="I767" s="16" t="s">
        <v>8378</v>
      </c>
      <c r="J767" s="33">
        <v>43336</v>
      </c>
      <c r="K767" s="33">
        <v>43701</v>
      </c>
      <c r="L767" s="16" t="s">
        <v>66</v>
      </c>
      <c r="M767" s="16" t="s">
        <v>90</v>
      </c>
      <c r="N767" s="16" t="s">
        <v>91</v>
      </c>
      <c r="O767" s="16" t="s">
        <v>91</v>
      </c>
      <c r="P767" s="16" t="s">
        <v>572</v>
      </c>
      <c r="Q767" s="16" t="s">
        <v>71</v>
      </c>
      <c r="R767" s="17" t="s">
        <v>8379</v>
      </c>
      <c r="S767" s="16" t="s">
        <v>8380</v>
      </c>
      <c r="T767" s="16" t="s">
        <v>74</v>
      </c>
      <c r="U767" s="16" t="s">
        <v>75</v>
      </c>
      <c r="V767" s="16" t="s">
        <v>8381</v>
      </c>
      <c r="W767" s="16" t="s">
        <v>8378</v>
      </c>
      <c r="X767" s="16" t="s">
        <v>8382</v>
      </c>
      <c r="Y767" s="16" t="s">
        <v>78</v>
      </c>
      <c r="Z767" s="16" t="s">
        <v>1025</v>
      </c>
      <c r="AA767" s="16" t="s">
        <v>1026</v>
      </c>
      <c r="AB767" s="17" t="s">
        <v>8383</v>
      </c>
      <c r="AC767" s="16" t="s">
        <v>71</v>
      </c>
      <c r="AD767" s="17" t="s">
        <v>8383</v>
      </c>
      <c r="AE767" s="17" t="s">
        <v>8384</v>
      </c>
      <c r="AG767" s="16" t="s">
        <v>8385</v>
      </c>
      <c r="AH767" s="16" t="s">
        <v>3530</v>
      </c>
      <c r="AI767" s="16"/>
      <c r="AJ767" s="16"/>
      <c r="AK767" s="16"/>
      <c r="AL767" s="16" t="s">
        <v>8386</v>
      </c>
    </row>
    <row r="768" spans="1:38" x14ac:dyDescent="0.5">
      <c r="A768">
        <v>22478</v>
      </c>
      <c r="B768" s="16" t="s">
        <v>8387</v>
      </c>
      <c r="C768" s="16" t="s">
        <v>8387</v>
      </c>
      <c r="D768" s="16"/>
      <c r="E768" s="16" t="s">
        <v>8388</v>
      </c>
      <c r="F768" s="17" t="s">
        <v>8389</v>
      </c>
      <c r="H768" s="16" t="s">
        <v>8390</v>
      </c>
      <c r="I768" s="16" t="s">
        <v>8391</v>
      </c>
      <c r="J768" s="33">
        <v>43325</v>
      </c>
      <c r="K768" s="33">
        <v>43690</v>
      </c>
      <c r="L768" s="16" t="s">
        <v>66</v>
      </c>
      <c r="M768" s="16" t="s">
        <v>235</v>
      </c>
      <c r="N768" s="16" t="s">
        <v>236</v>
      </c>
      <c r="O768" s="16" t="s">
        <v>237</v>
      </c>
      <c r="P768" s="16" t="s">
        <v>572</v>
      </c>
      <c r="Q768" s="16" t="s">
        <v>71</v>
      </c>
      <c r="R768" s="17" t="s">
        <v>8392</v>
      </c>
      <c r="S768" s="16" t="s">
        <v>7984</v>
      </c>
      <c r="T768" s="16" t="s">
        <v>74</v>
      </c>
      <c r="U768" s="16" t="s">
        <v>75</v>
      </c>
      <c r="V768" s="16" t="s">
        <v>8393</v>
      </c>
      <c r="W768" s="16"/>
      <c r="X768" s="16" t="s">
        <v>8394</v>
      </c>
      <c r="Y768" s="16" t="s">
        <v>78</v>
      </c>
      <c r="Z768" s="16" t="s">
        <v>392</v>
      </c>
      <c r="AA768" s="16" t="s">
        <v>393</v>
      </c>
      <c r="AB768" s="17" t="s">
        <v>8395</v>
      </c>
      <c r="AC768" s="16" t="s">
        <v>71</v>
      </c>
      <c r="AD768" s="17" t="s">
        <v>8395</v>
      </c>
      <c r="AF768" s="17" t="s">
        <v>8396</v>
      </c>
      <c r="AG768" s="16" t="s">
        <v>2346</v>
      </c>
      <c r="AH768" s="16" t="s">
        <v>8397</v>
      </c>
      <c r="AI768" s="16"/>
      <c r="AJ768" s="16"/>
      <c r="AK768" s="16"/>
      <c r="AL768" s="16" t="s">
        <v>8398</v>
      </c>
    </row>
    <row r="769" spans="1:38" x14ac:dyDescent="0.5">
      <c r="A769">
        <v>22479</v>
      </c>
      <c r="B769" s="16" t="s">
        <v>8399</v>
      </c>
      <c r="C769" s="16" t="s">
        <v>8399</v>
      </c>
      <c r="D769" s="16"/>
      <c r="E769" s="16" t="s">
        <v>4292</v>
      </c>
      <c r="F769" s="17" t="s">
        <v>8400</v>
      </c>
      <c r="G769" s="17" t="s">
        <v>8401</v>
      </c>
      <c r="H769" s="16" t="s">
        <v>8402</v>
      </c>
      <c r="I769" s="16" t="s">
        <v>8403</v>
      </c>
      <c r="J769" s="33">
        <v>43347</v>
      </c>
      <c r="K769" s="33">
        <v>43712</v>
      </c>
      <c r="L769" s="16" t="s">
        <v>66</v>
      </c>
      <c r="M769" s="16" t="s">
        <v>235</v>
      </c>
      <c r="N769" s="16" t="s">
        <v>236</v>
      </c>
      <c r="O769" s="16" t="s">
        <v>237</v>
      </c>
      <c r="P769" s="16" t="s">
        <v>572</v>
      </c>
      <c r="Q769" s="16" t="s">
        <v>71</v>
      </c>
      <c r="R769" s="17" t="s">
        <v>8404</v>
      </c>
      <c r="S769" s="16" t="s">
        <v>8405</v>
      </c>
      <c r="T769" s="16" t="s">
        <v>5184</v>
      </c>
      <c r="U769" s="16" t="s">
        <v>5185</v>
      </c>
      <c r="V769" s="16" t="s">
        <v>8406</v>
      </c>
      <c r="W769" s="16"/>
      <c r="X769" s="16" t="s">
        <v>8407</v>
      </c>
      <c r="Y769" s="16" t="s">
        <v>744</v>
      </c>
      <c r="Z769" s="16" t="s">
        <v>8408</v>
      </c>
      <c r="AA769" s="16"/>
      <c r="AB769" s="17" t="s">
        <v>8409</v>
      </c>
      <c r="AC769" s="16" t="s">
        <v>71</v>
      </c>
      <c r="AD769" s="17" t="s">
        <v>8409</v>
      </c>
      <c r="AE769" s="17" t="s">
        <v>8410</v>
      </c>
      <c r="AG769" s="16" t="s">
        <v>8075</v>
      </c>
      <c r="AH769" s="16" t="s">
        <v>8076</v>
      </c>
      <c r="AI769" s="16"/>
      <c r="AJ769" s="16"/>
      <c r="AK769" s="16"/>
      <c r="AL769" s="16"/>
    </row>
    <row r="770" spans="1:38" x14ac:dyDescent="0.5">
      <c r="A770">
        <v>22510</v>
      </c>
      <c r="B770" s="16" t="s">
        <v>8411</v>
      </c>
      <c r="C770" s="16" t="s">
        <v>8411</v>
      </c>
      <c r="D770" s="16" t="s">
        <v>8412</v>
      </c>
      <c r="E770" s="16" t="s">
        <v>8413</v>
      </c>
      <c r="F770" s="17" t="s">
        <v>8414</v>
      </c>
      <c r="G770" s="17" t="s">
        <v>8415</v>
      </c>
      <c r="H770" s="16" t="s">
        <v>8416</v>
      </c>
      <c r="I770" s="16" t="s">
        <v>8658</v>
      </c>
      <c r="J770" s="33">
        <v>43334</v>
      </c>
      <c r="K770" s="33">
        <v>43699</v>
      </c>
      <c r="L770" s="16" t="s">
        <v>66</v>
      </c>
      <c r="M770" s="16" t="s">
        <v>67</v>
      </c>
      <c r="N770" s="16" t="s">
        <v>68</v>
      </c>
      <c r="O770" s="16" t="s">
        <v>436</v>
      </c>
      <c r="P770" s="16" t="s">
        <v>572</v>
      </c>
      <c r="Q770" s="16" t="s">
        <v>71</v>
      </c>
      <c r="R770" s="17" t="s">
        <v>8417</v>
      </c>
      <c r="S770" s="16" t="s">
        <v>3056</v>
      </c>
      <c r="T770" s="16" t="s">
        <v>74</v>
      </c>
      <c r="U770" s="16" t="s">
        <v>75</v>
      </c>
      <c r="V770" s="16" t="s">
        <v>8418</v>
      </c>
      <c r="W770" s="16"/>
      <c r="X770" s="16" t="s">
        <v>8419</v>
      </c>
      <c r="Y770" s="16" t="s">
        <v>78</v>
      </c>
      <c r="Z770" s="16" t="s">
        <v>492</v>
      </c>
      <c r="AA770" s="16" t="s">
        <v>493</v>
      </c>
      <c r="AB770" s="17" t="s">
        <v>8420</v>
      </c>
      <c r="AC770" s="16" t="s">
        <v>71</v>
      </c>
      <c r="AD770" s="17" t="s">
        <v>8420</v>
      </c>
      <c r="AF770" s="17" t="s">
        <v>8421</v>
      </c>
      <c r="AG770" s="16" t="s">
        <v>1884</v>
      </c>
      <c r="AH770" s="16" t="s">
        <v>4041</v>
      </c>
      <c r="AI770" s="16" t="s">
        <v>8422</v>
      </c>
      <c r="AJ770" s="16"/>
      <c r="AK770" s="16"/>
      <c r="AL770" s="16" t="s">
        <v>8423</v>
      </c>
    </row>
    <row r="771" spans="1:38" x14ac:dyDescent="0.5">
      <c r="A771">
        <v>22511</v>
      </c>
      <c r="B771" s="16" t="s">
        <v>8424</v>
      </c>
      <c r="C771" s="16" t="s">
        <v>8424</v>
      </c>
      <c r="D771" s="16"/>
      <c r="E771" s="16" t="s">
        <v>8425</v>
      </c>
      <c r="F771" s="17" t="s">
        <v>8426</v>
      </c>
      <c r="H771" s="16" t="s">
        <v>2328</v>
      </c>
      <c r="I771" s="16" t="s">
        <v>8427</v>
      </c>
      <c r="J771" s="33">
        <v>43335</v>
      </c>
      <c r="K771" s="33">
        <v>43700</v>
      </c>
      <c r="L771" s="16" t="s">
        <v>66</v>
      </c>
      <c r="M771" s="16" t="s">
        <v>235</v>
      </c>
      <c r="N771" s="16" t="s">
        <v>236</v>
      </c>
      <c r="O771" s="16" t="s">
        <v>237</v>
      </c>
      <c r="P771" s="16" t="s">
        <v>572</v>
      </c>
      <c r="Q771" s="16" t="s">
        <v>71</v>
      </c>
      <c r="R771" s="17" t="s">
        <v>8428</v>
      </c>
      <c r="S771" s="16" t="s">
        <v>113</v>
      </c>
      <c r="T771" s="16" t="s">
        <v>74</v>
      </c>
      <c r="U771" s="16" t="s">
        <v>75</v>
      </c>
      <c r="V771" s="16" t="s">
        <v>8429</v>
      </c>
      <c r="W771" s="16"/>
      <c r="X771" s="16" t="s">
        <v>8430</v>
      </c>
      <c r="Y771" s="16" t="s">
        <v>78</v>
      </c>
      <c r="Z771" s="16" t="s">
        <v>117</v>
      </c>
      <c r="AA771" s="16" t="s">
        <v>113</v>
      </c>
      <c r="AB771" s="17" t="s">
        <v>8431</v>
      </c>
      <c r="AC771" s="16" t="s">
        <v>71</v>
      </c>
      <c r="AD771" s="17" t="s">
        <v>8431</v>
      </c>
      <c r="AG771" s="16" t="s">
        <v>7911</v>
      </c>
      <c r="AH771" s="16" t="s">
        <v>1731</v>
      </c>
      <c r="AI771" s="16"/>
      <c r="AJ771" s="16"/>
      <c r="AK771" s="16"/>
      <c r="AL771" s="16" t="s">
        <v>8432</v>
      </c>
    </row>
    <row r="772" spans="1:38" x14ac:dyDescent="0.5">
      <c r="A772">
        <v>22512</v>
      </c>
      <c r="B772" s="16" t="s">
        <v>6416</v>
      </c>
      <c r="C772" s="16" t="s">
        <v>6416</v>
      </c>
      <c r="D772" s="16"/>
      <c r="E772" s="16" t="s">
        <v>8433</v>
      </c>
      <c r="F772" s="17" t="s">
        <v>8434</v>
      </c>
      <c r="H772" s="16" t="s">
        <v>456</v>
      </c>
      <c r="I772" s="16" t="s">
        <v>4413</v>
      </c>
      <c r="J772" s="33">
        <v>43347</v>
      </c>
      <c r="K772" s="33">
        <v>43712</v>
      </c>
      <c r="L772" s="16" t="s">
        <v>66</v>
      </c>
      <c r="M772" s="16" t="s">
        <v>67</v>
      </c>
      <c r="N772" s="16" t="s">
        <v>68</v>
      </c>
      <c r="O772" s="16" t="s">
        <v>436</v>
      </c>
      <c r="P772" s="16" t="s">
        <v>572</v>
      </c>
      <c r="Q772" s="16" t="s">
        <v>71</v>
      </c>
      <c r="R772" s="17" t="s">
        <v>4414</v>
      </c>
      <c r="S772" s="16" t="s">
        <v>4415</v>
      </c>
      <c r="T772" s="16" t="s">
        <v>74</v>
      </c>
      <c r="U772" s="16" t="s">
        <v>75</v>
      </c>
      <c r="V772" s="16" t="s">
        <v>4416</v>
      </c>
      <c r="W772" s="16"/>
      <c r="X772" s="16" t="s">
        <v>4417</v>
      </c>
      <c r="Y772" s="16" t="s">
        <v>78</v>
      </c>
      <c r="Z772" s="16" t="s">
        <v>79</v>
      </c>
      <c r="AA772" s="16" t="s">
        <v>80</v>
      </c>
      <c r="AB772" s="17" t="s">
        <v>8435</v>
      </c>
      <c r="AC772" s="16" t="s">
        <v>71</v>
      </c>
      <c r="AD772" s="17" t="s">
        <v>8435</v>
      </c>
      <c r="AE772" s="17" t="s">
        <v>8436</v>
      </c>
      <c r="AG772" s="16" t="s">
        <v>2297</v>
      </c>
      <c r="AH772" s="16" t="s">
        <v>579</v>
      </c>
      <c r="AI772" s="16"/>
      <c r="AJ772" s="16"/>
      <c r="AK772" s="16"/>
      <c r="AL772" s="16" t="s">
        <v>8437</v>
      </c>
    </row>
    <row r="773" spans="1:38" x14ac:dyDescent="0.5">
      <c r="A773">
        <v>22514</v>
      </c>
      <c r="B773" s="16" t="s">
        <v>8659</v>
      </c>
      <c r="C773" s="16" t="s">
        <v>8659</v>
      </c>
      <c r="D773" s="16"/>
      <c r="E773" s="16" t="s">
        <v>2658</v>
      </c>
      <c r="F773" s="17" t="s">
        <v>8660</v>
      </c>
      <c r="H773" s="16" t="s">
        <v>7170</v>
      </c>
      <c r="I773" s="16" t="s">
        <v>8661</v>
      </c>
      <c r="J773" s="33">
        <v>43360</v>
      </c>
      <c r="K773" s="33">
        <v>43725</v>
      </c>
      <c r="L773" s="16" t="s">
        <v>66</v>
      </c>
      <c r="M773" s="16" t="s">
        <v>67</v>
      </c>
      <c r="N773" s="16" t="s">
        <v>68</v>
      </c>
      <c r="O773" s="16" t="s">
        <v>436</v>
      </c>
      <c r="P773" s="16" t="s">
        <v>572</v>
      </c>
      <c r="Q773" s="16" t="s">
        <v>71</v>
      </c>
      <c r="R773" s="17" t="s">
        <v>8662</v>
      </c>
      <c r="S773" s="16" t="s">
        <v>7886</v>
      </c>
      <c r="T773" s="16" t="s">
        <v>4146</v>
      </c>
      <c r="U773" s="16" t="s">
        <v>4147</v>
      </c>
      <c r="V773" s="16" t="s">
        <v>8663</v>
      </c>
      <c r="W773" s="16"/>
      <c r="X773" s="16" t="s">
        <v>7318</v>
      </c>
      <c r="Y773" s="16" t="s">
        <v>4151</v>
      </c>
      <c r="Z773" s="16" t="s">
        <v>7306</v>
      </c>
      <c r="AA773" s="16"/>
      <c r="AB773" s="17" t="s">
        <v>8664</v>
      </c>
      <c r="AC773" s="16" t="s">
        <v>71</v>
      </c>
      <c r="AD773" s="17" t="s">
        <v>8664</v>
      </c>
      <c r="AG773" s="16" t="s">
        <v>8665</v>
      </c>
      <c r="AH773" s="16" t="s">
        <v>7320</v>
      </c>
      <c r="AI773" s="16"/>
      <c r="AJ773" s="16"/>
      <c r="AK773" s="16"/>
      <c r="AL773" s="16" t="s">
        <v>7890</v>
      </c>
    </row>
    <row r="774" spans="1:38" x14ac:dyDescent="0.5">
      <c r="A774">
        <v>22515</v>
      </c>
      <c r="B774" s="16" t="s">
        <v>1585</v>
      </c>
      <c r="C774" s="16" t="s">
        <v>8438</v>
      </c>
      <c r="D774" s="16"/>
      <c r="E774" s="16" t="s">
        <v>8439</v>
      </c>
      <c r="F774" s="17" t="s">
        <v>8440</v>
      </c>
      <c r="G774" s="17" t="s">
        <v>8441</v>
      </c>
      <c r="H774" s="16" t="s">
        <v>8442</v>
      </c>
      <c r="I774" s="16" t="s">
        <v>8443</v>
      </c>
      <c r="J774" s="33">
        <v>43336</v>
      </c>
      <c r="K774" s="33">
        <v>43701</v>
      </c>
      <c r="L774" s="16" t="s">
        <v>66</v>
      </c>
      <c r="M774" s="16" t="s">
        <v>67</v>
      </c>
      <c r="N774" s="16" t="s">
        <v>68</v>
      </c>
      <c r="O774" s="16" t="s">
        <v>436</v>
      </c>
      <c r="P774" s="16" t="s">
        <v>572</v>
      </c>
      <c r="Q774" s="16" t="s">
        <v>71</v>
      </c>
      <c r="R774" s="17" t="s">
        <v>8444</v>
      </c>
      <c r="S774" s="16" t="s">
        <v>5520</v>
      </c>
      <c r="T774" s="16" t="s">
        <v>74</v>
      </c>
      <c r="U774" s="16" t="s">
        <v>75</v>
      </c>
      <c r="V774" s="16" t="s">
        <v>8445</v>
      </c>
      <c r="W774" s="16"/>
      <c r="X774" s="16" t="s">
        <v>8446</v>
      </c>
      <c r="Y774" s="16" t="s">
        <v>78</v>
      </c>
      <c r="Z774" s="16" t="s">
        <v>963</v>
      </c>
      <c r="AA774" s="16" t="s">
        <v>964</v>
      </c>
      <c r="AB774" s="17" t="s">
        <v>8447</v>
      </c>
      <c r="AC774" s="16" t="s">
        <v>71</v>
      </c>
      <c r="AD774" s="17" t="s">
        <v>8447</v>
      </c>
      <c r="AF774" s="17" t="s">
        <v>8448</v>
      </c>
      <c r="AG774" s="16" t="s">
        <v>8449</v>
      </c>
      <c r="AH774" s="16" t="s">
        <v>1285</v>
      </c>
      <c r="AI774" s="16"/>
      <c r="AJ774" s="16"/>
      <c r="AK774" s="16"/>
      <c r="AL774" s="16" t="s">
        <v>8450</v>
      </c>
    </row>
    <row r="775" spans="1:38" x14ac:dyDescent="0.5">
      <c r="A775">
        <v>22524</v>
      </c>
      <c r="B775" s="16" t="s">
        <v>8666</v>
      </c>
      <c r="C775" s="16" t="s">
        <v>8667</v>
      </c>
      <c r="D775" s="16" t="s">
        <v>581</v>
      </c>
      <c r="E775" s="16" t="s">
        <v>8668</v>
      </c>
      <c r="F775" s="17" t="s">
        <v>8669</v>
      </c>
      <c r="H775" s="16" t="s">
        <v>6719</v>
      </c>
      <c r="I775" s="16" t="s">
        <v>8670</v>
      </c>
      <c r="J775" s="33">
        <v>43360</v>
      </c>
      <c r="K775" s="33">
        <v>43725</v>
      </c>
      <c r="L775" s="16" t="s">
        <v>66</v>
      </c>
      <c r="M775" s="16" t="s">
        <v>67</v>
      </c>
      <c r="N775" s="16" t="s">
        <v>68</v>
      </c>
      <c r="O775" s="16" t="s">
        <v>436</v>
      </c>
      <c r="P775" s="16" t="s">
        <v>572</v>
      </c>
      <c r="Q775" s="16" t="s">
        <v>71</v>
      </c>
      <c r="R775" s="17" t="s">
        <v>8671</v>
      </c>
      <c r="S775" s="16" t="s">
        <v>373</v>
      </c>
      <c r="T775" s="16" t="s">
        <v>74</v>
      </c>
      <c r="U775" s="16" t="s">
        <v>75</v>
      </c>
      <c r="V775" s="16" t="s">
        <v>8672</v>
      </c>
      <c r="W775" s="16"/>
      <c r="X775" s="16" t="s">
        <v>8673</v>
      </c>
      <c r="Y775" s="16" t="s">
        <v>78</v>
      </c>
      <c r="Z775" s="16" t="s">
        <v>376</v>
      </c>
      <c r="AA775" s="16" t="s">
        <v>377</v>
      </c>
      <c r="AB775" s="17" t="s">
        <v>8674</v>
      </c>
      <c r="AC775" s="16" t="s">
        <v>71</v>
      </c>
      <c r="AD775" s="17" t="s">
        <v>8674</v>
      </c>
      <c r="AG775" s="16" t="s">
        <v>4062</v>
      </c>
      <c r="AH775" s="16" t="s">
        <v>3939</v>
      </c>
      <c r="AI775" s="16"/>
      <c r="AJ775" s="16"/>
      <c r="AK775" s="16"/>
      <c r="AL775" s="16" t="s">
        <v>8675</v>
      </c>
    </row>
    <row r="776" spans="1:38" x14ac:dyDescent="0.5">
      <c r="A776">
        <v>22526</v>
      </c>
      <c r="B776" s="16" t="s">
        <v>851</v>
      </c>
      <c r="C776" s="16" t="s">
        <v>851</v>
      </c>
      <c r="D776" s="16"/>
      <c r="E776" s="16" t="s">
        <v>8451</v>
      </c>
      <c r="F776" s="17" t="s">
        <v>8452</v>
      </c>
      <c r="G776" s="17" t="s">
        <v>8453</v>
      </c>
      <c r="H776" s="16" t="s">
        <v>8454</v>
      </c>
      <c r="I776" s="16" t="s">
        <v>8455</v>
      </c>
      <c r="J776" s="33">
        <v>43336</v>
      </c>
      <c r="K776" s="33">
        <v>43701</v>
      </c>
      <c r="L776" s="16" t="s">
        <v>66</v>
      </c>
      <c r="M776" s="16" t="s">
        <v>235</v>
      </c>
      <c r="N776" s="16" t="s">
        <v>236</v>
      </c>
      <c r="O776" s="16" t="s">
        <v>237</v>
      </c>
      <c r="P776" s="16" t="s">
        <v>572</v>
      </c>
      <c r="Q776" s="16" t="s">
        <v>71</v>
      </c>
      <c r="R776" s="17" t="s">
        <v>8456</v>
      </c>
      <c r="S776" s="16" t="s">
        <v>222</v>
      </c>
      <c r="T776" s="16" t="s">
        <v>74</v>
      </c>
      <c r="U776" s="16" t="s">
        <v>75</v>
      </c>
      <c r="V776" s="16" t="s">
        <v>8457</v>
      </c>
      <c r="W776" s="16"/>
      <c r="X776" s="16" t="s">
        <v>8458</v>
      </c>
      <c r="Y776" s="16" t="s">
        <v>78</v>
      </c>
      <c r="Z776" s="16" t="s">
        <v>189</v>
      </c>
      <c r="AA776" s="16" t="s">
        <v>190</v>
      </c>
      <c r="AB776" s="17" t="s">
        <v>8459</v>
      </c>
      <c r="AC776" s="16" t="s">
        <v>71</v>
      </c>
      <c r="AD776" s="17" t="s">
        <v>8459</v>
      </c>
      <c r="AF776" s="17" t="s">
        <v>8460</v>
      </c>
      <c r="AG776" s="16" t="s">
        <v>1345</v>
      </c>
      <c r="AH776" s="16" t="s">
        <v>1076</v>
      </c>
      <c r="AI776" s="16"/>
      <c r="AJ776" s="16"/>
      <c r="AK776" s="16"/>
      <c r="AL776" s="16" t="s">
        <v>8461</v>
      </c>
    </row>
    <row r="777" spans="1:38" x14ac:dyDescent="0.5">
      <c r="A777">
        <v>22527</v>
      </c>
      <c r="B777" s="16" t="s">
        <v>84</v>
      </c>
      <c r="C777" s="16" t="s">
        <v>84</v>
      </c>
      <c r="D777" s="16"/>
      <c r="E777" s="16" t="s">
        <v>2146</v>
      </c>
      <c r="F777" s="17" t="s">
        <v>8462</v>
      </c>
      <c r="H777" s="16" t="s">
        <v>8463</v>
      </c>
      <c r="I777" s="16" t="s">
        <v>371</v>
      </c>
      <c r="J777" s="33">
        <v>43336</v>
      </c>
      <c r="K777" s="33">
        <v>43701</v>
      </c>
      <c r="L777" s="16" t="s">
        <v>66</v>
      </c>
      <c r="M777" s="16" t="s">
        <v>235</v>
      </c>
      <c r="N777" s="16" t="s">
        <v>236</v>
      </c>
      <c r="O777" s="16" t="s">
        <v>237</v>
      </c>
      <c r="P777" s="16" t="s">
        <v>572</v>
      </c>
      <c r="Q777" s="16" t="s">
        <v>71</v>
      </c>
      <c r="R777" s="17" t="s">
        <v>8464</v>
      </c>
      <c r="S777" s="16" t="s">
        <v>6020</v>
      </c>
      <c r="T777" s="16" t="s">
        <v>74</v>
      </c>
      <c r="U777" s="16" t="s">
        <v>75</v>
      </c>
      <c r="V777" s="16" t="s">
        <v>8465</v>
      </c>
      <c r="W777" s="16" t="s">
        <v>371</v>
      </c>
      <c r="X777" s="16" t="s">
        <v>8466</v>
      </c>
      <c r="Y777" s="16" t="s">
        <v>78</v>
      </c>
      <c r="Z777" s="16" t="s">
        <v>376</v>
      </c>
      <c r="AA777" s="16" t="s">
        <v>377</v>
      </c>
      <c r="AB777" s="17" t="s">
        <v>8467</v>
      </c>
      <c r="AC777" s="16" t="s">
        <v>71</v>
      </c>
      <c r="AD777" s="17" t="s">
        <v>8467</v>
      </c>
      <c r="AG777" s="16" t="s">
        <v>3530</v>
      </c>
      <c r="AH777" s="16" t="s">
        <v>8468</v>
      </c>
      <c r="AI777" s="16"/>
      <c r="AJ777" s="16"/>
      <c r="AK777" s="16"/>
      <c r="AL777" s="16" t="s">
        <v>8469</v>
      </c>
    </row>
    <row r="778" spans="1:38" x14ac:dyDescent="0.5">
      <c r="A778">
        <v>22528</v>
      </c>
      <c r="B778" s="16" t="s">
        <v>8470</v>
      </c>
      <c r="C778" s="16" t="s">
        <v>8471</v>
      </c>
      <c r="D778" s="16"/>
      <c r="E778" s="16" t="s">
        <v>8472</v>
      </c>
      <c r="F778" s="17" t="s">
        <v>8473</v>
      </c>
      <c r="G778" s="17" t="s">
        <v>8474</v>
      </c>
      <c r="H778" s="16" t="s">
        <v>8475</v>
      </c>
      <c r="I778" s="16" t="s">
        <v>8476</v>
      </c>
      <c r="J778" s="33">
        <v>43334</v>
      </c>
      <c r="K778" s="33">
        <v>43699</v>
      </c>
      <c r="L778" s="16" t="s">
        <v>66</v>
      </c>
      <c r="M778" s="16" t="s">
        <v>67</v>
      </c>
      <c r="N778" s="16" t="s">
        <v>68</v>
      </c>
      <c r="O778" s="16" t="s">
        <v>436</v>
      </c>
      <c r="P778" s="16" t="s">
        <v>572</v>
      </c>
      <c r="Q778" s="16" t="s">
        <v>71</v>
      </c>
      <c r="R778" s="17" t="s">
        <v>8477</v>
      </c>
      <c r="S778" s="16" t="s">
        <v>6937</v>
      </c>
      <c r="T778" s="16" t="s">
        <v>4146</v>
      </c>
      <c r="U778" s="16" t="s">
        <v>4147</v>
      </c>
      <c r="V778" s="16" t="s">
        <v>8478</v>
      </c>
      <c r="W778" s="16"/>
      <c r="X778" s="16" t="s">
        <v>6736</v>
      </c>
      <c r="Y778" s="16" t="s">
        <v>4151</v>
      </c>
      <c r="Z778" s="16" t="s">
        <v>6392</v>
      </c>
      <c r="AA778" s="16"/>
      <c r="AB778" s="17" t="s">
        <v>8479</v>
      </c>
      <c r="AC778" s="16" t="s">
        <v>966</v>
      </c>
      <c r="AD778" s="17" t="s">
        <v>8480</v>
      </c>
      <c r="AF778" s="17" t="s">
        <v>8479</v>
      </c>
      <c r="AG778" s="16" t="s">
        <v>7320</v>
      </c>
      <c r="AH778" s="16" t="s">
        <v>1345</v>
      </c>
      <c r="AI778" s="16"/>
      <c r="AJ778" s="16"/>
      <c r="AK778" s="16"/>
      <c r="AL778" s="16" t="s">
        <v>8481</v>
      </c>
    </row>
    <row r="779" spans="1:38" x14ac:dyDescent="0.5">
      <c r="A779">
        <v>22530</v>
      </c>
      <c r="B779" s="16" t="s">
        <v>8482</v>
      </c>
      <c r="C779" s="16" t="s">
        <v>8482</v>
      </c>
      <c r="D779" s="16"/>
      <c r="E779" s="16" t="s">
        <v>8483</v>
      </c>
      <c r="F779" s="17" t="s">
        <v>8484</v>
      </c>
      <c r="H779" s="16" t="s">
        <v>5582</v>
      </c>
      <c r="I779" s="16" t="s">
        <v>8485</v>
      </c>
      <c r="J779" s="33">
        <v>43334</v>
      </c>
      <c r="K779" s="33">
        <v>43699</v>
      </c>
      <c r="L779" s="16" t="s">
        <v>66</v>
      </c>
      <c r="M779" s="16" t="s">
        <v>67</v>
      </c>
      <c r="N779" s="16" t="s">
        <v>68</v>
      </c>
      <c r="O779" s="16" t="s">
        <v>436</v>
      </c>
      <c r="P779" s="16" t="s">
        <v>572</v>
      </c>
      <c r="Q779" s="16" t="s">
        <v>71</v>
      </c>
      <c r="R779" s="17" t="s">
        <v>8486</v>
      </c>
      <c r="S779" s="16" t="s">
        <v>8487</v>
      </c>
      <c r="T779" s="16" t="s">
        <v>2137</v>
      </c>
      <c r="U779" s="16" t="s">
        <v>2138</v>
      </c>
      <c r="V779" s="16" t="s">
        <v>8488</v>
      </c>
      <c r="W779" s="16"/>
      <c r="X779" s="16" t="s">
        <v>8489</v>
      </c>
      <c r="Y779" s="16" t="s">
        <v>744</v>
      </c>
      <c r="Z779" s="16" t="s">
        <v>8487</v>
      </c>
      <c r="AA779" s="16"/>
      <c r="AB779" s="17" t="s">
        <v>8490</v>
      </c>
      <c r="AC779" s="16" t="s">
        <v>71</v>
      </c>
      <c r="AD779" s="17" t="s">
        <v>8490</v>
      </c>
      <c r="AF779" s="17" t="s">
        <v>8491</v>
      </c>
      <c r="AG779" s="16" t="s">
        <v>8492</v>
      </c>
      <c r="AH779" s="16" t="s">
        <v>1345</v>
      </c>
      <c r="AI779" s="16"/>
      <c r="AJ779" s="16"/>
      <c r="AK779" s="16"/>
      <c r="AL779" s="16" t="s">
        <v>8493</v>
      </c>
    </row>
    <row r="780" spans="1:38" x14ac:dyDescent="0.5">
      <c r="A780">
        <v>22533</v>
      </c>
      <c r="B780" s="16" t="s">
        <v>5031</v>
      </c>
      <c r="C780" s="16" t="s">
        <v>5031</v>
      </c>
      <c r="D780" s="16"/>
      <c r="E780" s="16" t="s">
        <v>722</v>
      </c>
      <c r="F780" s="17" t="s">
        <v>8494</v>
      </c>
      <c r="G780" s="17" t="s">
        <v>8495</v>
      </c>
      <c r="H780" s="16" t="s">
        <v>8496</v>
      </c>
      <c r="I780" s="16" t="s">
        <v>8497</v>
      </c>
      <c r="J780" s="33">
        <v>43334</v>
      </c>
      <c r="K780" s="33">
        <v>43699</v>
      </c>
      <c r="L780" s="16" t="s">
        <v>66</v>
      </c>
      <c r="M780" s="16" t="s">
        <v>67</v>
      </c>
      <c r="N780" s="16" t="s">
        <v>68</v>
      </c>
      <c r="O780" s="16" t="s">
        <v>436</v>
      </c>
      <c r="P780" s="16" t="s">
        <v>572</v>
      </c>
      <c r="Q780" s="16" t="s">
        <v>71</v>
      </c>
      <c r="R780" s="17" t="s">
        <v>8498</v>
      </c>
      <c r="S780" s="16" t="s">
        <v>6937</v>
      </c>
      <c r="T780" s="16" t="s">
        <v>4146</v>
      </c>
      <c r="U780" s="16" t="s">
        <v>4147</v>
      </c>
      <c r="V780" s="16" t="s">
        <v>8499</v>
      </c>
      <c r="W780" s="16"/>
      <c r="X780" s="16" t="s">
        <v>6736</v>
      </c>
      <c r="Y780" s="16" t="s">
        <v>4151</v>
      </c>
      <c r="Z780" s="16" t="s">
        <v>6392</v>
      </c>
      <c r="AA780" s="16"/>
      <c r="AB780" s="17" t="s">
        <v>8500</v>
      </c>
      <c r="AC780" s="16" t="s">
        <v>71</v>
      </c>
      <c r="AD780" s="17" t="s">
        <v>8500</v>
      </c>
      <c r="AF780" s="17" t="s">
        <v>8501</v>
      </c>
      <c r="AG780" s="16" t="s">
        <v>8502</v>
      </c>
      <c r="AH780" s="16" t="s">
        <v>8503</v>
      </c>
      <c r="AI780" s="16"/>
      <c r="AJ780" s="16"/>
      <c r="AK780" s="16"/>
      <c r="AL780" s="16" t="s">
        <v>8504</v>
      </c>
    </row>
    <row r="781" spans="1:38" x14ac:dyDescent="0.5">
      <c r="A781">
        <v>22537</v>
      </c>
      <c r="B781" s="16" t="s">
        <v>6646</v>
      </c>
      <c r="C781" s="16" t="s">
        <v>6646</v>
      </c>
      <c r="D781" s="16"/>
      <c r="E781" s="16" t="s">
        <v>8505</v>
      </c>
      <c r="F781" s="17" t="s">
        <v>8506</v>
      </c>
      <c r="H781" s="16" t="s">
        <v>8507</v>
      </c>
      <c r="I781" s="16" t="s">
        <v>8508</v>
      </c>
      <c r="J781" s="33">
        <v>43347</v>
      </c>
      <c r="K781" s="33">
        <v>43712</v>
      </c>
      <c r="L781" s="16" t="s">
        <v>66</v>
      </c>
      <c r="M781" s="16" t="s">
        <v>67</v>
      </c>
      <c r="N781" s="16" t="s">
        <v>68</v>
      </c>
      <c r="O781" s="16" t="s">
        <v>436</v>
      </c>
      <c r="P781" s="16" t="s">
        <v>572</v>
      </c>
      <c r="Q781" s="16" t="s">
        <v>71</v>
      </c>
      <c r="R781" s="17" t="s">
        <v>8509</v>
      </c>
      <c r="S781" s="16" t="s">
        <v>8510</v>
      </c>
      <c r="T781" s="16" t="s">
        <v>4146</v>
      </c>
      <c r="U781" s="16" t="s">
        <v>4147</v>
      </c>
      <c r="V781" s="16" t="s">
        <v>8511</v>
      </c>
      <c r="W781" s="16"/>
      <c r="X781" s="16" t="s">
        <v>8512</v>
      </c>
      <c r="Y781" s="16" t="s">
        <v>4151</v>
      </c>
      <c r="Z781" s="16" t="s">
        <v>8513</v>
      </c>
      <c r="AA781" s="16"/>
      <c r="AB781" s="17" t="s">
        <v>8514</v>
      </c>
      <c r="AC781" s="16" t="s">
        <v>71</v>
      </c>
      <c r="AD781" s="17" t="s">
        <v>8514</v>
      </c>
      <c r="AF781" s="17" t="s">
        <v>8515</v>
      </c>
      <c r="AG781" s="16" t="s">
        <v>7320</v>
      </c>
      <c r="AH781" s="16" t="s">
        <v>1345</v>
      </c>
      <c r="AI781" s="16"/>
      <c r="AJ781" s="16"/>
      <c r="AK781" s="16"/>
      <c r="AL781" s="16" t="s">
        <v>8516</v>
      </c>
    </row>
    <row r="782" spans="1:38" x14ac:dyDescent="0.5">
      <c r="A782">
        <v>22538</v>
      </c>
      <c r="B782" s="16" t="s">
        <v>8517</v>
      </c>
      <c r="C782" s="16" t="s">
        <v>8517</v>
      </c>
      <c r="D782" s="16"/>
      <c r="E782" s="16" t="s">
        <v>8518</v>
      </c>
      <c r="F782" s="17" t="s">
        <v>8519</v>
      </c>
      <c r="H782" s="16" t="s">
        <v>8520</v>
      </c>
      <c r="I782" s="16" t="s">
        <v>2451</v>
      </c>
      <c r="J782" s="33">
        <v>43340</v>
      </c>
      <c r="K782" s="33">
        <v>43705</v>
      </c>
      <c r="L782" s="16" t="s">
        <v>66</v>
      </c>
      <c r="M782" s="16" t="s">
        <v>67</v>
      </c>
      <c r="N782" s="16" t="s">
        <v>68</v>
      </c>
      <c r="O782" s="16" t="s">
        <v>436</v>
      </c>
      <c r="P782" s="16" t="s">
        <v>572</v>
      </c>
      <c r="Q782" s="16" t="s">
        <v>71</v>
      </c>
      <c r="R782" s="17" t="s">
        <v>8521</v>
      </c>
      <c r="S782" s="16" t="s">
        <v>113</v>
      </c>
      <c r="T782" s="16" t="s">
        <v>74</v>
      </c>
      <c r="U782" s="16" t="s">
        <v>75</v>
      </c>
      <c r="V782" s="16" t="s">
        <v>8522</v>
      </c>
      <c r="W782" s="16"/>
      <c r="X782" s="16" t="s">
        <v>8523</v>
      </c>
      <c r="Y782" s="16" t="s">
        <v>78</v>
      </c>
      <c r="Z782" s="16" t="s">
        <v>117</v>
      </c>
      <c r="AA782" s="16" t="s">
        <v>113</v>
      </c>
      <c r="AB782" s="17" t="s">
        <v>8524</v>
      </c>
      <c r="AC782" s="16" t="s">
        <v>71</v>
      </c>
      <c r="AD782" s="17" t="s">
        <v>8524</v>
      </c>
      <c r="AG782" s="16" t="s">
        <v>781</v>
      </c>
      <c r="AH782" s="16" t="s">
        <v>1285</v>
      </c>
      <c r="AI782" s="16"/>
      <c r="AJ782" s="16"/>
      <c r="AK782" s="16"/>
      <c r="AL782" s="16" t="s">
        <v>8525</v>
      </c>
    </row>
    <row r="783" spans="1:38" x14ac:dyDescent="0.5">
      <c r="A783">
        <v>22539</v>
      </c>
      <c r="B783" s="16" t="s">
        <v>381</v>
      </c>
      <c r="C783" s="16" t="s">
        <v>382</v>
      </c>
      <c r="D783" s="16"/>
      <c r="E783" s="16" t="s">
        <v>8526</v>
      </c>
      <c r="F783" s="17" t="s">
        <v>8527</v>
      </c>
      <c r="H783" s="16" t="s">
        <v>8528</v>
      </c>
      <c r="I783" s="16" t="s">
        <v>8529</v>
      </c>
      <c r="J783" s="33">
        <v>43334</v>
      </c>
      <c r="K783" s="33">
        <v>43699</v>
      </c>
      <c r="L783" s="16" t="s">
        <v>66</v>
      </c>
      <c r="M783" s="16" t="s">
        <v>67</v>
      </c>
      <c r="N783" s="16" t="s">
        <v>68</v>
      </c>
      <c r="O783" s="16" t="s">
        <v>436</v>
      </c>
      <c r="P783" s="16" t="s">
        <v>572</v>
      </c>
      <c r="Q783" s="16" t="s">
        <v>71</v>
      </c>
      <c r="R783" s="17" t="s">
        <v>8530</v>
      </c>
      <c r="S783" s="16" t="s">
        <v>113</v>
      </c>
      <c r="T783" s="16" t="s">
        <v>74</v>
      </c>
      <c r="U783" s="16" t="s">
        <v>75</v>
      </c>
      <c r="V783" s="16" t="s">
        <v>8531</v>
      </c>
      <c r="W783" s="16"/>
      <c r="X783" s="16" t="s">
        <v>6453</v>
      </c>
      <c r="Y783" s="16" t="s">
        <v>78</v>
      </c>
      <c r="Z783" s="16" t="s">
        <v>117</v>
      </c>
      <c r="AA783" s="16" t="s">
        <v>113</v>
      </c>
      <c r="AB783" s="17" t="s">
        <v>8532</v>
      </c>
      <c r="AC783" s="16" t="s">
        <v>71</v>
      </c>
      <c r="AD783" s="17" t="s">
        <v>8532</v>
      </c>
      <c r="AF783" s="17" t="s">
        <v>8533</v>
      </c>
      <c r="AG783" s="16" t="s">
        <v>2616</v>
      </c>
      <c r="AH783" s="16" t="s">
        <v>579</v>
      </c>
      <c r="AI783" s="16"/>
      <c r="AJ783" s="16"/>
      <c r="AK783" s="16"/>
      <c r="AL783" s="16" t="s">
        <v>8534</v>
      </c>
    </row>
    <row r="784" spans="1:38" x14ac:dyDescent="0.5">
      <c r="A784">
        <v>22541</v>
      </c>
      <c r="B784" s="16" t="s">
        <v>8535</v>
      </c>
      <c r="C784" s="16" t="s">
        <v>8535</v>
      </c>
      <c r="D784" s="16"/>
      <c r="E784" s="16" t="s">
        <v>8536</v>
      </c>
      <c r="F784" s="17" t="s">
        <v>8537</v>
      </c>
      <c r="H784" s="16" t="s">
        <v>8538</v>
      </c>
      <c r="I784" s="16" t="s">
        <v>8539</v>
      </c>
      <c r="J784" s="33">
        <v>43335</v>
      </c>
      <c r="K784" s="33">
        <v>43700</v>
      </c>
      <c r="L784" s="16" t="s">
        <v>66</v>
      </c>
      <c r="M784" s="16" t="s">
        <v>67</v>
      </c>
      <c r="N784" s="16" t="s">
        <v>68</v>
      </c>
      <c r="O784" s="16" t="s">
        <v>436</v>
      </c>
      <c r="P784" s="16" t="s">
        <v>572</v>
      </c>
      <c r="Q784" s="16" t="s">
        <v>71</v>
      </c>
      <c r="R784" s="17" t="s">
        <v>8540</v>
      </c>
      <c r="S784" s="16" t="s">
        <v>359</v>
      </c>
      <c r="T784" s="16" t="s">
        <v>74</v>
      </c>
      <c r="U784" s="16" t="s">
        <v>75</v>
      </c>
      <c r="V784" s="16" t="s">
        <v>8541</v>
      </c>
      <c r="W784" s="16"/>
      <c r="X784" s="16" t="s">
        <v>8542</v>
      </c>
      <c r="Y784" s="16" t="s">
        <v>78</v>
      </c>
      <c r="Z784" s="16" t="s">
        <v>242</v>
      </c>
      <c r="AA784" s="16" t="s">
        <v>243</v>
      </c>
      <c r="AB784" s="17" t="s">
        <v>8543</v>
      </c>
      <c r="AC784" s="16" t="s">
        <v>71</v>
      </c>
      <c r="AD784" s="17" t="s">
        <v>8543</v>
      </c>
      <c r="AG784" s="16" t="s">
        <v>3540</v>
      </c>
      <c r="AH784" s="16" t="s">
        <v>8544</v>
      </c>
      <c r="AI784" s="16"/>
      <c r="AJ784" s="16"/>
      <c r="AK784" s="16"/>
      <c r="AL784" s="16"/>
    </row>
    <row r="785" spans="1:38" x14ac:dyDescent="0.5">
      <c r="A785">
        <v>22547</v>
      </c>
      <c r="B785" s="16" t="s">
        <v>567</v>
      </c>
      <c r="C785" s="16" t="s">
        <v>567</v>
      </c>
      <c r="D785" s="16"/>
      <c r="E785" s="16" t="s">
        <v>8545</v>
      </c>
      <c r="F785" s="17" t="s">
        <v>8546</v>
      </c>
      <c r="H785" s="16" t="s">
        <v>8547</v>
      </c>
      <c r="I785" s="16" t="s">
        <v>8548</v>
      </c>
      <c r="J785" s="33">
        <v>43335</v>
      </c>
      <c r="K785" s="33">
        <v>43700</v>
      </c>
      <c r="L785" s="16" t="s">
        <v>66</v>
      </c>
      <c r="M785" s="16" t="s">
        <v>167</v>
      </c>
      <c r="N785" s="16" t="s">
        <v>110</v>
      </c>
      <c r="O785" s="16" t="s">
        <v>280</v>
      </c>
      <c r="P785" s="16" t="s">
        <v>572</v>
      </c>
      <c r="Q785" s="16" t="s">
        <v>71</v>
      </c>
      <c r="R785" s="17" t="s">
        <v>8549</v>
      </c>
      <c r="S785" s="16" t="s">
        <v>662</v>
      </c>
      <c r="T785" s="16" t="s">
        <v>74</v>
      </c>
      <c r="U785" s="16" t="s">
        <v>75</v>
      </c>
      <c r="V785" s="16" t="s">
        <v>8550</v>
      </c>
      <c r="W785" s="16"/>
      <c r="X785" s="16" t="s">
        <v>8551</v>
      </c>
      <c r="Y785" s="16" t="s">
        <v>78</v>
      </c>
      <c r="Z785" s="16" t="s">
        <v>666</v>
      </c>
      <c r="AA785" s="16" t="s">
        <v>667</v>
      </c>
      <c r="AB785" s="17" t="s">
        <v>8552</v>
      </c>
      <c r="AC785" s="16" t="s">
        <v>71</v>
      </c>
      <c r="AD785" s="17" t="s">
        <v>8552</v>
      </c>
      <c r="AG785" s="16" t="s">
        <v>8553</v>
      </c>
      <c r="AH785" s="16" t="s">
        <v>1285</v>
      </c>
      <c r="AI785" s="16"/>
      <c r="AJ785" s="16"/>
      <c r="AK785" s="16"/>
      <c r="AL785" s="16" t="s">
        <v>8554</v>
      </c>
    </row>
    <row r="786" spans="1:38" x14ac:dyDescent="0.5">
      <c r="A786">
        <v>22548</v>
      </c>
      <c r="B786" s="16" t="s">
        <v>353</v>
      </c>
      <c r="C786" s="16" t="s">
        <v>353</v>
      </c>
      <c r="D786" s="16"/>
      <c r="E786" s="16" t="s">
        <v>8676</v>
      </c>
      <c r="F786" s="17" t="s">
        <v>8677</v>
      </c>
      <c r="G786" s="17" t="s">
        <v>8678</v>
      </c>
      <c r="H786" s="16" t="s">
        <v>8679</v>
      </c>
      <c r="I786" s="16" t="s">
        <v>8680</v>
      </c>
      <c r="J786" s="33">
        <v>43355</v>
      </c>
      <c r="K786" s="33">
        <v>43720</v>
      </c>
      <c r="L786" s="16" t="s">
        <v>66</v>
      </c>
      <c r="M786" s="16" t="s">
        <v>67</v>
      </c>
      <c r="N786" s="16" t="s">
        <v>68</v>
      </c>
      <c r="O786" s="16" t="s">
        <v>436</v>
      </c>
      <c r="P786" s="16" t="s">
        <v>572</v>
      </c>
      <c r="Q786" s="16" t="s">
        <v>71</v>
      </c>
      <c r="R786" s="17" t="s">
        <v>8681</v>
      </c>
      <c r="S786" s="16" t="s">
        <v>113</v>
      </c>
      <c r="T786" s="16" t="s">
        <v>74</v>
      </c>
      <c r="U786" s="16" t="s">
        <v>75</v>
      </c>
      <c r="V786" s="16" t="s">
        <v>8682</v>
      </c>
      <c r="W786" s="16"/>
      <c r="X786" s="16" t="s">
        <v>8683</v>
      </c>
      <c r="Y786" s="16" t="s">
        <v>78</v>
      </c>
      <c r="Z786" s="16" t="s">
        <v>117</v>
      </c>
      <c r="AA786" s="16" t="s">
        <v>113</v>
      </c>
      <c r="AB786" s="17" t="s">
        <v>8684</v>
      </c>
      <c r="AC786" s="16" t="s">
        <v>71</v>
      </c>
      <c r="AD786" s="17" t="s">
        <v>8684</v>
      </c>
      <c r="AF786" s="17" t="s">
        <v>8685</v>
      </c>
      <c r="AG786" s="16" t="s">
        <v>4062</v>
      </c>
      <c r="AH786" s="16" t="s">
        <v>3939</v>
      </c>
      <c r="AI786" s="16"/>
      <c r="AJ786" s="16"/>
      <c r="AK786" s="16"/>
      <c r="AL786" s="16" t="s">
        <v>8686</v>
      </c>
    </row>
    <row r="787" spans="1:38" x14ac:dyDescent="0.5">
      <c r="J787" s="17"/>
      <c r="K787" s="17"/>
      <c r="U787" s="17"/>
      <c r="Y787" s="17"/>
    </row>
    <row r="788" spans="1:38" x14ac:dyDescent="0.5">
      <c r="J788" s="17"/>
      <c r="K788" s="17"/>
      <c r="U788" s="17"/>
      <c r="Y788" s="17"/>
    </row>
    <row r="789" spans="1:38" x14ac:dyDescent="0.5">
      <c r="J789" s="17"/>
      <c r="K789" s="17"/>
      <c r="U789" s="17"/>
      <c r="Y789" s="17"/>
    </row>
    <row r="790" spans="1:38" x14ac:dyDescent="0.5">
      <c r="J790" s="17"/>
      <c r="K790" s="17"/>
      <c r="U790" s="17"/>
      <c r="Y790" s="17"/>
    </row>
    <row r="791" spans="1:38" x14ac:dyDescent="0.5">
      <c r="J791" s="17"/>
      <c r="K791" s="17"/>
      <c r="U791" s="17"/>
      <c r="Y791" s="17"/>
    </row>
    <row r="792" spans="1:38" x14ac:dyDescent="0.5">
      <c r="J792" s="17"/>
      <c r="K792" s="17"/>
      <c r="U792" s="17"/>
      <c r="Y792" s="17"/>
    </row>
    <row r="793" spans="1:38" x14ac:dyDescent="0.5">
      <c r="J793" s="17"/>
      <c r="K793" s="17"/>
      <c r="U793" s="17"/>
      <c r="Y793" s="17"/>
    </row>
    <row r="794" spans="1:38" x14ac:dyDescent="0.5">
      <c r="J794" s="17"/>
      <c r="K794" s="17"/>
      <c r="U794" s="17"/>
      <c r="Y794" s="17"/>
    </row>
    <row r="795" spans="1:38" x14ac:dyDescent="0.5">
      <c r="J795" s="17"/>
      <c r="K795" s="17"/>
      <c r="U795" s="17"/>
      <c r="Y795" s="17"/>
    </row>
    <row r="796" spans="1:38" x14ac:dyDescent="0.5">
      <c r="J796" s="17"/>
      <c r="K796" s="17"/>
      <c r="U796" s="17"/>
      <c r="Y796" s="17"/>
    </row>
    <row r="797" spans="1:38" x14ac:dyDescent="0.5">
      <c r="J797" s="17"/>
      <c r="K797" s="17"/>
      <c r="U797" s="17"/>
      <c r="Y797" s="17"/>
    </row>
    <row r="798" spans="1:38" x14ac:dyDescent="0.5">
      <c r="J798" s="17"/>
      <c r="K798" s="17"/>
      <c r="U798" s="17"/>
      <c r="Y798" s="17"/>
    </row>
    <row r="799" spans="1:38" x14ac:dyDescent="0.5">
      <c r="J799" s="17"/>
      <c r="K799" s="17"/>
      <c r="U799" s="17"/>
      <c r="Y799" s="17"/>
    </row>
    <row r="800" spans="1:38" x14ac:dyDescent="0.5">
      <c r="J800" s="17"/>
      <c r="K800" s="17"/>
      <c r="U800" s="17"/>
      <c r="Y800" s="17"/>
    </row>
    <row r="801" spans="10:25" x14ac:dyDescent="0.5">
      <c r="J801" s="17"/>
      <c r="K801" s="17"/>
      <c r="U801" s="17"/>
      <c r="Y801" s="17"/>
    </row>
    <row r="802" spans="10:25" x14ac:dyDescent="0.5">
      <c r="J802" s="17"/>
      <c r="K802" s="17"/>
      <c r="U802" s="17"/>
      <c r="Y802" s="17"/>
    </row>
    <row r="803" spans="10:25" x14ac:dyDescent="0.5">
      <c r="J803" s="17"/>
      <c r="K803" s="17"/>
      <c r="U803" s="17"/>
      <c r="Y803" s="17"/>
    </row>
    <row r="804" spans="10:25" x14ac:dyDescent="0.5">
      <c r="J804" s="17"/>
      <c r="K804" s="17"/>
      <c r="U804" s="17"/>
      <c r="Y804" s="17"/>
    </row>
    <row r="805" spans="10:25" x14ac:dyDescent="0.5">
      <c r="J805" s="17"/>
      <c r="K805" s="17"/>
      <c r="U805" s="17"/>
      <c r="Y805" s="17"/>
    </row>
    <row r="806" spans="10:25" x14ac:dyDescent="0.5">
      <c r="J806" s="17"/>
      <c r="K806" s="17"/>
      <c r="U806" s="17"/>
      <c r="Y806" s="17"/>
    </row>
    <row r="807" spans="10:25" x14ac:dyDescent="0.5">
      <c r="J807" s="17"/>
      <c r="K807" s="17"/>
      <c r="U807" s="17"/>
      <c r="Y807" s="17"/>
    </row>
    <row r="808" spans="10:25" x14ac:dyDescent="0.5">
      <c r="J808" s="17"/>
      <c r="K808" s="17"/>
      <c r="U808" s="17"/>
      <c r="Y808" s="17"/>
    </row>
    <row r="809" spans="10:25" x14ac:dyDescent="0.5">
      <c r="J809" s="17"/>
      <c r="K809" s="17"/>
      <c r="U809" s="17"/>
      <c r="Y809" s="17"/>
    </row>
    <row r="810" spans="10:25" x14ac:dyDescent="0.5">
      <c r="J810" s="17"/>
      <c r="K810" s="17"/>
      <c r="U810" s="17"/>
      <c r="Y810" s="17"/>
    </row>
    <row r="811" spans="10:25" x14ac:dyDescent="0.5">
      <c r="J811" s="17"/>
      <c r="K811" s="17"/>
      <c r="U811" s="17"/>
      <c r="Y811" s="17"/>
    </row>
    <row r="812" spans="10:25" x14ac:dyDescent="0.5">
      <c r="J812" s="17"/>
      <c r="K812" s="17"/>
      <c r="U812" s="17"/>
      <c r="Y812" s="17"/>
    </row>
    <row r="813" spans="10:25" x14ac:dyDescent="0.5">
      <c r="J813" s="17"/>
      <c r="K813" s="17"/>
      <c r="U813" s="17"/>
      <c r="Y813" s="17"/>
    </row>
    <row r="814" spans="10:25" x14ac:dyDescent="0.5">
      <c r="J814" s="17"/>
      <c r="K814" s="17"/>
      <c r="U814" s="17"/>
      <c r="Y814" s="17"/>
    </row>
    <row r="815" spans="10:25" x14ac:dyDescent="0.5">
      <c r="J815" s="17"/>
      <c r="K815" s="17"/>
      <c r="U815" s="17"/>
      <c r="Y815" s="17"/>
    </row>
    <row r="816" spans="10:25" x14ac:dyDescent="0.5">
      <c r="J816" s="17"/>
      <c r="K816" s="17"/>
      <c r="U816" s="17"/>
      <c r="Y816" s="17"/>
    </row>
    <row r="817" spans="10:25" x14ac:dyDescent="0.5">
      <c r="J817" s="17"/>
      <c r="K817" s="17"/>
      <c r="U817" s="17"/>
      <c r="Y817" s="17"/>
    </row>
    <row r="818" spans="10:25" x14ac:dyDescent="0.5">
      <c r="J818" s="17"/>
      <c r="K818" s="17"/>
      <c r="U818" s="17"/>
      <c r="Y818" s="17"/>
    </row>
    <row r="819" spans="10:25" x14ac:dyDescent="0.5">
      <c r="J819" s="17"/>
      <c r="K819" s="17"/>
      <c r="U819" s="17"/>
      <c r="Y819" s="17"/>
    </row>
    <row r="820" spans="10:25" x14ac:dyDescent="0.5">
      <c r="J820" s="17"/>
      <c r="K820" s="17"/>
      <c r="U820" s="17"/>
      <c r="Y820" s="17"/>
    </row>
    <row r="821" spans="10:25" x14ac:dyDescent="0.5">
      <c r="J821" s="17"/>
      <c r="K821" s="17"/>
      <c r="U821" s="17"/>
      <c r="Y821" s="17"/>
    </row>
    <row r="822" spans="10:25" x14ac:dyDescent="0.5">
      <c r="J822" s="17"/>
      <c r="K822" s="17"/>
      <c r="U822" s="17"/>
      <c r="Y822" s="17"/>
    </row>
    <row r="823" spans="10:25" x14ac:dyDescent="0.5">
      <c r="J823" s="17"/>
      <c r="K823" s="17"/>
      <c r="U823" s="17"/>
      <c r="Y823" s="17"/>
    </row>
    <row r="824" spans="10:25" x14ac:dyDescent="0.5">
      <c r="J824" s="17"/>
      <c r="K824" s="17"/>
      <c r="U824" s="17"/>
      <c r="Y824" s="17"/>
    </row>
    <row r="825" spans="10:25" x14ac:dyDescent="0.5">
      <c r="J825" s="17"/>
      <c r="K825" s="17"/>
      <c r="U825" s="17"/>
      <c r="Y825" s="17"/>
    </row>
    <row r="826" spans="10:25" x14ac:dyDescent="0.5">
      <c r="J826" s="17"/>
      <c r="K826" s="17"/>
      <c r="U826" s="17"/>
      <c r="Y826" s="17"/>
    </row>
    <row r="827" spans="10:25" x14ac:dyDescent="0.5">
      <c r="J827" s="17"/>
      <c r="K827" s="17"/>
      <c r="U827" s="17"/>
      <c r="Y827" s="17"/>
    </row>
    <row r="828" spans="10:25" x14ac:dyDescent="0.5">
      <c r="J828" s="17"/>
      <c r="K828" s="17"/>
      <c r="U828" s="17"/>
      <c r="Y828" s="17"/>
    </row>
    <row r="829" spans="10:25" x14ac:dyDescent="0.5">
      <c r="J829" s="17"/>
      <c r="K829" s="17"/>
      <c r="U829" s="17"/>
      <c r="Y829" s="17"/>
    </row>
    <row r="830" spans="10:25" x14ac:dyDescent="0.5">
      <c r="J830" s="17"/>
      <c r="K830" s="17"/>
      <c r="U830" s="17"/>
      <c r="Y830" s="17"/>
    </row>
    <row r="831" spans="10:25" x14ac:dyDescent="0.5">
      <c r="J831" s="17"/>
      <c r="K831" s="17"/>
      <c r="U831" s="17"/>
      <c r="Y831" s="17"/>
    </row>
    <row r="832" spans="10:25" x14ac:dyDescent="0.5">
      <c r="J832" s="17"/>
      <c r="K832" s="17"/>
      <c r="U832" s="17"/>
      <c r="Y832" s="17"/>
    </row>
    <row r="833" spans="10:25" x14ac:dyDescent="0.5">
      <c r="J833" s="17"/>
      <c r="K833" s="17"/>
      <c r="U833" s="17"/>
      <c r="Y833" s="17"/>
    </row>
    <row r="834" spans="10:25" x14ac:dyDescent="0.5">
      <c r="J834" s="17"/>
      <c r="K834" s="17"/>
      <c r="U834" s="17"/>
      <c r="Y834" s="17"/>
    </row>
    <row r="835" spans="10:25" x14ac:dyDescent="0.5">
      <c r="J835" s="17"/>
      <c r="K835" s="17"/>
      <c r="U835" s="17"/>
      <c r="Y835" s="17"/>
    </row>
    <row r="836" spans="10:25" x14ac:dyDescent="0.5">
      <c r="J836" s="17"/>
      <c r="K836" s="17"/>
      <c r="U836" s="17"/>
      <c r="Y836" s="17"/>
    </row>
    <row r="837" spans="10:25" x14ac:dyDescent="0.5">
      <c r="J837" s="17"/>
      <c r="K837" s="17"/>
      <c r="U837" s="17"/>
      <c r="Y837" s="17"/>
    </row>
    <row r="838" spans="10:25" x14ac:dyDescent="0.5">
      <c r="J838" s="17"/>
      <c r="K838" s="17"/>
      <c r="U838" s="17"/>
      <c r="Y838" s="17"/>
    </row>
  </sheetData>
  <sortState ref="A2:AL815">
    <sortCondition ref="M2:M815"/>
    <sortCondition ref="Y2:Y815"/>
    <sortCondition ref="J2:J8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15E7-A23B-4A51-B354-021F1B814773}">
  <dimension ref="A1:AD3091"/>
  <sheetViews>
    <sheetView topLeftCell="A11" zoomScale="130" zoomScaleNormal="130" workbookViewId="0">
      <selection activeCell="AF11" sqref="AF11"/>
    </sheetView>
  </sheetViews>
  <sheetFormatPr defaultRowHeight="14.35" x14ac:dyDescent="0.5"/>
  <cols>
    <col min="2" max="9" width="0" hidden="1" customWidth="1"/>
    <col min="10" max="10" width="10.29296875" style="19" bestFit="1" customWidth="1"/>
    <col min="11" max="11" width="13.29296875" style="19" bestFit="1" customWidth="1"/>
    <col min="12" max="12" width="16.1171875" hidden="1" customWidth="1"/>
    <col min="13" max="13" width="15.9375" customWidth="1"/>
    <col min="14" max="14" width="18.41015625" hidden="1" customWidth="1"/>
    <col min="15" max="15" width="6.52734375" customWidth="1"/>
    <col min="16" max="16" width="18.52734375" bestFit="1" customWidth="1"/>
    <col min="17" max="17" width="19.29296875" hidden="1" customWidth="1"/>
    <col min="18" max="19" width="0" hidden="1" customWidth="1"/>
    <col min="20" max="20" width="2.41015625" hidden="1" customWidth="1"/>
    <col min="21" max="21" width="27" customWidth="1"/>
    <col min="22" max="24" width="8.9375" hidden="1" customWidth="1"/>
    <col min="25" max="25" width="27.87890625" customWidth="1"/>
    <col min="26" max="30" width="8.9375" hidden="1" customWidth="1"/>
  </cols>
  <sheetData>
    <row r="1" spans="1:25" s="5" customFormat="1" x14ac:dyDescent="0.5">
      <c r="A1" s="21" t="str">
        <f>Data!A1</f>
        <v>ID</v>
      </c>
      <c r="B1" s="21" t="str">
        <f>Data!B1</f>
        <v>Nickname</v>
      </c>
      <c r="C1" s="21" t="str">
        <f>Data!C1</f>
        <v>First Name</v>
      </c>
      <c r="D1" s="21" t="str">
        <f>Data!D1</f>
        <v>Middle Name</v>
      </c>
      <c r="E1" s="21" t="str">
        <f>Data!E1</f>
        <v>Last Name</v>
      </c>
      <c r="F1" s="21" t="str">
        <f>Data!F1</f>
        <v>Email Address</v>
      </c>
      <c r="G1" s="21" t="str">
        <f>Data!G1</f>
        <v>Email Address #2</v>
      </c>
      <c r="H1" s="21" t="str">
        <f>Data!H1</f>
        <v>Professional Title</v>
      </c>
      <c r="I1" s="21" t="str">
        <f>Data!I1</f>
        <v>Primary Organization/Company Name</v>
      </c>
      <c r="J1" s="21" t="str">
        <f>Data!J1</f>
        <v>Join Date</v>
      </c>
      <c r="K1" s="21" t="str">
        <f>Data!K1</f>
        <v>Expiration Date</v>
      </c>
      <c r="L1" s="21" t="str">
        <f>Data!L1</f>
        <v>Membership Status</v>
      </c>
      <c r="M1" s="21" t="str">
        <f>Data!M1</f>
        <v>Membership Type</v>
      </c>
      <c r="N1" s="21" t="str">
        <f>Data!N1</f>
        <v>Membership Category</v>
      </c>
      <c r="O1" s="21" t="str">
        <f>Data!O1</f>
        <v>Membership Sub-category (Role)</v>
      </c>
      <c r="P1" s="21" t="str">
        <f>Data!P1</f>
        <v>Membership Eligibility</v>
      </c>
      <c r="Q1" s="21" t="str">
        <f>Data!Q1</f>
        <v>Preferred Address Type</v>
      </c>
      <c r="R1" s="21" t="str">
        <f>Data!R1</f>
        <v>Preferred Address</v>
      </c>
      <c r="S1" s="21" t="str">
        <f>Data!S1</f>
        <v>Preferred Address City</v>
      </c>
      <c r="T1" s="21" t="str">
        <f>Data!T1</f>
        <v>Preferred Address Country Code</v>
      </c>
      <c r="U1" s="21" t="str">
        <f>Data!U1</f>
        <v>Preferred Address Country Name</v>
      </c>
      <c r="Y1" s="21" t="str">
        <f>Data!Y1</f>
        <v>Preferred Address Region Name</v>
      </c>
    </row>
    <row r="2" spans="1:25" x14ac:dyDescent="0.5">
      <c r="A2">
        <f>Data!A2</f>
        <v>4</v>
      </c>
      <c r="J2" s="20">
        <f>Data!J2</f>
        <v>35065</v>
      </c>
      <c r="K2" s="20">
        <f>Data!K2</f>
        <v>43465</v>
      </c>
      <c r="L2" s="5" t="str">
        <f>Data!L2</f>
        <v>Active</v>
      </c>
      <c r="M2" s="5" t="str">
        <f>Data!M2</f>
        <v>Page (Corporate)</v>
      </c>
      <c r="P2" s="5" t="str">
        <f>Data!P2</f>
        <v>Grandfathered</v>
      </c>
      <c r="U2" s="5" t="str">
        <f>Data!U2</f>
        <v>UNITED STATES</v>
      </c>
      <c r="Y2" s="5" t="str">
        <f>Data!Y2</f>
        <v>United States</v>
      </c>
    </row>
    <row r="3" spans="1:25" x14ac:dyDescent="0.5">
      <c r="A3">
        <f>Data!A3</f>
        <v>10</v>
      </c>
      <c r="J3" s="20">
        <f>Data!J3</f>
        <v>35796</v>
      </c>
      <c r="K3" s="20">
        <f>Data!K3</f>
        <v>43465</v>
      </c>
      <c r="L3" s="5" t="str">
        <f>Data!L3</f>
        <v>Active</v>
      </c>
      <c r="M3" s="5" t="str">
        <f>Data!M3</f>
        <v>Page (Educator)</v>
      </c>
      <c r="P3" s="5" t="str">
        <f>Data!P3</f>
        <v>Grandfathered</v>
      </c>
      <c r="U3" s="5" t="str">
        <f>Data!U3</f>
        <v>UNITED STATES</v>
      </c>
      <c r="Y3" s="5" t="str">
        <f>Data!Y3</f>
        <v>United States</v>
      </c>
    </row>
    <row r="4" spans="1:25" x14ac:dyDescent="0.5">
      <c r="A4">
        <f>Data!A4</f>
        <v>14</v>
      </c>
      <c r="J4" s="20">
        <f>Data!J4</f>
        <v>35065</v>
      </c>
      <c r="K4" s="20">
        <f>Data!K4</f>
        <v>55153</v>
      </c>
      <c r="L4" s="5" t="str">
        <f>Data!L4</f>
        <v>Active</v>
      </c>
      <c r="M4" s="5" t="str">
        <f>Data!M4</f>
        <v>Page (Honoree)</v>
      </c>
      <c r="P4" s="5" t="str">
        <f>Data!P4</f>
        <v>Grandfathered</v>
      </c>
      <c r="U4" s="5" t="str">
        <f>Data!U4</f>
        <v>UNITED STATES</v>
      </c>
      <c r="Y4" s="5" t="str">
        <f>Data!Y4</f>
        <v>United States</v>
      </c>
    </row>
    <row r="5" spans="1:25" x14ac:dyDescent="0.5">
      <c r="A5">
        <f>Data!A5</f>
        <v>18</v>
      </c>
      <c r="J5" s="20">
        <f>Data!J5</f>
        <v>33239</v>
      </c>
      <c r="K5" s="20">
        <f>Data!K5</f>
        <v>44196</v>
      </c>
      <c r="L5" s="5" t="str">
        <f>Data!L5</f>
        <v>Active</v>
      </c>
      <c r="M5" s="5" t="str">
        <f>Data!M5</f>
        <v>Page (Honoree)</v>
      </c>
      <c r="P5" s="5" t="str">
        <f>Data!P5</f>
        <v>Grandfathered</v>
      </c>
      <c r="U5" s="5" t="str">
        <f>Data!U5</f>
        <v>UNITED STATES</v>
      </c>
      <c r="Y5" s="5" t="str">
        <f>Data!Y5</f>
        <v>United States</v>
      </c>
    </row>
    <row r="6" spans="1:25" x14ac:dyDescent="0.5">
      <c r="A6">
        <f>Data!A6</f>
        <v>29</v>
      </c>
      <c r="J6" s="20">
        <f>Data!J6</f>
        <v>35065</v>
      </c>
      <c r="K6" s="20">
        <f>Data!K6</f>
        <v>43465</v>
      </c>
      <c r="L6" s="5" t="str">
        <f>Data!L6</f>
        <v>Active</v>
      </c>
      <c r="M6" s="5" t="str">
        <f>Data!M6</f>
        <v>Page (Corporate)</v>
      </c>
      <c r="P6" s="5" t="str">
        <f>Data!P6</f>
        <v>Grandfathered</v>
      </c>
      <c r="U6" s="5" t="str">
        <f>Data!U6</f>
        <v>UNITED STATES</v>
      </c>
      <c r="Y6" s="5" t="str">
        <f>Data!Y6</f>
        <v>United States</v>
      </c>
    </row>
    <row r="7" spans="1:25" x14ac:dyDescent="0.5">
      <c r="A7">
        <f>Data!A7</f>
        <v>45</v>
      </c>
      <c r="J7" s="20">
        <f>Data!J7</f>
        <v>31068</v>
      </c>
      <c r="K7" s="20">
        <f>Data!K7</f>
        <v>55153</v>
      </c>
      <c r="L7" s="5" t="str">
        <f>Data!L7</f>
        <v>Active</v>
      </c>
      <c r="M7" s="5" t="str">
        <f>Data!M7</f>
        <v>Page (Honoree)</v>
      </c>
      <c r="P7" s="5" t="str">
        <f>Data!P7</f>
        <v>Grandfathered</v>
      </c>
      <c r="U7" s="5" t="str">
        <f>Data!U7</f>
        <v>UNITED STATES</v>
      </c>
      <c r="Y7" s="5" t="str">
        <f>Data!Y7</f>
        <v>United States</v>
      </c>
    </row>
    <row r="8" spans="1:25" x14ac:dyDescent="0.5">
      <c r="A8">
        <f>Data!A8</f>
        <v>53</v>
      </c>
      <c r="J8" s="20">
        <f>Data!J8</f>
        <v>33604</v>
      </c>
      <c r="K8" s="20">
        <f>Data!K8</f>
        <v>43465</v>
      </c>
      <c r="L8" s="5" t="str">
        <f>Data!L8</f>
        <v>Active</v>
      </c>
      <c r="M8" s="5" t="str">
        <f>Data!M8</f>
        <v>Page (Agency)</v>
      </c>
      <c r="P8" s="5" t="str">
        <f>Data!P8</f>
        <v>Grandfathered</v>
      </c>
      <c r="U8" s="5" t="str">
        <f>Data!U8</f>
        <v>UNITED STATES</v>
      </c>
      <c r="Y8" s="5" t="str">
        <f>Data!Y8</f>
        <v>United States</v>
      </c>
    </row>
    <row r="9" spans="1:25" x14ac:dyDescent="0.5">
      <c r="A9">
        <f>Data!A9</f>
        <v>56</v>
      </c>
      <c r="J9" s="20">
        <f>Data!J9</f>
        <v>33970</v>
      </c>
      <c r="K9" s="20">
        <f>Data!K9</f>
        <v>43465</v>
      </c>
      <c r="L9" s="5" t="str">
        <f>Data!L9</f>
        <v>Active</v>
      </c>
      <c r="M9" s="5" t="str">
        <f>Data!M9</f>
        <v>Page (Educator)</v>
      </c>
      <c r="P9" s="5" t="str">
        <f>Data!P9</f>
        <v>Grandfathered</v>
      </c>
      <c r="U9" s="5" t="str">
        <f>Data!U9</f>
        <v>UNITED STATES</v>
      </c>
      <c r="Y9" s="5" t="str">
        <f>Data!Y9</f>
        <v>United States</v>
      </c>
    </row>
    <row r="10" spans="1:25" x14ac:dyDescent="0.5">
      <c r="A10">
        <f>Data!A10</f>
        <v>67</v>
      </c>
      <c r="J10" s="20">
        <f>Data!J10</f>
        <v>35065</v>
      </c>
      <c r="K10" s="20">
        <f>Data!K10</f>
        <v>43465</v>
      </c>
      <c r="L10" s="5" t="str">
        <f>Data!L10</f>
        <v>Active</v>
      </c>
      <c r="M10" s="5" t="str">
        <f>Data!M10</f>
        <v>Page (Corporate)</v>
      </c>
      <c r="P10" s="5" t="str">
        <f>Data!P10</f>
        <v>Grandfathered</v>
      </c>
      <c r="U10" s="5" t="str">
        <f>Data!U10</f>
        <v>UNITED STATES</v>
      </c>
      <c r="Y10" s="5" t="str">
        <f>Data!Y10</f>
        <v>United States</v>
      </c>
    </row>
    <row r="11" spans="1:25" x14ac:dyDescent="0.5">
      <c r="A11">
        <f>Data!A11</f>
        <v>71</v>
      </c>
      <c r="J11" s="20">
        <f>Data!J11</f>
        <v>34700</v>
      </c>
      <c r="K11" s="20">
        <f>Data!K11</f>
        <v>55153</v>
      </c>
      <c r="L11" s="5" t="str">
        <f>Data!L11</f>
        <v>Active</v>
      </c>
      <c r="M11" s="5" t="str">
        <f>Data!M11</f>
        <v>Page (Honoree)</v>
      </c>
      <c r="P11" s="5" t="str">
        <f>Data!P11</f>
        <v>Grandfathered</v>
      </c>
      <c r="U11" s="5" t="str">
        <f>Data!U11</f>
        <v>UNITED STATES</v>
      </c>
      <c r="Y11" s="5" t="str">
        <f>Data!Y11</f>
        <v>United States</v>
      </c>
    </row>
    <row r="12" spans="1:25" x14ac:dyDescent="0.5">
      <c r="A12">
        <f>Data!A12</f>
        <v>75</v>
      </c>
      <c r="J12" s="20">
        <f>Data!J12</f>
        <v>35431</v>
      </c>
      <c r="K12" s="20">
        <f>Data!K12</f>
        <v>43465</v>
      </c>
      <c r="L12" s="5" t="str">
        <f>Data!L12</f>
        <v>Active</v>
      </c>
      <c r="M12" s="5" t="str">
        <f>Data!M12</f>
        <v>Page (Non-Profit)</v>
      </c>
      <c r="P12" s="5" t="str">
        <f>Data!P12</f>
        <v>Grandfathered</v>
      </c>
      <c r="U12" s="5" t="str">
        <f>Data!U12</f>
        <v>UNITED STATES</v>
      </c>
      <c r="Y12" s="5" t="str">
        <f>Data!Y12</f>
        <v>United States</v>
      </c>
    </row>
    <row r="13" spans="1:25" x14ac:dyDescent="0.5">
      <c r="A13">
        <f>Data!A13</f>
        <v>79</v>
      </c>
      <c r="J13" s="20">
        <f>Data!J13</f>
        <v>35796</v>
      </c>
      <c r="K13" s="20">
        <f>Data!K13</f>
        <v>43465</v>
      </c>
      <c r="L13" s="5" t="str">
        <f>Data!L13</f>
        <v>Active</v>
      </c>
      <c r="M13" s="5" t="str">
        <f>Data!M13</f>
        <v>Page (Agency)</v>
      </c>
      <c r="P13" s="5" t="str">
        <f>Data!P13</f>
        <v>Grandfathered</v>
      </c>
      <c r="U13" s="5" t="str">
        <f>Data!U13</f>
        <v>UNITED STATES</v>
      </c>
      <c r="Y13" s="5" t="str">
        <f>Data!Y13</f>
        <v>United States</v>
      </c>
    </row>
    <row r="14" spans="1:25" x14ac:dyDescent="0.5">
      <c r="A14">
        <f>Data!A14</f>
        <v>84</v>
      </c>
      <c r="J14" s="20">
        <f>Data!J14</f>
        <v>36185</v>
      </c>
      <c r="K14" s="20">
        <f>Data!K14</f>
        <v>55153</v>
      </c>
      <c r="L14" s="5" t="str">
        <f>Data!L14</f>
        <v>Active</v>
      </c>
      <c r="M14" s="5" t="str">
        <f>Data!M14</f>
        <v>Page (Honoree)</v>
      </c>
      <c r="P14" s="5" t="str">
        <f>Data!P14</f>
        <v>Grandfathered</v>
      </c>
      <c r="U14" s="5" t="str">
        <f>Data!U14</f>
        <v>UNITED STATES</v>
      </c>
      <c r="Y14" s="5" t="str">
        <f>Data!Y14</f>
        <v>United States</v>
      </c>
    </row>
    <row r="15" spans="1:25" x14ac:dyDescent="0.5">
      <c r="A15">
        <f>Data!A15</f>
        <v>88</v>
      </c>
      <c r="J15" s="20">
        <f>Data!J15</f>
        <v>35820</v>
      </c>
      <c r="K15" s="20">
        <f>Data!K15</f>
        <v>55153</v>
      </c>
      <c r="L15" s="5" t="str">
        <f>Data!L15</f>
        <v>Active</v>
      </c>
      <c r="M15" s="5" t="str">
        <f>Data!M15</f>
        <v>Page (Honoree)</v>
      </c>
      <c r="P15" s="5" t="str">
        <f>Data!P15</f>
        <v>Grandfathered</v>
      </c>
      <c r="U15" s="5" t="str">
        <f>Data!U15</f>
        <v>UNITED STATES</v>
      </c>
      <c r="Y15" s="5" t="str">
        <f>Data!Y15</f>
        <v>United States</v>
      </c>
    </row>
    <row r="16" spans="1:25" x14ac:dyDescent="0.5">
      <c r="A16">
        <f>Data!A16</f>
        <v>98</v>
      </c>
      <c r="J16" s="20">
        <f>Data!J16</f>
        <v>35431</v>
      </c>
      <c r="K16" s="20">
        <f>Data!K16</f>
        <v>43465</v>
      </c>
      <c r="L16" s="5" t="str">
        <f>Data!L16</f>
        <v>Active</v>
      </c>
      <c r="M16" s="5" t="str">
        <f>Data!M16</f>
        <v>Page (Retired)</v>
      </c>
      <c r="P16" s="5" t="str">
        <f>Data!P16</f>
        <v>Grandfathered</v>
      </c>
      <c r="U16" s="5" t="str">
        <f>Data!U16</f>
        <v>UNITED STATES</v>
      </c>
      <c r="Y16" s="5" t="str">
        <f>Data!Y16</f>
        <v>United States</v>
      </c>
    </row>
    <row r="17" spans="1:25" x14ac:dyDescent="0.5">
      <c r="A17">
        <f>Data!A17</f>
        <v>101</v>
      </c>
      <c r="J17" s="20">
        <f>Data!J17</f>
        <v>34700</v>
      </c>
      <c r="K17" s="20">
        <f>Data!K17</f>
        <v>43465</v>
      </c>
      <c r="L17" s="5" t="str">
        <f>Data!L17</f>
        <v>Active</v>
      </c>
      <c r="M17" s="5" t="str">
        <f>Data!M17</f>
        <v>Page (Corporate)</v>
      </c>
      <c r="P17" s="5" t="str">
        <f>Data!P17</f>
        <v>Grandfathered</v>
      </c>
      <c r="U17" s="5" t="str">
        <f>Data!U17</f>
        <v>UNITED STATES</v>
      </c>
      <c r="Y17" s="5" t="str">
        <f>Data!Y17</f>
        <v>United States</v>
      </c>
    </row>
    <row r="18" spans="1:25" x14ac:dyDescent="0.5">
      <c r="A18">
        <f>Data!A18</f>
        <v>104</v>
      </c>
      <c r="J18" s="20">
        <f>Data!J18</f>
        <v>35796</v>
      </c>
      <c r="K18" s="20">
        <f>Data!K18</f>
        <v>43465</v>
      </c>
      <c r="L18" s="5" t="str">
        <f>Data!L18</f>
        <v>Active</v>
      </c>
      <c r="M18" s="5" t="str">
        <f>Data!M18</f>
        <v>Page (Retired)</v>
      </c>
      <c r="P18" s="5" t="str">
        <f>Data!P18</f>
        <v>Grandfathered</v>
      </c>
      <c r="U18" s="5" t="str">
        <f>Data!U18</f>
        <v>UNITED STATES</v>
      </c>
      <c r="Y18" s="5" t="str">
        <f>Data!Y18</f>
        <v>United States</v>
      </c>
    </row>
    <row r="19" spans="1:25" x14ac:dyDescent="0.5">
      <c r="A19">
        <f>Data!A19</f>
        <v>112</v>
      </c>
      <c r="J19" s="20">
        <f>Data!J19</f>
        <v>33263</v>
      </c>
      <c r="K19" s="20">
        <f>Data!K19</f>
        <v>43465</v>
      </c>
      <c r="L19" s="5" t="str">
        <f>Data!L19</f>
        <v>Active</v>
      </c>
      <c r="M19" s="5" t="str">
        <f>Data!M19</f>
        <v>Page (Retired)</v>
      </c>
      <c r="P19" s="5" t="str">
        <f>Data!P19</f>
        <v>Grandfathered</v>
      </c>
      <c r="U19" s="5" t="str">
        <f>Data!U19</f>
        <v>UNITED STATES</v>
      </c>
      <c r="Y19" s="5" t="str">
        <f>Data!Y19</f>
        <v>United States</v>
      </c>
    </row>
    <row r="20" spans="1:25" x14ac:dyDescent="0.5">
      <c r="A20">
        <f>Data!A20</f>
        <v>114</v>
      </c>
      <c r="J20" s="20">
        <f>Data!J20</f>
        <v>32509</v>
      </c>
      <c r="K20" s="20">
        <f>Data!K20</f>
        <v>44561</v>
      </c>
      <c r="L20" s="5" t="str">
        <f>Data!L20</f>
        <v>Active</v>
      </c>
      <c r="M20" s="5" t="str">
        <f>Data!M20</f>
        <v>Page (Honoree)</v>
      </c>
      <c r="P20" s="5" t="str">
        <f>Data!P20</f>
        <v>Grandfathered</v>
      </c>
      <c r="U20" s="5" t="str">
        <f>Data!U20</f>
        <v>UNITED STATES</v>
      </c>
      <c r="Y20" s="5" t="str">
        <f>Data!Y20</f>
        <v>United States</v>
      </c>
    </row>
    <row r="21" spans="1:25" x14ac:dyDescent="0.5">
      <c r="A21">
        <f>Data!A21</f>
        <v>116</v>
      </c>
      <c r="J21" s="20">
        <f>Data!J21</f>
        <v>34700</v>
      </c>
      <c r="K21" s="20">
        <f>Data!K21</f>
        <v>43465</v>
      </c>
      <c r="L21" s="5" t="str">
        <f>Data!L21</f>
        <v>Active</v>
      </c>
      <c r="M21" s="5" t="str">
        <f>Data!M21</f>
        <v>Page (Agency)</v>
      </c>
      <c r="P21" s="5" t="str">
        <f>Data!P21</f>
        <v>Grandfathered</v>
      </c>
      <c r="U21" s="5" t="str">
        <f>Data!U21</f>
        <v>UNITED STATES</v>
      </c>
      <c r="Y21" s="5" t="str">
        <f>Data!Y21</f>
        <v>United States</v>
      </c>
    </row>
    <row r="22" spans="1:25" x14ac:dyDescent="0.5">
      <c r="A22">
        <f>Data!A22</f>
        <v>119</v>
      </c>
      <c r="J22" s="20">
        <f>Data!J22</f>
        <v>33604</v>
      </c>
      <c r="K22" s="20">
        <f>Data!K22</f>
        <v>43465</v>
      </c>
      <c r="L22" s="5" t="str">
        <f>Data!L22</f>
        <v>Active</v>
      </c>
      <c r="M22" s="5" t="str">
        <f>Data!M22</f>
        <v>Page (Educator)</v>
      </c>
      <c r="P22" s="5" t="str">
        <f>Data!P22</f>
        <v>Grandfathered</v>
      </c>
      <c r="U22" s="5" t="str">
        <f>Data!U22</f>
        <v>UNITED STATES</v>
      </c>
      <c r="Y22" s="5" t="str">
        <f>Data!Y22</f>
        <v>United States</v>
      </c>
    </row>
    <row r="23" spans="1:25" x14ac:dyDescent="0.5">
      <c r="A23">
        <f>Data!A23</f>
        <v>122</v>
      </c>
      <c r="J23" s="20">
        <f>Data!J23</f>
        <v>34335</v>
      </c>
      <c r="K23" s="20">
        <f>Data!K23</f>
        <v>55153</v>
      </c>
      <c r="L23" s="5" t="str">
        <f>Data!L23</f>
        <v>Active</v>
      </c>
      <c r="M23" s="5" t="str">
        <f>Data!M23</f>
        <v>Page (Honoree)</v>
      </c>
      <c r="P23" s="5" t="str">
        <f>Data!P23</f>
        <v>Grandfathered</v>
      </c>
      <c r="U23" s="5" t="str">
        <f>Data!U23</f>
        <v>UNITED STATES</v>
      </c>
      <c r="Y23" s="5" t="str">
        <f>Data!Y23</f>
        <v>United States</v>
      </c>
    </row>
    <row r="24" spans="1:25" x14ac:dyDescent="0.5">
      <c r="A24">
        <f>Data!A24</f>
        <v>128</v>
      </c>
      <c r="J24" s="20">
        <f>Data!J24</f>
        <v>32873</v>
      </c>
      <c r="K24" s="20">
        <f>Data!K24</f>
        <v>55153</v>
      </c>
      <c r="L24" s="5" t="str">
        <f>Data!L24</f>
        <v>Active</v>
      </c>
      <c r="M24" s="5" t="str">
        <f>Data!M24</f>
        <v>Page (Honoree)</v>
      </c>
      <c r="P24" s="5" t="str">
        <f>Data!P24</f>
        <v>Grandfathered</v>
      </c>
      <c r="U24" s="5" t="str">
        <f>Data!U24</f>
        <v>UNITED STATES</v>
      </c>
      <c r="Y24" s="5" t="str">
        <f>Data!Y24</f>
        <v>United States</v>
      </c>
    </row>
    <row r="25" spans="1:25" x14ac:dyDescent="0.5">
      <c r="A25">
        <f>Data!A25</f>
        <v>138</v>
      </c>
      <c r="J25" s="20">
        <f>Data!J25</f>
        <v>33604</v>
      </c>
      <c r="K25" s="20">
        <f>Data!K25</f>
        <v>43465</v>
      </c>
      <c r="L25" s="5" t="str">
        <f>Data!L25</f>
        <v>Active</v>
      </c>
      <c r="M25" s="5" t="str">
        <f>Data!M25</f>
        <v>Page (Corporate)</v>
      </c>
      <c r="P25" s="5" t="str">
        <f>Data!P25</f>
        <v>Grandfathered</v>
      </c>
      <c r="U25" s="5" t="str">
        <f>Data!U25</f>
        <v>UNITED STATES</v>
      </c>
      <c r="Y25" s="5" t="str">
        <f>Data!Y25</f>
        <v>United States</v>
      </c>
    </row>
    <row r="26" spans="1:25" x14ac:dyDescent="0.5">
      <c r="A26">
        <f>Data!A26</f>
        <v>141</v>
      </c>
      <c r="J26" s="20">
        <f>Data!J26</f>
        <v>35796</v>
      </c>
      <c r="K26" s="20">
        <f>Data!K26</f>
        <v>44196</v>
      </c>
      <c r="L26" s="5" t="str">
        <f>Data!L26</f>
        <v>Active</v>
      </c>
      <c r="M26" s="5" t="str">
        <f>Data!M26</f>
        <v>Page (Honoree)</v>
      </c>
      <c r="P26" s="5" t="str">
        <f>Data!P26</f>
        <v>Grandfathered</v>
      </c>
      <c r="U26" s="5" t="str">
        <f>Data!U26</f>
        <v>UNITED STATES</v>
      </c>
      <c r="Y26" s="5" t="str">
        <f>Data!Y26</f>
        <v>United States</v>
      </c>
    </row>
    <row r="27" spans="1:25" x14ac:dyDescent="0.5">
      <c r="A27">
        <f>Data!A27</f>
        <v>152</v>
      </c>
      <c r="J27" s="20">
        <f>Data!J27</f>
        <v>35796</v>
      </c>
      <c r="K27" s="20">
        <f>Data!K27</f>
        <v>43465</v>
      </c>
      <c r="L27" s="5" t="str">
        <f>Data!L27</f>
        <v>Active</v>
      </c>
      <c r="M27" s="5" t="str">
        <f>Data!M27</f>
        <v>Page (Corporate)</v>
      </c>
      <c r="P27" s="5" t="str">
        <f>Data!P27</f>
        <v>Grandfathered</v>
      </c>
      <c r="U27" s="5" t="str">
        <f>Data!U27</f>
        <v>UNITED STATES</v>
      </c>
      <c r="Y27" s="5" t="str">
        <f>Data!Y27</f>
        <v>United States</v>
      </c>
    </row>
    <row r="28" spans="1:25" x14ac:dyDescent="0.5">
      <c r="A28">
        <f>Data!A28</f>
        <v>157</v>
      </c>
      <c r="J28" s="20">
        <f>Data!J28</f>
        <v>35796</v>
      </c>
      <c r="K28" s="20">
        <f>Data!K28</f>
        <v>43465</v>
      </c>
      <c r="L28" s="5" t="str">
        <f>Data!L28</f>
        <v>Active</v>
      </c>
      <c r="M28" s="5" t="str">
        <f>Data!M28</f>
        <v>Page (Agency)</v>
      </c>
      <c r="P28" s="5" t="str">
        <f>Data!P28</f>
        <v>Grandfathered</v>
      </c>
      <c r="U28" s="5" t="str">
        <f>Data!U28</f>
        <v>UNITED STATES</v>
      </c>
      <c r="Y28" s="5" t="str">
        <f>Data!Y28</f>
        <v>United States</v>
      </c>
    </row>
    <row r="29" spans="1:25" x14ac:dyDescent="0.5">
      <c r="A29">
        <f>Data!A29</f>
        <v>167</v>
      </c>
      <c r="J29" s="20">
        <f>Data!J29</f>
        <v>35796</v>
      </c>
      <c r="K29" s="20">
        <f>Data!K29</f>
        <v>43465</v>
      </c>
      <c r="L29" s="5" t="str">
        <f>Data!L29</f>
        <v>Active</v>
      </c>
      <c r="M29" s="5" t="str">
        <f>Data!M29</f>
        <v>Page (Corporate)</v>
      </c>
      <c r="P29" s="5" t="str">
        <f>Data!P29</f>
        <v>Grandfathered</v>
      </c>
      <c r="U29" s="5" t="str">
        <f>Data!U29</f>
        <v>UNITED STATES</v>
      </c>
      <c r="Y29" s="5" t="str">
        <f>Data!Y29</f>
        <v>United States</v>
      </c>
    </row>
    <row r="30" spans="1:25" x14ac:dyDescent="0.5">
      <c r="A30">
        <f>Data!A30</f>
        <v>174</v>
      </c>
      <c r="J30" s="20">
        <f>Data!J30</f>
        <v>34335</v>
      </c>
      <c r="K30" s="20">
        <f>Data!K30</f>
        <v>55153</v>
      </c>
      <c r="L30" s="5" t="str">
        <f>Data!L30</f>
        <v>Active</v>
      </c>
      <c r="M30" s="5" t="str">
        <f>Data!M30</f>
        <v>Page (Honoree)</v>
      </c>
      <c r="P30" s="5" t="str">
        <f>Data!P30</f>
        <v>Grandfathered</v>
      </c>
      <c r="U30" s="5" t="str">
        <f>Data!U30</f>
        <v>UNITED STATES</v>
      </c>
      <c r="Y30" s="5" t="str">
        <f>Data!Y30</f>
        <v>United States</v>
      </c>
    </row>
    <row r="31" spans="1:25" x14ac:dyDescent="0.5">
      <c r="A31">
        <f>Data!A31</f>
        <v>176</v>
      </c>
      <c r="J31" s="20">
        <f>Data!J31</f>
        <v>33970</v>
      </c>
      <c r="K31" s="20">
        <f>Data!K31</f>
        <v>43465</v>
      </c>
      <c r="L31" s="5" t="str">
        <f>Data!L31</f>
        <v>Active</v>
      </c>
      <c r="M31" s="5" t="str">
        <f>Data!M31</f>
        <v>Page (Agency)</v>
      </c>
      <c r="P31" s="5" t="str">
        <f>Data!P31</f>
        <v>Grandfathered</v>
      </c>
      <c r="U31" s="5" t="str">
        <f>Data!U31</f>
        <v>UNITED STATES</v>
      </c>
      <c r="Y31" s="5" t="str">
        <f>Data!Y31</f>
        <v>United States</v>
      </c>
    </row>
    <row r="32" spans="1:25" x14ac:dyDescent="0.5">
      <c r="A32">
        <f>Data!A32</f>
        <v>180</v>
      </c>
      <c r="J32" s="20">
        <f>Data!J32</f>
        <v>35431</v>
      </c>
      <c r="K32" s="20">
        <f>Data!K32</f>
        <v>43465</v>
      </c>
      <c r="L32" s="5" t="str">
        <f>Data!L32</f>
        <v>Active</v>
      </c>
      <c r="M32" s="5" t="str">
        <f>Data!M32</f>
        <v>Page (Retired)</v>
      </c>
      <c r="P32" s="5" t="str">
        <f>Data!P32</f>
        <v>Grandfathered</v>
      </c>
      <c r="U32" s="5" t="str">
        <f>Data!U32</f>
        <v>UNITED STATES</v>
      </c>
      <c r="Y32" s="5" t="str">
        <f>Data!Y32</f>
        <v>United States</v>
      </c>
    </row>
    <row r="33" spans="1:25" x14ac:dyDescent="0.5">
      <c r="A33">
        <f>Data!A33</f>
        <v>184</v>
      </c>
      <c r="J33" s="20">
        <f>Data!J33</f>
        <v>34700</v>
      </c>
      <c r="K33" s="20">
        <f>Data!K33</f>
        <v>55153</v>
      </c>
      <c r="L33" s="5" t="str">
        <f>Data!L33</f>
        <v>Active</v>
      </c>
      <c r="M33" s="5" t="str">
        <f>Data!M33</f>
        <v>Page (Honoree)</v>
      </c>
      <c r="P33" s="5" t="str">
        <f>Data!P33</f>
        <v>Grandfathered</v>
      </c>
      <c r="U33" s="5" t="str">
        <f>Data!U33</f>
        <v>UNITED STATES</v>
      </c>
      <c r="Y33" s="5" t="str">
        <f>Data!Y33</f>
        <v>United States</v>
      </c>
    </row>
    <row r="34" spans="1:25" x14ac:dyDescent="0.5">
      <c r="A34">
        <f>Data!A34</f>
        <v>186</v>
      </c>
      <c r="J34" s="20">
        <f>Data!J34</f>
        <v>32143</v>
      </c>
      <c r="K34" s="20">
        <f>Data!K34</f>
        <v>44196</v>
      </c>
      <c r="L34" s="5" t="str">
        <f>Data!L34</f>
        <v>Active</v>
      </c>
      <c r="M34" s="5" t="str">
        <f>Data!M34</f>
        <v>Page (Honoree)</v>
      </c>
      <c r="P34" s="5" t="str">
        <f>Data!P34</f>
        <v>Grandfathered</v>
      </c>
      <c r="U34" s="5" t="str">
        <f>Data!U34</f>
        <v>UNITED STATES</v>
      </c>
      <c r="Y34" s="5" t="str">
        <f>Data!Y34</f>
        <v>United States</v>
      </c>
    </row>
    <row r="35" spans="1:25" x14ac:dyDescent="0.5">
      <c r="A35">
        <f>Data!A35</f>
        <v>196</v>
      </c>
      <c r="J35" s="20">
        <f>Data!J35</f>
        <v>31413</v>
      </c>
      <c r="K35" s="20">
        <f>Data!K35</f>
        <v>44196</v>
      </c>
      <c r="L35" s="5" t="str">
        <f>Data!L35</f>
        <v>Active</v>
      </c>
      <c r="M35" s="5" t="str">
        <f>Data!M35</f>
        <v>Page (Honoree)</v>
      </c>
      <c r="P35" s="5" t="str">
        <f>Data!P35</f>
        <v>Grandfathered</v>
      </c>
      <c r="U35" s="5" t="str">
        <f>Data!U35</f>
        <v>UNITED STATES</v>
      </c>
      <c r="Y35" s="5" t="str">
        <f>Data!Y35</f>
        <v>United States</v>
      </c>
    </row>
    <row r="36" spans="1:25" x14ac:dyDescent="0.5">
      <c r="A36">
        <f>Data!A36</f>
        <v>202</v>
      </c>
      <c r="J36" s="20">
        <f>Data!J36</f>
        <v>33604</v>
      </c>
      <c r="K36" s="20">
        <f>Data!K36</f>
        <v>43465</v>
      </c>
      <c r="L36" s="5" t="str">
        <f>Data!L36</f>
        <v>Active</v>
      </c>
      <c r="M36" s="5" t="str">
        <f>Data!M36</f>
        <v>Page (Corporate)</v>
      </c>
      <c r="P36" s="5" t="str">
        <f>Data!P36</f>
        <v>Grandfathered</v>
      </c>
      <c r="U36" s="5" t="str">
        <f>Data!U36</f>
        <v>UNITED STATES</v>
      </c>
      <c r="Y36" s="5" t="str">
        <f>Data!Y36</f>
        <v>United States</v>
      </c>
    </row>
    <row r="37" spans="1:25" x14ac:dyDescent="0.5">
      <c r="A37">
        <f>Data!A37</f>
        <v>204</v>
      </c>
      <c r="J37" s="20">
        <f>Data!J37</f>
        <v>33239</v>
      </c>
      <c r="K37" s="20">
        <f>Data!K37</f>
        <v>55153</v>
      </c>
      <c r="L37" s="5" t="str">
        <f>Data!L37</f>
        <v>Active</v>
      </c>
      <c r="M37" s="5" t="str">
        <f>Data!M37</f>
        <v>Page (Honoree)</v>
      </c>
      <c r="P37" s="5" t="str">
        <f>Data!P37</f>
        <v>Grandfathered</v>
      </c>
      <c r="U37" s="5" t="str">
        <f>Data!U37</f>
        <v>UNITED STATES</v>
      </c>
      <c r="Y37" s="5" t="str">
        <f>Data!Y37</f>
        <v>United States</v>
      </c>
    </row>
    <row r="38" spans="1:25" x14ac:dyDescent="0.5">
      <c r="A38">
        <f>Data!A38</f>
        <v>208</v>
      </c>
      <c r="J38" s="20">
        <f>Data!J38</f>
        <v>32143</v>
      </c>
      <c r="K38" s="20">
        <f>Data!K38</f>
        <v>43465</v>
      </c>
      <c r="L38" s="5" t="str">
        <f>Data!L38</f>
        <v>Active</v>
      </c>
      <c r="M38" s="5" t="str">
        <f>Data!M38</f>
        <v>Page (Retired)</v>
      </c>
      <c r="P38" s="5" t="str">
        <f>Data!P38</f>
        <v>Grandfathered</v>
      </c>
      <c r="U38" s="5" t="str">
        <f>Data!U38</f>
        <v>UNITED STATES</v>
      </c>
      <c r="Y38" s="5" t="str">
        <f>Data!Y38</f>
        <v>United States</v>
      </c>
    </row>
    <row r="39" spans="1:25" x14ac:dyDescent="0.5">
      <c r="A39">
        <f>Data!A39</f>
        <v>209</v>
      </c>
      <c r="J39" s="20">
        <f>Data!J39</f>
        <v>41036</v>
      </c>
      <c r="K39" s="20">
        <f>Data!K39</f>
        <v>43465</v>
      </c>
      <c r="L39" s="5" t="str">
        <f>Data!L39</f>
        <v>Active</v>
      </c>
      <c r="M39" s="5" t="str">
        <f>Data!M39</f>
        <v>Page (Corporate)</v>
      </c>
      <c r="P39" s="5" t="str">
        <f>Data!P39</f>
        <v>Eligible</v>
      </c>
      <c r="U39" s="5" t="str">
        <f>Data!U39</f>
        <v>UNITED STATES</v>
      </c>
      <c r="Y39" s="5" t="str">
        <f>Data!Y39</f>
        <v>United States</v>
      </c>
    </row>
    <row r="40" spans="1:25" x14ac:dyDescent="0.5">
      <c r="A40">
        <f>Data!A40</f>
        <v>210</v>
      </c>
      <c r="J40" s="20">
        <f>Data!J40</f>
        <v>34335</v>
      </c>
      <c r="K40" s="20">
        <f>Data!K40</f>
        <v>55153</v>
      </c>
      <c r="L40" s="5" t="str">
        <f>Data!L40</f>
        <v>Active</v>
      </c>
      <c r="M40" s="5" t="str">
        <f>Data!M40</f>
        <v>Page (Honoree)</v>
      </c>
      <c r="P40" s="5" t="str">
        <f>Data!P40</f>
        <v>Grandfathered</v>
      </c>
      <c r="U40" s="5" t="str">
        <f>Data!U40</f>
        <v>UNITED STATES</v>
      </c>
      <c r="Y40" s="5" t="str">
        <f>Data!Y40</f>
        <v>United States</v>
      </c>
    </row>
    <row r="41" spans="1:25" x14ac:dyDescent="0.5">
      <c r="A41">
        <f>Data!A41</f>
        <v>211</v>
      </c>
      <c r="J41" s="20">
        <f>Data!J41</f>
        <v>35796</v>
      </c>
      <c r="K41" s="20">
        <f>Data!K41</f>
        <v>55153</v>
      </c>
      <c r="L41" s="5" t="str">
        <f>Data!L41</f>
        <v>Active</v>
      </c>
      <c r="M41" s="5" t="str">
        <f>Data!M41</f>
        <v>Page (Honoree)</v>
      </c>
      <c r="P41" s="5" t="str">
        <f>Data!P41</f>
        <v>Grandfathered</v>
      </c>
      <c r="U41" s="5" t="str">
        <f>Data!U41</f>
        <v>UNITED STATES</v>
      </c>
      <c r="Y41" s="5" t="str">
        <f>Data!Y41</f>
        <v>United States</v>
      </c>
    </row>
    <row r="42" spans="1:25" x14ac:dyDescent="0.5">
      <c r="A42">
        <f>Data!A42</f>
        <v>212</v>
      </c>
      <c r="J42" s="20">
        <f>Data!J42</f>
        <v>35431</v>
      </c>
      <c r="K42" s="20">
        <f>Data!K42</f>
        <v>55153</v>
      </c>
      <c r="L42" s="5" t="str">
        <f>Data!L42</f>
        <v>Active</v>
      </c>
      <c r="M42" s="5" t="str">
        <f>Data!M42</f>
        <v>Page (Honoree)</v>
      </c>
      <c r="P42" s="5" t="str">
        <f>Data!P42</f>
        <v>Grandfathered</v>
      </c>
      <c r="U42" s="5" t="str">
        <f>Data!U42</f>
        <v>UNITED STATES</v>
      </c>
      <c r="Y42" s="5" t="str">
        <f>Data!Y42</f>
        <v>United States</v>
      </c>
    </row>
    <row r="43" spans="1:25" x14ac:dyDescent="0.5">
      <c r="A43">
        <f>Data!A43</f>
        <v>213</v>
      </c>
      <c r="J43" s="20">
        <f>Data!J43</f>
        <v>35796</v>
      </c>
      <c r="K43" s="20">
        <f>Data!K43</f>
        <v>55153</v>
      </c>
      <c r="L43" s="5" t="str">
        <f>Data!L43</f>
        <v>Active</v>
      </c>
      <c r="M43" s="5" t="str">
        <f>Data!M43</f>
        <v>Page (Honoree)</v>
      </c>
      <c r="P43" s="5" t="str">
        <f>Data!P43</f>
        <v>Grandfathered</v>
      </c>
      <c r="U43" s="5" t="str">
        <f>Data!U43</f>
        <v>UNITED STATES</v>
      </c>
      <c r="Y43" s="5" t="str">
        <f>Data!Y43</f>
        <v>United States</v>
      </c>
    </row>
    <row r="44" spans="1:25" x14ac:dyDescent="0.5">
      <c r="A44">
        <f>Data!A44</f>
        <v>238</v>
      </c>
      <c r="J44" s="20">
        <f>Data!J44</f>
        <v>31778</v>
      </c>
      <c r="K44" s="20">
        <f>Data!K44</f>
        <v>44196</v>
      </c>
      <c r="L44" s="5" t="str">
        <f>Data!L44</f>
        <v>Active</v>
      </c>
      <c r="M44" s="5" t="str">
        <f>Data!M44</f>
        <v>Page (Honoree)</v>
      </c>
      <c r="P44" s="5" t="str">
        <f>Data!P44</f>
        <v>Grandfathered</v>
      </c>
      <c r="U44" s="5" t="str">
        <f>Data!U44</f>
        <v>UNITED STATES</v>
      </c>
      <c r="Y44" s="5" t="str">
        <f>Data!Y44</f>
        <v>United States</v>
      </c>
    </row>
    <row r="45" spans="1:25" x14ac:dyDescent="0.5">
      <c r="A45">
        <f>Data!A45</f>
        <v>248</v>
      </c>
      <c r="J45" s="20">
        <f>Data!J45</f>
        <v>35065</v>
      </c>
      <c r="K45" s="20">
        <f>Data!K45</f>
        <v>43465</v>
      </c>
      <c r="L45" s="5" t="str">
        <f>Data!L45</f>
        <v>Active</v>
      </c>
      <c r="M45" s="5" t="str">
        <f>Data!M45</f>
        <v>Page (Corporate)</v>
      </c>
      <c r="P45" s="5">
        <f>Data!P45</f>
        <v>0</v>
      </c>
      <c r="U45" s="5" t="str">
        <f>Data!U45</f>
        <v>UNITED STATES</v>
      </c>
      <c r="Y45" s="5" t="str">
        <f>Data!Y45</f>
        <v>United States</v>
      </c>
    </row>
    <row r="46" spans="1:25" x14ac:dyDescent="0.5">
      <c r="A46">
        <f>Data!A46</f>
        <v>250</v>
      </c>
      <c r="J46" s="20">
        <f>Data!J46</f>
        <v>31413</v>
      </c>
      <c r="K46" s="20">
        <f>Data!K46</f>
        <v>43830</v>
      </c>
      <c r="L46" s="5" t="str">
        <f>Data!L46</f>
        <v>Active</v>
      </c>
      <c r="M46" s="5" t="str">
        <f>Data!M46</f>
        <v>Page (Life)</v>
      </c>
      <c r="P46" s="5" t="str">
        <f>Data!P46</f>
        <v>Life</v>
      </c>
      <c r="U46" s="5" t="str">
        <f>Data!U46</f>
        <v>UNITED STATES</v>
      </c>
      <c r="Y46" s="5" t="str">
        <f>Data!Y46</f>
        <v>United States</v>
      </c>
    </row>
    <row r="47" spans="1:25" x14ac:dyDescent="0.5">
      <c r="A47">
        <f>Data!A47</f>
        <v>261</v>
      </c>
      <c r="J47" s="20">
        <f>Data!J47</f>
        <v>35796</v>
      </c>
      <c r="K47" s="20">
        <f>Data!K47</f>
        <v>43465</v>
      </c>
      <c r="L47" s="5" t="str">
        <f>Data!L47</f>
        <v>Active</v>
      </c>
      <c r="M47" s="5" t="str">
        <f>Data!M47</f>
        <v>Page (Agency)</v>
      </c>
      <c r="P47" s="5" t="str">
        <f>Data!P47</f>
        <v>Grandfathered</v>
      </c>
      <c r="U47" s="5" t="str">
        <f>Data!U47</f>
        <v>UNITED STATES</v>
      </c>
      <c r="Y47" s="5" t="str">
        <f>Data!Y47</f>
        <v>United States</v>
      </c>
    </row>
    <row r="48" spans="1:25" x14ac:dyDescent="0.5">
      <c r="A48">
        <f>Data!A48</f>
        <v>266</v>
      </c>
      <c r="J48" s="20">
        <f>Data!J48</f>
        <v>35796</v>
      </c>
      <c r="K48" s="20">
        <f>Data!K48</f>
        <v>43465</v>
      </c>
      <c r="L48" s="5" t="str">
        <f>Data!L48</f>
        <v>Active</v>
      </c>
      <c r="M48" s="5" t="str">
        <f>Data!M48</f>
        <v>Page (Agency)</v>
      </c>
      <c r="P48" s="5" t="str">
        <f>Data!P48</f>
        <v>Grandfathered</v>
      </c>
      <c r="U48" s="5" t="str">
        <f>Data!U48</f>
        <v>UNITED STATES</v>
      </c>
      <c r="Y48" s="5" t="str">
        <f>Data!Y48</f>
        <v>United States</v>
      </c>
    </row>
    <row r="49" spans="1:25" x14ac:dyDescent="0.5">
      <c r="A49">
        <f>Data!A49</f>
        <v>268</v>
      </c>
      <c r="J49" s="20">
        <f>Data!J49</f>
        <v>33970</v>
      </c>
      <c r="K49" s="20">
        <f>Data!K49</f>
        <v>43465</v>
      </c>
      <c r="L49" s="5" t="str">
        <f>Data!L49</f>
        <v>Active</v>
      </c>
      <c r="M49" s="5" t="str">
        <f>Data!M49</f>
        <v>Page (Agency)</v>
      </c>
      <c r="P49" s="5" t="str">
        <f>Data!P49</f>
        <v>Grandfathered</v>
      </c>
      <c r="U49" s="5" t="str">
        <f>Data!U49</f>
        <v>UNITED STATES</v>
      </c>
      <c r="Y49" s="5" t="str">
        <f>Data!Y49</f>
        <v>United States</v>
      </c>
    </row>
    <row r="50" spans="1:25" x14ac:dyDescent="0.5">
      <c r="A50">
        <f>Data!A50</f>
        <v>271</v>
      </c>
      <c r="J50" s="20">
        <f>Data!J50</f>
        <v>31778</v>
      </c>
      <c r="K50" s="20">
        <f>Data!K50</f>
        <v>44196</v>
      </c>
      <c r="L50" s="5" t="str">
        <f>Data!L50</f>
        <v>Active</v>
      </c>
      <c r="M50" s="5" t="str">
        <f>Data!M50</f>
        <v>Page (Honoree)</v>
      </c>
      <c r="P50" s="5" t="str">
        <f>Data!P50</f>
        <v>Grandfathered</v>
      </c>
      <c r="U50" s="5" t="str">
        <f>Data!U50</f>
        <v>UNITED STATES</v>
      </c>
      <c r="Y50" s="5" t="str">
        <f>Data!Y50</f>
        <v>United States</v>
      </c>
    </row>
    <row r="51" spans="1:25" x14ac:dyDescent="0.5">
      <c r="A51">
        <f>Data!A51</f>
        <v>279</v>
      </c>
      <c r="J51" s="20">
        <f>Data!J51</f>
        <v>35065</v>
      </c>
      <c r="K51" s="20">
        <f>Data!K51</f>
        <v>43465</v>
      </c>
      <c r="L51" s="5" t="str">
        <f>Data!L51</f>
        <v>Active</v>
      </c>
      <c r="M51" s="5" t="str">
        <f>Data!M51</f>
        <v>Page (Corporate)</v>
      </c>
      <c r="P51" s="5" t="str">
        <f>Data!P51</f>
        <v>Grandfathered</v>
      </c>
      <c r="U51" s="5" t="str">
        <f>Data!U51</f>
        <v>UNITED STATES</v>
      </c>
      <c r="Y51" s="5" t="str">
        <f>Data!Y51</f>
        <v>United States</v>
      </c>
    </row>
    <row r="52" spans="1:25" x14ac:dyDescent="0.5">
      <c r="A52">
        <f>Data!A52</f>
        <v>290</v>
      </c>
      <c r="J52" s="20">
        <f>Data!J52</f>
        <v>32874</v>
      </c>
      <c r="K52" s="20">
        <f>Data!K52</f>
        <v>55153</v>
      </c>
      <c r="L52" s="5" t="str">
        <f>Data!L52</f>
        <v>Active</v>
      </c>
      <c r="M52" s="5" t="str">
        <f>Data!M52</f>
        <v>Page (Honoree)</v>
      </c>
      <c r="P52" s="5" t="str">
        <f>Data!P52</f>
        <v>Grandfathered</v>
      </c>
      <c r="U52" s="5" t="str">
        <f>Data!U52</f>
        <v>United Kingdom</v>
      </c>
      <c r="Y52" s="5" t="str">
        <f>Data!Y52</f>
        <v>Europe</v>
      </c>
    </row>
    <row r="53" spans="1:25" x14ac:dyDescent="0.5">
      <c r="A53">
        <f>Data!A53</f>
        <v>292</v>
      </c>
      <c r="J53" s="20">
        <f>Data!J53</f>
        <v>36194</v>
      </c>
      <c r="K53" s="20">
        <f>Data!K53</f>
        <v>43465</v>
      </c>
      <c r="L53" s="5" t="str">
        <f>Data!L53</f>
        <v>Active</v>
      </c>
      <c r="M53" s="5" t="str">
        <f>Data!M53</f>
        <v>Page (Agency)</v>
      </c>
      <c r="P53" s="5" t="str">
        <f>Data!P53</f>
        <v>Grandfathered</v>
      </c>
      <c r="U53" s="5" t="str">
        <f>Data!U53</f>
        <v>UNITED STATES</v>
      </c>
      <c r="Y53" s="5" t="str">
        <f>Data!Y53</f>
        <v>United States</v>
      </c>
    </row>
    <row r="54" spans="1:25" x14ac:dyDescent="0.5">
      <c r="A54">
        <f>Data!A54</f>
        <v>301</v>
      </c>
      <c r="J54" s="20">
        <f>Data!J54</f>
        <v>35065</v>
      </c>
      <c r="K54" s="20">
        <f>Data!K54</f>
        <v>43465</v>
      </c>
      <c r="L54" s="5" t="str">
        <f>Data!L54</f>
        <v>Active</v>
      </c>
      <c r="M54" s="5" t="str">
        <f>Data!M54</f>
        <v>Page (Retired)</v>
      </c>
      <c r="P54" s="5" t="str">
        <f>Data!P54</f>
        <v>Grandfathered</v>
      </c>
      <c r="U54" s="5" t="str">
        <f>Data!U54</f>
        <v>UNITED STATES</v>
      </c>
      <c r="Y54" s="5" t="str">
        <f>Data!Y54</f>
        <v>United States</v>
      </c>
    </row>
    <row r="55" spans="1:25" x14ac:dyDescent="0.5">
      <c r="A55">
        <f>Data!A55</f>
        <v>305</v>
      </c>
      <c r="J55" s="20">
        <f>Data!J55</f>
        <v>42377</v>
      </c>
      <c r="K55" s="20">
        <f>Data!K55</f>
        <v>43465</v>
      </c>
      <c r="L55" s="5" t="str">
        <f>Data!L55</f>
        <v>Active</v>
      </c>
      <c r="M55" s="5" t="str">
        <f>Data!M55</f>
        <v>Page (Agency)</v>
      </c>
      <c r="P55" s="5" t="str">
        <f>Data!P55</f>
        <v>Eligible</v>
      </c>
      <c r="U55" s="5" t="str">
        <f>Data!U55</f>
        <v>UNITED STATES</v>
      </c>
      <c r="Y55" s="5" t="str">
        <f>Data!Y55</f>
        <v>United States</v>
      </c>
    </row>
    <row r="56" spans="1:25" x14ac:dyDescent="0.5">
      <c r="A56">
        <f>Data!A56</f>
        <v>311</v>
      </c>
      <c r="J56" s="20">
        <f>Data!J56</f>
        <v>35431</v>
      </c>
      <c r="K56" s="20">
        <f>Data!K56</f>
        <v>43465</v>
      </c>
      <c r="L56" s="5" t="str">
        <f>Data!L56</f>
        <v>Active</v>
      </c>
      <c r="M56" s="5" t="str">
        <f>Data!M56</f>
        <v>Page (Educator)</v>
      </c>
      <c r="P56" s="5" t="str">
        <f>Data!P56</f>
        <v>Grandfathered</v>
      </c>
      <c r="U56" s="5" t="str">
        <f>Data!U56</f>
        <v>UNITED STATES</v>
      </c>
      <c r="Y56" s="5" t="str">
        <f>Data!Y56</f>
        <v>United States</v>
      </c>
    </row>
    <row r="57" spans="1:25" x14ac:dyDescent="0.5">
      <c r="A57">
        <f>Data!A57</f>
        <v>314</v>
      </c>
      <c r="J57" s="20">
        <f>Data!J57</f>
        <v>31413</v>
      </c>
      <c r="K57" s="20">
        <f>Data!K57</f>
        <v>55153</v>
      </c>
      <c r="L57" s="5" t="str">
        <f>Data!L57</f>
        <v>Active</v>
      </c>
      <c r="M57" s="5" t="str">
        <f>Data!M57</f>
        <v>Page (Honoree)</v>
      </c>
      <c r="P57" s="5" t="str">
        <f>Data!P57</f>
        <v>Grandfathered</v>
      </c>
      <c r="U57" s="5" t="str">
        <f>Data!U57</f>
        <v>UNITED STATES</v>
      </c>
      <c r="Y57" s="5" t="str">
        <f>Data!Y57</f>
        <v>United States</v>
      </c>
    </row>
    <row r="58" spans="1:25" x14ac:dyDescent="0.5">
      <c r="A58">
        <f>Data!A58</f>
        <v>319</v>
      </c>
      <c r="J58" s="20">
        <f>Data!J58</f>
        <v>35796</v>
      </c>
      <c r="K58" s="20">
        <f>Data!K58</f>
        <v>43465</v>
      </c>
      <c r="L58" s="5" t="str">
        <f>Data!L58</f>
        <v>Active</v>
      </c>
      <c r="M58" s="5" t="str">
        <f>Data!M58</f>
        <v>Page (Agency)</v>
      </c>
      <c r="P58" s="5" t="str">
        <f>Data!P58</f>
        <v>Grandfathered</v>
      </c>
      <c r="U58" s="5" t="str">
        <f>Data!U58</f>
        <v>UNITED STATES</v>
      </c>
      <c r="Y58" s="5" t="str">
        <f>Data!Y58</f>
        <v>United States</v>
      </c>
    </row>
    <row r="59" spans="1:25" x14ac:dyDescent="0.5">
      <c r="A59">
        <f>Data!A59</f>
        <v>325</v>
      </c>
      <c r="J59" s="20">
        <f>Data!J59</f>
        <v>35796</v>
      </c>
      <c r="K59" s="20">
        <f>Data!K59</f>
        <v>51501</v>
      </c>
      <c r="L59" s="5" t="str">
        <f>Data!L59</f>
        <v>Active</v>
      </c>
      <c r="M59" s="5" t="str">
        <f>Data!M59</f>
        <v>Page (Honoree)</v>
      </c>
      <c r="P59" s="5" t="str">
        <f>Data!P59</f>
        <v>Grandfathered</v>
      </c>
      <c r="U59" s="5" t="str">
        <f>Data!U59</f>
        <v>UNITED STATES</v>
      </c>
      <c r="Y59" s="5" t="str">
        <f>Data!Y59</f>
        <v>United States</v>
      </c>
    </row>
    <row r="60" spans="1:25" x14ac:dyDescent="0.5">
      <c r="A60">
        <f>Data!A60</f>
        <v>336</v>
      </c>
      <c r="J60" s="20">
        <f>Data!J60</f>
        <v>36300</v>
      </c>
      <c r="K60" s="20">
        <f>Data!K60</f>
        <v>43465</v>
      </c>
      <c r="L60" s="5" t="str">
        <f>Data!L60</f>
        <v>Active</v>
      </c>
      <c r="M60" s="5" t="str">
        <f>Data!M60</f>
        <v>Page (Agency)</v>
      </c>
      <c r="P60" s="5" t="str">
        <f>Data!P60</f>
        <v>Grandfathered</v>
      </c>
      <c r="U60" s="5" t="str">
        <f>Data!U60</f>
        <v>UNITED STATES</v>
      </c>
      <c r="Y60" s="5" t="str">
        <f>Data!Y60</f>
        <v>United States</v>
      </c>
    </row>
    <row r="61" spans="1:25" x14ac:dyDescent="0.5">
      <c r="A61">
        <f>Data!A61</f>
        <v>337</v>
      </c>
      <c r="J61" s="20">
        <f>Data!J61</f>
        <v>36304</v>
      </c>
      <c r="K61" s="20">
        <f>Data!K61</f>
        <v>43465</v>
      </c>
      <c r="L61" s="5" t="str">
        <f>Data!L61</f>
        <v>Active</v>
      </c>
      <c r="M61" s="5" t="str">
        <f>Data!M61</f>
        <v>Page (Retired)</v>
      </c>
      <c r="P61" s="5" t="str">
        <f>Data!P61</f>
        <v>Grandfathered</v>
      </c>
      <c r="U61" s="5" t="str">
        <f>Data!U61</f>
        <v>UNITED STATES</v>
      </c>
      <c r="Y61" s="5" t="str">
        <f>Data!Y61</f>
        <v>United States</v>
      </c>
    </row>
    <row r="62" spans="1:25" x14ac:dyDescent="0.5">
      <c r="A62">
        <f>Data!A62</f>
        <v>360</v>
      </c>
      <c r="J62" s="20">
        <f>Data!J62</f>
        <v>36368</v>
      </c>
      <c r="K62" s="20">
        <f>Data!K62</f>
        <v>43465</v>
      </c>
      <c r="L62" s="5" t="str">
        <f>Data!L62</f>
        <v>Active</v>
      </c>
      <c r="M62" s="5" t="str">
        <f>Data!M62</f>
        <v>Page (Agency)</v>
      </c>
      <c r="P62" s="5" t="str">
        <f>Data!P62</f>
        <v>Grandfathered</v>
      </c>
      <c r="U62" s="5" t="str">
        <f>Data!U62</f>
        <v>UNITED STATES</v>
      </c>
      <c r="Y62" s="5" t="str">
        <f>Data!Y62</f>
        <v>United States</v>
      </c>
    </row>
    <row r="63" spans="1:25" x14ac:dyDescent="0.5">
      <c r="A63">
        <f>Data!A63</f>
        <v>361</v>
      </c>
      <c r="J63" s="20">
        <f>Data!J63</f>
        <v>36368</v>
      </c>
      <c r="K63" s="20">
        <f>Data!K63</f>
        <v>43465</v>
      </c>
      <c r="L63" s="5" t="str">
        <f>Data!L63</f>
        <v>Active</v>
      </c>
      <c r="M63" s="5" t="str">
        <f>Data!M63</f>
        <v>Page (Agency)</v>
      </c>
      <c r="P63" s="5" t="str">
        <f>Data!P63</f>
        <v>Grandfathered</v>
      </c>
      <c r="U63" s="5" t="str">
        <f>Data!U63</f>
        <v>UNITED STATES</v>
      </c>
      <c r="Y63" s="5" t="str">
        <f>Data!Y63</f>
        <v>United States</v>
      </c>
    </row>
    <row r="64" spans="1:25" x14ac:dyDescent="0.5">
      <c r="A64">
        <f>Data!A64</f>
        <v>363</v>
      </c>
      <c r="J64" s="20">
        <f>Data!J64</f>
        <v>36368</v>
      </c>
      <c r="K64" s="20">
        <f>Data!K64</f>
        <v>43465</v>
      </c>
      <c r="L64" s="5" t="str">
        <f>Data!L64</f>
        <v>Active</v>
      </c>
      <c r="M64" s="5" t="str">
        <f>Data!M64</f>
        <v>Page (Agency)</v>
      </c>
      <c r="P64" s="5" t="str">
        <f>Data!P64</f>
        <v>Grandfathered</v>
      </c>
      <c r="U64" s="5" t="str">
        <f>Data!U64</f>
        <v>UNITED STATES</v>
      </c>
      <c r="Y64" s="5" t="str">
        <f>Data!Y64</f>
        <v>United States</v>
      </c>
    </row>
    <row r="65" spans="1:25" x14ac:dyDescent="0.5">
      <c r="A65">
        <f>Data!A65</f>
        <v>368</v>
      </c>
      <c r="J65" s="20">
        <f>Data!J65</f>
        <v>36397</v>
      </c>
      <c r="K65" s="20">
        <f>Data!K65</f>
        <v>43465</v>
      </c>
      <c r="L65" s="5" t="str">
        <f>Data!L65</f>
        <v>Active</v>
      </c>
      <c r="M65" s="5" t="str">
        <f>Data!M65</f>
        <v>Page (Educator)</v>
      </c>
      <c r="P65" s="5" t="str">
        <f>Data!P65</f>
        <v>Grandfathered</v>
      </c>
      <c r="U65" s="5" t="str">
        <f>Data!U65</f>
        <v>UNITED STATES</v>
      </c>
      <c r="Y65" s="5" t="str">
        <f>Data!Y65</f>
        <v>United States</v>
      </c>
    </row>
    <row r="66" spans="1:25" x14ac:dyDescent="0.5">
      <c r="A66">
        <f>Data!A66</f>
        <v>371</v>
      </c>
      <c r="J66" s="20">
        <f>Data!J66</f>
        <v>36397</v>
      </c>
      <c r="K66" s="20">
        <f>Data!K66</f>
        <v>55153</v>
      </c>
      <c r="L66" s="5" t="str">
        <f>Data!L66</f>
        <v>Active</v>
      </c>
      <c r="M66" s="5" t="str">
        <f>Data!M66</f>
        <v>Page (Honoree)</v>
      </c>
      <c r="P66" s="5" t="str">
        <f>Data!P66</f>
        <v>Grandfathered</v>
      </c>
      <c r="U66" s="5" t="str">
        <f>Data!U66</f>
        <v>UNITED STATES</v>
      </c>
      <c r="Y66" s="5" t="str">
        <f>Data!Y66</f>
        <v>United States</v>
      </c>
    </row>
    <row r="67" spans="1:25" x14ac:dyDescent="0.5">
      <c r="A67">
        <f>Data!A67</f>
        <v>376</v>
      </c>
      <c r="J67" s="20">
        <f>Data!J67</f>
        <v>36397</v>
      </c>
      <c r="K67" s="20">
        <f>Data!K67</f>
        <v>43465</v>
      </c>
      <c r="L67" s="5" t="str">
        <f>Data!L67</f>
        <v>Active</v>
      </c>
      <c r="M67" s="5" t="str">
        <f>Data!M67</f>
        <v>Page (Educator)</v>
      </c>
      <c r="P67" s="5" t="str">
        <f>Data!P67</f>
        <v>Grandfathered</v>
      </c>
      <c r="U67" s="5" t="str">
        <f>Data!U67</f>
        <v>UNITED STATES</v>
      </c>
      <c r="Y67" s="5" t="str">
        <f>Data!Y67</f>
        <v>United States</v>
      </c>
    </row>
    <row r="68" spans="1:25" x14ac:dyDescent="0.5">
      <c r="A68">
        <f>Data!A68</f>
        <v>378</v>
      </c>
      <c r="J68" s="20">
        <f>Data!J68</f>
        <v>36397</v>
      </c>
      <c r="K68" s="20">
        <f>Data!K68</f>
        <v>43465</v>
      </c>
      <c r="L68" s="5" t="str">
        <f>Data!L68</f>
        <v>Active</v>
      </c>
      <c r="M68" s="5" t="str">
        <f>Data!M68</f>
        <v>Page (Educator)</v>
      </c>
      <c r="P68" s="5" t="str">
        <f>Data!P68</f>
        <v>Grandfathered</v>
      </c>
      <c r="U68" s="5" t="str">
        <f>Data!U68</f>
        <v>UNITED STATES</v>
      </c>
      <c r="Y68" s="5" t="str">
        <f>Data!Y68</f>
        <v>United States</v>
      </c>
    </row>
    <row r="69" spans="1:25" x14ac:dyDescent="0.5">
      <c r="A69">
        <f>Data!A69</f>
        <v>412</v>
      </c>
      <c r="J69" s="20">
        <f>Data!J69</f>
        <v>36713</v>
      </c>
      <c r="K69" s="20">
        <f>Data!K69</f>
        <v>43465</v>
      </c>
      <c r="L69" s="5" t="str">
        <f>Data!L69</f>
        <v>Active</v>
      </c>
      <c r="M69" s="5" t="str">
        <f>Data!M69</f>
        <v>Page (Agency)</v>
      </c>
      <c r="P69" s="5" t="str">
        <f>Data!P69</f>
        <v>Grandfathered</v>
      </c>
      <c r="U69" s="5" t="str">
        <f>Data!U69</f>
        <v>UNITED STATES</v>
      </c>
      <c r="Y69" s="5" t="str">
        <f>Data!Y69</f>
        <v>United States</v>
      </c>
    </row>
    <row r="70" spans="1:25" x14ac:dyDescent="0.5">
      <c r="A70">
        <f>Data!A70</f>
        <v>414</v>
      </c>
      <c r="J70" s="20">
        <f>Data!J70</f>
        <v>36761</v>
      </c>
      <c r="K70" s="20">
        <f>Data!K70</f>
        <v>43465</v>
      </c>
      <c r="L70" s="5" t="str">
        <f>Data!L70</f>
        <v>Active</v>
      </c>
      <c r="M70" s="5" t="str">
        <f>Data!M70</f>
        <v>Page (Retired)</v>
      </c>
      <c r="P70" s="5" t="str">
        <f>Data!P70</f>
        <v>Grandfathered</v>
      </c>
      <c r="U70" s="5" t="str">
        <f>Data!U70</f>
        <v>UNITED STATES</v>
      </c>
      <c r="Y70" s="5" t="str">
        <f>Data!Y70</f>
        <v>United States</v>
      </c>
    </row>
    <row r="71" spans="1:25" x14ac:dyDescent="0.5">
      <c r="A71">
        <f>Data!A71</f>
        <v>416</v>
      </c>
      <c r="J71" s="20">
        <f>Data!J71</f>
        <v>36761</v>
      </c>
      <c r="K71" s="20">
        <f>Data!K71</f>
        <v>43465</v>
      </c>
      <c r="L71" s="5" t="str">
        <f>Data!L71</f>
        <v>Active</v>
      </c>
      <c r="M71" s="5" t="str">
        <f>Data!M71</f>
        <v>Page (Corporate)</v>
      </c>
      <c r="P71" s="5" t="str">
        <f>Data!P71</f>
        <v>Grandfathered</v>
      </c>
      <c r="U71" s="5" t="str">
        <f>Data!U71</f>
        <v>UNITED STATES</v>
      </c>
      <c r="Y71" s="5">
        <f>Data!Y71</f>
        <v>0</v>
      </c>
    </row>
    <row r="72" spans="1:25" x14ac:dyDescent="0.5">
      <c r="A72">
        <f>Data!A72</f>
        <v>425</v>
      </c>
      <c r="J72" s="20">
        <f>Data!J72</f>
        <v>36787</v>
      </c>
      <c r="K72" s="20">
        <f>Data!K72</f>
        <v>43465</v>
      </c>
      <c r="L72" s="5" t="str">
        <f>Data!L72</f>
        <v>Active</v>
      </c>
      <c r="M72" s="5" t="str">
        <f>Data!M72</f>
        <v>Page (Agency)</v>
      </c>
      <c r="P72" s="5" t="str">
        <f>Data!P72</f>
        <v>Grandfathered</v>
      </c>
      <c r="U72" s="5" t="str">
        <f>Data!U72</f>
        <v>UNITED STATES</v>
      </c>
      <c r="Y72" s="5" t="str">
        <f>Data!Y72</f>
        <v>United States</v>
      </c>
    </row>
    <row r="73" spans="1:25" x14ac:dyDescent="0.5">
      <c r="A73">
        <f>Data!A73</f>
        <v>443</v>
      </c>
      <c r="J73" s="20">
        <f>Data!J73</f>
        <v>37847</v>
      </c>
      <c r="K73" s="20">
        <f>Data!K73</f>
        <v>55153</v>
      </c>
      <c r="L73" s="5" t="str">
        <f>Data!L73</f>
        <v>Active</v>
      </c>
      <c r="M73" s="5" t="str">
        <f>Data!M73</f>
        <v>Page (Honoree)</v>
      </c>
      <c r="P73" s="5" t="str">
        <f>Data!P73</f>
        <v>Grandfathered</v>
      </c>
      <c r="U73" s="5" t="str">
        <f>Data!U73</f>
        <v>UNITED STATES</v>
      </c>
      <c r="Y73" s="5" t="str">
        <f>Data!Y73</f>
        <v>United States</v>
      </c>
    </row>
    <row r="74" spans="1:25" x14ac:dyDescent="0.5">
      <c r="A74">
        <f>Data!A74</f>
        <v>456</v>
      </c>
      <c r="J74" s="20">
        <f>Data!J74</f>
        <v>36936</v>
      </c>
      <c r="K74" s="20">
        <f>Data!K74</f>
        <v>43465</v>
      </c>
      <c r="L74" s="5" t="str">
        <f>Data!L74</f>
        <v>Active</v>
      </c>
      <c r="M74" s="5" t="str">
        <f>Data!M74</f>
        <v>Page (Educator)</v>
      </c>
      <c r="P74" s="5" t="str">
        <f>Data!P74</f>
        <v>Grandfathered</v>
      </c>
      <c r="U74" s="5" t="str">
        <f>Data!U74</f>
        <v>UNITED STATES</v>
      </c>
      <c r="Y74" s="5" t="str">
        <f>Data!Y74</f>
        <v>United States</v>
      </c>
    </row>
    <row r="75" spans="1:25" x14ac:dyDescent="0.5">
      <c r="A75">
        <f>Data!A75</f>
        <v>467</v>
      </c>
      <c r="J75" s="20">
        <f>Data!J75</f>
        <v>36952</v>
      </c>
      <c r="K75" s="20">
        <f>Data!K75</f>
        <v>43465</v>
      </c>
      <c r="L75" s="5" t="str">
        <f>Data!L75</f>
        <v>Active</v>
      </c>
      <c r="M75" s="5" t="str">
        <f>Data!M75</f>
        <v>Page (Corporate)</v>
      </c>
      <c r="P75" s="5" t="str">
        <f>Data!P75</f>
        <v>Grandfathered</v>
      </c>
      <c r="U75" s="5" t="str">
        <f>Data!U75</f>
        <v>UNITED STATES</v>
      </c>
      <c r="Y75" s="5" t="str">
        <f>Data!Y75</f>
        <v>United States</v>
      </c>
    </row>
    <row r="76" spans="1:25" x14ac:dyDescent="0.5">
      <c r="A76">
        <f>Data!A76</f>
        <v>469</v>
      </c>
      <c r="J76" s="20">
        <f>Data!J76</f>
        <v>36958</v>
      </c>
      <c r="K76" s="20">
        <f>Data!K76</f>
        <v>43465</v>
      </c>
      <c r="L76" s="5" t="str">
        <f>Data!L76</f>
        <v>Active</v>
      </c>
      <c r="M76" s="5" t="str">
        <f>Data!M76</f>
        <v>Page (Retired)</v>
      </c>
      <c r="P76" s="5" t="str">
        <f>Data!P76</f>
        <v>Grandfathered</v>
      </c>
      <c r="U76" s="5" t="str">
        <f>Data!U76</f>
        <v>UNITED STATES</v>
      </c>
      <c r="Y76" s="5" t="str">
        <f>Data!Y76</f>
        <v>United States</v>
      </c>
    </row>
    <row r="77" spans="1:25" x14ac:dyDescent="0.5">
      <c r="A77">
        <f>Data!A77</f>
        <v>483</v>
      </c>
      <c r="J77" s="20">
        <f>Data!J77</f>
        <v>37011</v>
      </c>
      <c r="K77" s="20">
        <f>Data!K77</f>
        <v>43465</v>
      </c>
      <c r="L77" s="5" t="str">
        <f>Data!L77</f>
        <v>Active</v>
      </c>
      <c r="M77" s="5" t="str">
        <f>Data!M77</f>
        <v>Page (Executive Search)</v>
      </c>
      <c r="P77" s="5" t="str">
        <f>Data!P77</f>
        <v>Grandfathered</v>
      </c>
      <c r="U77" s="5" t="str">
        <f>Data!U77</f>
        <v>UNITED STATES</v>
      </c>
      <c r="Y77" s="5" t="str">
        <f>Data!Y77</f>
        <v>United States</v>
      </c>
    </row>
    <row r="78" spans="1:25" x14ac:dyDescent="0.5">
      <c r="A78">
        <f>Data!A78</f>
        <v>488</v>
      </c>
      <c r="J78" s="20">
        <f>Data!J78</f>
        <v>39527</v>
      </c>
      <c r="K78" s="20">
        <f>Data!K78</f>
        <v>43465</v>
      </c>
      <c r="L78" s="5" t="str">
        <f>Data!L78</f>
        <v>Active</v>
      </c>
      <c r="M78" s="5" t="str">
        <f>Data!M78</f>
        <v>Page (Educator)</v>
      </c>
      <c r="P78" s="5" t="str">
        <f>Data!P78</f>
        <v>Grandfathered</v>
      </c>
      <c r="U78" s="5" t="str">
        <f>Data!U78</f>
        <v>UNITED STATES</v>
      </c>
      <c r="Y78" s="5" t="str">
        <f>Data!Y78</f>
        <v>United States</v>
      </c>
    </row>
    <row r="79" spans="1:25" x14ac:dyDescent="0.5">
      <c r="A79">
        <f>Data!A79</f>
        <v>503</v>
      </c>
      <c r="J79" s="20">
        <f>Data!J79</f>
        <v>37119</v>
      </c>
      <c r="K79" s="20">
        <f>Data!K79</f>
        <v>43465</v>
      </c>
      <c r="L79" s="5" t="str">
        <f>Data!L79</f>
        <v>Active</v>
      </c>
      <c r="M79" s="5" t="str">
        <f>Data!M79</f>
        <v>Page (Corporate)</v>
      </c>
      <c r="P79" s="5" t="str">
        <f>Data!P79</f>
        <v>Grandfathered</v>
      </c>
      <c r="U79" s="5" t="str">
        <f>Data!U79</f>
        <v>UNITED STATES</v>
      </c>
      <c r="Y79" s="5" t="str">
        <f>Data!Y79</f>
        <v>United States</v>
      </c>
    </row>
    <row r="80" spans="1:25" x14ac:dyDescent="0.5">
      <c r="A80">
        <f>Data!A80</f>
        <v>504</v>
      </c>
      <c r="J80" s="20">
        <f>Data!J80</f>
        <v>37119</v>
      </c>
      <c r="K80" s="20">
        <f>Data!K80</f>
        <v>43465</v>
      </c>
      <c r="L80" s="5" t="str">
        <f>Data!L80</f>
        <v>Active</v>
      </c>
      <c r="M80" s="5" t="str">
        <f>Data!M80</f>
        <v>Page (Non-Profit)</v>
      </c>
      <c r="P80" s="5" t="str">
        <f>Data!P80</f>
        <v>Grandfathered</v>
      </c>
      <c r="U80" s="5" t="str">
        <f>Data!U80</f>
        <v>UNITED STATES</v>
      </c>
      <c r="Y80" s="5" t="str">
        <f>Data!Y80</f>
        <v>United States</v>
      </c>
    </row>
    <row r="81" spans="1:25" x14ac:dyDescent="0.5">
      <c r="A81">
        <f>Data!A81</f>
        <v>539</v>
      </c>
      <c r="J81" s="20">
        <f>Data!J81</f>
        <v>37221</v>
      </c>
      <c r="K81" s="20">
        <f>Data!K81</f>
        <v>43465</v>
      </c>
      <c r="L81" s="5" t="str">
        <f>Data!L81</f>
        <v>Active</v>
      </c>
      <c r="M81" s="5" t="str">
        <f>Data!M81</f>
        <v>Page (Agency)</v>
      </c>
      <c r="P81" s="5" t="str">
        <f>Data!P81</f>
        <v>Grandfathered</v>
      </c>
      <c r="U81" s="5" t="str">
        <f>Data!U81</f>
        <v>UNITED STATES</v>
      </c>
      <c r="Y81" s="5" t="str">
        <f>Data!Y81</f>
        <v>United States</v>
      </c>
    </row>
    <row r="82" spans="1:25" x14ac:dyDescent="0.5">
      <c r="A82">
        <f>Data!A82</f>
        <v>542</v>
      </c>
      <c r="J82" s="20">
        <f>Data!J82</f>
        <v>37287</v>
      </c>
      <c r="K82" s="20">
        <f>Data!K82</f>
        <v>43465</v>
      </c>
      <c r="L82" s="5" t="str">
        <f>Data!L82</f>
        <v>Active</v>
      </c>
      <c r="M82" s="5" t="str">
        <f>Data!M82</f>
        <v>Page (Executive Search)</v>
      </c>
      <c r="P82" s="5" t="str">
        <f>Data!P82</f>
        <v>Grandfathered</v>
      </c>
      <c r="U82" s="5" t="str">
        <f>Data!U82</f>
        <v>UNITED STATES</v>
      </c>
      <c r="Y82" s="5" t="str">
        <f>Data!Y82</f>
        <v>United States</v>
      </c>
    </row>
    <row r="83" spans="1:25" x14ac:dyDescent="0.5">
      <c r="A83">
        <f>Data!A83</f>
        <v>555</v>
      </c>
      <c r="J83" s="20">
        <f>Data!J83</f>
        <v>37298</v>
      </c>
      <c r="K83" s="20">
        <f>Data!K83</f>
        <v>43465</v>
      </c>
      <c r="L83" s="5" t="str">
        <f>Data!L83</f>
        <v>Active</v>
      </c>
      <c r="M83" s="5" t="str">
        <f>Data!M83</f>
        <v>Page (Corporate)</v>
      </c>
      <c r="P83" s="5" t="str">
        <f>Data!P83</f>
        <v>Grandfathered</v>
      </c>
      <c r="U83" s="5" t="str">
        <f>Data!U83</f>
        <v>UNITED STATES</v>
      </c>
      <c r="Y83" s="5" t="str">
        <f>Data!Y83</f>
        <v>United States</v>
      </c>
    </row>
    <row r="84" spans="1:25" x14ac:dyDescent="0.5">
      <c r="A84">
        <f>Data!A84</f>
        <v>561</v>
      </c>
      <c r="J84" s="20">
        <f>Data!J84</f>
        <v>37337</v>
      </c>
      <c r="K84" s="20">
        <f>Data!K84</f>
        <v>43465</v>
      </c>
      <c r="L84" s="5" t="str">
        <f>Data!L84</f>
        <v>Active</v>
      </c>
      <c r="M84" s="5" t="str">
        <f>Data!M84</f>
        <v>Page (Corporate)</v>
      </c>
      <c r="P84" s="5" t="str">
        <f>Data!P84</f>
        <v>Grandfathered</v>
      </c>
      <c r="U84" s="5" t="str">
        <f>Data!U84</f>
        <v>UNITED STATES</v>
      </c>
      <c r="Y84" s="5" t="str">
        <f>Data!Y84</f>
        <v>United States</v>
      </c>
    </row>
    <row r="85" spans="1:25" x14ac:dyDescent="0.5">
      <c r="A85">
        <f>Data!A85</f>
        <v>562</v>
      </c>
      <c r="J85" s="20">
        <f>Data!J85</f>
        <v>37398</v>
      </c>
      <c r="K85" s="20">
        <f>Data!K85</f>
        <v>43465</v>
      </c>
      <c r="L85" s="5" t="str">
        <f>Data!L85</f>
        <v>Active</v>
      </c>
      <c r="M85" s="5" t="str">
        <f>Data!M85</f>
        <v>Page (Corporate)</v>
      </c>
      <c r="P85" s="5" t="str">
        <f>Data!P85</f>
        <v>Grandfathered</v>
      </c>
      <c r="U85" s="5" t="str">
        <f>Data!U85</f>
        <v>UNITED STATES</v>
      </c>
      <c r="Y85" s="5" t="str">
        <f>Data!Y85</f>
        <v>United States</v>
      </c>
    </row>
    <row r="86" spans="1:25" x14ac:dyDescent="0.5">
      <c r="A86">
        <f>Data!A86</f>
        <v>563</v>
      </c>
      <c r="J86" s="20">
        <f>Data!J86</f>
        <v>37414</v>
      </c>
      <c r="K86" s="20">
        <f>Data!K86</f>
        <v>43465</v>
      </c>
      <c r="L86" s="5" t="str">
        <f>Data!L86</f>
        <v>Active</v>
      </c>
      <c r="M86" s="5" t="str">
        <f>Data!M86</f>
        <v>Page (Retired)</v>
      </c>
      <c r="P86" s="5" t="str">
        <f>Data!P86</f>
        <v>Grandfathered</v>
      </c>
      <c r="U86" s="5" t="str">
        <f>Data!U86</f>
        <v>UNITED STATES</v>
      </c>
      <c r="Y86" s="5" t="str">
        <f>Data!Y86</f>
        <v>United States</v>
      </c>
    </row>
    <row r="87" spans="1:25" x14ac:dyDescent="0.5">
      <c r="A87">
        <f>Data!A87</f>
        <v>573</v>
      </c>
      <c r="J87" s="20">
        <f>Data!J87</f>
        <v>37420</v>
      </c>
      <c r="K87" s="20">
        <f>Data!K87</f>
        <v>43465</v>
      </c>
      <c r="L87" s="5" t="str">
        <f>Data!L87</f>
        <v>Active</v>
      </c>
      <c r="M87" s="5" t="str">
        <f>Data!M87</f>
        <v>Page (Corporate)</v>
      </c>
      <c r="P87" s="5" t="str">
        <f>Data!P87</f>
        <v>Grandfathered</v>
      </c>
      <c r="U87" s="5" t="str">
        <f>Data!U87</f>
        <v>UNITED STATES</v>
      </c>
      <c r="Y87" s="5" t="str">
        <f>Data!Y87</f>
        <v>United States</v>
      </c>
    </row>
    <row r="88" spans="1:25" x14ac:dyDescent="0.5">
      <c r="A88">
        <f>Data!A88</f>
        <v>575</v>
      </c>
      <c r="J88" s="20">
        <f>Data!J88</f>
        <v>37420</v>
      </c>
      <c r="K88" s="20">
        <f>Data!K88</f>
        <v>43465</v>
      </c>
      <c r="L88" s="5" t="str">
        <f>Data!L88</f>
        <v>Active</v>
      </c>
      <c r="M88" s="5" t="str">
        <f>Data!M88</f>
        <v>Page (Agency)</v>
      </c>
      <c r="P88" s="5" t="str">
        <f>Data!P88</f>
        <v>Grandfathered</v>
      </c>
      <c r="U88" s="5" t="str">
        <f>Data!U88</f>
        <v>UNITED STATES</v>
      </c>
      <c r="Y88" s="5" t="str">
        <f>Data!Y88</f>
        <v>United States</v>
      </c>
    </row>
    <row r="89" spans="1:25" x14ac:dyDescent="0.5">
      <c r="A89">
        <f>Data!A89</f>
        <v>585</v>
      </c>
      <c r="J89" s="20">
        <f>Data!J89</f>
        <v>37750</v>
      </c>
      <c r="K89" s="20">
        <f>Data!K89</f>
        <v>43465</v>
      </c>
      <c r="L89" s="5" t="str">
        <f>Data!L89</f>
        <v>Active</v>
      </c>
      <c r="M89" s="5" t="str">
        <f>Data!M89</f>
        <v>Page (Retired)</v>
      </c>
      <c r="P89" s="5" t="str">
        <f>Data!P89</f>
        <v>Grandfathered</v>
      </c>
      <c r="U89" s="5" t="str">
        <f>Data!U89</f>
        <v>UNITED STATES</v>
      </c>
      <c r="Y89" s="5" t="str">
        <f>Data!Y89</f>
        <v>United States</v>
      </c>
    </row>
    <row r="90" spans="1:25" x14ac:dyDescent="0.5">
      <c r="A90">
        <f>Data!A90</f>
        <v>593</v>
      </c>
      <c r="J90" s="20">
        <f>Data!J90</f>
        <v>37483</v>
      </c>
      <c r="K90" s="20">
        <f>Data!K90</f>
        <v>43465</v>
      </c>
      <c r="L90" s="5" t="str">
        <f>Data!L90</f>
        <v>Active</v>
      </c>
      <c r="M90" s="5" t="str">
        <f>Data!M90</f>
        <v>Page (Agency)</v>
      </c>
      <c r="P90" s="5" t="str">
        <f>Data!P90</f>
        <v>Grandfathered</v>
      </c>
      <c r="U90" s="5" t="str">
        <f>Data!U90</f>
        <v>UNITED STATES</v>
      </c>
      <c r="Y90" s="5" t="str">
        <f>Data!Y90</f>
        <v>United States</v>
      </c>
    </row>
    <row r="91" spans="1:25" x14ac:dyDescent="0.5">
      <c r="A91">
        <f>Data!A91</f>
        <v>598</v>
      </c>
      <c r="J91" s="20">
        <f>Data!J91</f>
        <v>37483</v>
      </c>
      <c r="K91" s="20">
        <f>Data!K91</f>
        <v>43465</v>
      </c>
      <c r="L91" s="5" t="str">
        <f>Data!L91</f>
        <v>Active</v>
      </c>
      <c r="M91" s="5" t="str">
        <f>Data!M91</f>
        <v>Page (Retired)</v>
      </c>
      <c r="P91" s="5" t="str">
        <f>Data!P91</f>
        <v>Grandfathered</v>
      </c>
      <c r="U91" s="5" t="str">
        <f>Data!U91</f>
        <v>UNITED STATES</v>
      </c>
      <c r="Y91" s="5" t="str">
        <f>Data!Y91</f>
        <v>United States</v>
      </c>
    </row>
    <row r="92" spans="1:25" x14ac:dyDescent="0.5">
      <c r="A92">
        <f>Data!A92</f>
        <v>611</v>
      </c>
      <c r="J92" s="20">
        <f>Data!J92</f>
        <v>39639</v>
      </c>
      <c r="K92" s="20">
        <f>Data!K92</f>
        <v>43465</v>
      </c>
      <c r="L92" s="5" t="str">
        <f>Data!L92</f>
        <v>Active</v>
      </c>
      <c r="M92" s="5" t="str">
        <f>Data!M92</f>
        <v>Page (Corporate)</v>
      </c>
      <c r="P92" s="5" t="str">
        <f>Data!P92</f>
        <v>Grandfathered</v>
      </c>
      <c r="U92" s="5" t="str">
        <f>Data!U92</f>
        <v>UNITED STATES</v>
      </c>
      <c r="Y92" s="5" t="str">
        <f>Data!Y92</f>
        <v>United States</v>
      </c>
    </row>
    <row r="93" spans="1:25" x14ac:dyDescent="0.5">
      <c r="A93">
        <f>Data!A93</f>
        <v>618</v>
      </c>
      <c r="J93" s="20">
        <f>Data!J93</f>
        <v>37707</v>
      </c>
      <c r="K93" s="20">
        <f>Data!K93</f>
        <v>43465</v>
      </c>
      <c r="L93" s="5" t="str">
        <f>Data!L93</f>
        <v>Active</v>
      </c>
      <c r="M93" s="5" t="str">
        <f>Data!M93</f>
        <v>Page (Retired)</v>
      </c>
      <c r="P93" s="5" t="str">
        <f>Data!P93</f>
        <v>Grandfathered</v>
      </c>
      <c r="U93" s="5" t="str">
        <f>Data!U93</f>
        <v>UNITED STATES</v>
      </c>
      <c r="Y93" s="5" t="str">
        <f>Data!Y93</f>
        <v>United States</v>
      </c>
    </row>
    <row r="94" spans="1:25" x14ac:dyDescent="0.5">
      <c r="A94">
        <f>Data!A94</f>
        <v>6291</v>
      </c>
      <c r="J94" s="20">
        <f>Data!J94</f>
        <v>43290</v>
      </c>
      <c r="K94" s="20">
        <f>Data!K94</f>
        <v>43655</v>
      </c>
      <c r="L94" s="5" t="str">
        <f>Data!L94</f>
        <v>Active</v>
      </c>
      <c r="M94" s="5" t="str">
        <f>Data!M94</f>
        <v>Page (Corporate)</v>
      </c>
      <c r="P94" s="5">
        <f>Data!P94</f>
        <v>0</v>
      </c>
      <c r="U94" s="5" t="str">
        <f>Data!U94</f>
        <v>UNITED STATES</v>
      </c>
      <c r="Y94" s="5" t="str">
        <f>Data!Y94</f>
        <v>United States</v>
      </c>
    </row>
    <row r="95" spans="1:25" x14ac:dyDescent="0.5">
      <c r="A95">
        <f>Data!A95</f>
        <v>6321</v>
      </c>
      <c r="J95" s="20">
        <f>Data!J95</f>
        <v>37596</v>
      </c>
      <c r="K95" s="20">
        <f>Data!K95</f>
        <v>43465</v>
      </c>
      <c r="L95" s="5" t="str">
        <f>Data!L95</f>
        <v>Active</v>
      </c>
      <c r="M95" s="5" t="str">
        <f>Data!M95</f>
        <v>Page (Retired)</v>
      </c>
      <c r="P95" s="5" t="str">
        <f>Data!P95</f>
        <v>Grandfathered</v>
      </c>
      <c r="U95" s="5" t="str">
        <f>Data!U95</f>
        <v>UNITED STATES</v>
      </c>
      <c r="Y95" s="5" t="str">
        <f>Data!Y95</f>
        <v>United States</v>
      </c>
    </row>
    <row r="96" spans="1:25" x14ac:dyDescent="0.5">
      <c r="A96">
        <f>Data!A96</f>
        <v>6341</v>
      </c>
      <c r="J96" s="20">
        <f>Data!J96</f>
        <v>37596</v>
      </c>
      <c r="K96" s="20">
        <f>Data!K96</f>
        <v>43465</v>
      </c>
      <c r="L96" s="5" t="str">
        <f>Data!L96</f>
        <v>Active</v>
      </c>
      <c r="M96" s="5" t="str">
        <f>Data!M96</f>
        <v>Page (Corporate)</v>
      </c>
      <c r="P96" s="5" t="str">
        <f>Data!P96</f>
        <v>Grandfathered</v>
      </c>
      <c r="U96" s="5" t="str">
        <f>Data!U96</f>
        <v>China</v>
      </c>
      <c r="Y96" s="5" t="str">
        <f>Data!Y96</f>
        <v>Asia:Other</v>
      </c>
    </row>
    <row r="97" spans="1:25" x14ac:dyDescent="0.5">
      <c r="A97">
        <f>Data!A97</f>
        <v>6381</v>
      </c>
      <c r="J97" s="20">
        <f>Data!J97</f>
        <v>37596</v>
      </c>
      <c r="K97" s="20">
        <f>Data!K97</f>
        <v>43465</v>
      </c>
      <c r="L97" s="5" t="str">
        <f>Data!L97</f>
        <v>Active</v>
      </c>
      <c r="M97" s="5" t="str">
        <f>Data!M97</f>
        <v>Page (Corporate)</v>
      </c>
      <c r="P97" s="5" t="str">
        <f>Data!P97</f>
        <v>Grandfathered</v>
      </c>
      <c r="U97" s="5" t="str">
        <f>Data!U97</f>
        <v>UNITED STATES</v>
      </c>
      <c r="Y97" s="5" t="str">
        <f>Data!Y97</f>
        <v>United States</v>
      </c>
    </row>
    <row r="98" spans="1:25" x14ac:dyDescent="0.5">
      <c r="A98">
        <f>Data!A98</f>
        <v>6411</v>
      </c>
      <c r="J98" s="20">
        <f>Data!J98</f>
        <v>37596</v>
      </c>
      <c r="K98" s="20">
        <f>Data!K98</f>
        <v>43465</v>
      </c>
      <c r="L98" s="5" t="str">
        <f>Data!L98</f>
        <v>Active</v>
      </c>
      <c r="M98" s="5" t="str">
        <f>Data!M98</f>
        <v>Page (Corporate)</v>
      </c>
      <c r="P98" s="5" t="str">
        <f>Data!P98</f>
        <v>Grandfathered</v>
      </c>
      <c r="U98" s="5" t="str">
        <f>Data!U98</f>
        <v>UNITED STATES</v>
      </c>
      <c r="Y98" s="5" t="str">
        <f>Data!Y98</f>
        <v>United States</v>
      </c>
    </row>
    <row r="99" spans="1:25" x14ac:dyDescent="0.5">
      <c r="A99">
        <f>Data!A99</f>
        <v>6521</v>
      </c>
      <c r="J99" s="20">
        <f>Data!J99</f>
        <v>37673</v>
      </c>
      <c r="K99" s="20">
        <f>Data!K99</f>
        <v>43465</v>
      </c>
      <c r="L99" s="5" t="str">
        <f>Data!L99</f>
        <v>Active</v>
      </c>
      <c r="M99" s="5" t="str">
        <f>Data!M99</f>
        <v>Page (Corporate)</v>
      </c>
      <c r="P99" s="5" t="str">
        <f>Data!P99</f>
        <v>Grandfathered</v>
      </c>
      <c r="U99" s="5" t="str">
        <f>Data!U99</f>
        <v>UNITED STATES</v>
      </c>
      <c r="Y99" s="5" t="str">
        <f>Data!Y99</f>
        <v>United States</v>
      </c>
    </row>
    <row r="100" spans="1:25" x14ac:dyDescent="0.5">
      <c r="A100">
        <f>Data!A100</f>
        <v>6551</v>
      </c>
      <c r="J100" s="20">
        <f>Data!J100</f>
        <v>37673</v>
      </c>
      <c r="K100" s="20">
        <f>Data!K100</f>
        <v>43465</v>
      </c>
      <c r="L100" s="5" t="str">
        <f>Data!L100</f>
        <v>Active</v>
      </c>
      <c r="M100" s="5" t="str">
        <f>Data!M100</f>
        <v>Page (Corporate)</v>
      </c>
      <c r="P100" s="5" t="str">
        <f>Data!P100</f>
        <v>Grandfathered</v>
      </c>
      <c r="U100" s="5" t="str">
        <f>Data!U100</f>
        <v>UNITED STATES</v>
      </c>
      <c r="Y100" s="5" t="str">
        <f>Data!Y100</f>
        <v>United States</v>
      </c>
    </row>
    <row r="101" spans="1:25" x14ac:dyDescent="0.5">
      <c r="A101">
        <f>Data!A101</f>
        <v>6561</v>
      </c>
      <c r="J101" s="20">
        <f>Data!J101</f>
        <v>37698</v>
      </c>
      <c r="K101" s="20">
        <f>Data!K101</f>
        <v>43465</v>
      </c>
      <c r="L101" s="5" t="str">
        <f>Data!L101</f>
        <v>Active</v>
      </c>
      <c r="M101" s="5" t="str">
        <f>Data!M101</f>
        <v>Page (Corporate)</v>
      </c>
      <c r="P101" s="5" t="str">
        <f>Data!P101</f>
        <v>Grandfathered</v>
      </c>
      <c r="U101" s="5" t="str">
        <f>Data!U101</f>
        <v>UNITED STATES</v>
      </c>
      <c r="Y101" s="5" t="str">
        <f>Data!Y101</f>
        <v>United States</v>
      </c>
    </row>
    <row r="102" spans="1:25" x14ac:dyDescent="0.5">
      <c r="A102">
        <f>Data!A102</f>
        <v>6631</v>
      </c>
      <c r="J102" s="20">
        <f>Data!J102</f>
        <v>37733</v>
      </c>
      <c r="K102" s="20">
        <f>Data!K102</f>
        <v>43465</v>
      </c>
      <c r="L102" s="5" t="str">
        <f>Data!L102</f>
        <v>Active</v>
      </c>
      <c r="M102" s="5" t="str">
        <f>Data!M102</f>
        <v>Page (Retired)</v>
      </c>
      <c r="P102" s="5" t="str">
        <f>Data!P102</f>
        <v>Grandfathered</v>
      </c>
      <c r="U102" s="5" t="str">
        <f>Data!U102</f>
        <v>UNITED STATES</v>
      </c>
      <c r="Y102" s="5" t="str">
        <f>Data!Y102</f>
        <v>United States</v>
      </c>
    </row>
    <row r="103" spans="1:25" x14ac:dyDescent="0.5">
      <c r="A103">
        <f>Data!A103</f>
        <v>6641</v>
      </c>
      <c r="J103" s="20">
        <f>Data!J103</f>
        <v>37739</v>
      </c>
      <c r="K103" s="20">
        <f>Data!K103</f>
        <v>43465</v>
      </c>
      <c r="L103" s="5" t="str">
        <f>Data!L103</f>
        <v>Active</v>
      </c>
      <c r="M103" s="5" t="str">
        <f>Data!M103</f>
        <v>Page (Corporate)</v>
      </c>
      <c r="P103" s="5" t="str">
        <f>Data!P103</f>
        <v>Grandfathered</v>
      </c>
      <c r="U103" s="5" t="str">
        <f>Data!U103</f>
        <v>UNITED STATES</v>
      </c>
      <c r="Y103" s="5" t="str">
        <f>Data!Y103</f>
        <v>United States</v>
      </c>
    </row>
    <row r="104" spans="1:25" x14ac:dyDescent="0.5">
      <c r="A104">
        <f>Data!A104</f>
        <v>6671</v>
      </c>
      <c r="J104" s="20">
        <f>Data!J104</f>
        <v>37771</v>
      </c>
      <c r="K104" s="20">
        <f>Data!K104</f>
        <v>43465</v>
      </c>
      <c r="L104" s="5" t="str">
        <f>Data!L104</f>
        <v>Active</v>
      </c>
      <c r="M104" s="5" t="str">
        <f>Data!M104</f>
        <v>Page (Corporate)</v>
      </c>
      <c r="P104" s="5" t="str">
        <f>Data!P104</f>
        <v>Grandfathered</v>
      </c>
      <c r="U104" s="5" t="str">
        <f>Data!U104</f>
        <v>UNITED STATES</v>
      </c>
      <c r="Y104" s="5" t="str">
        <f>Data!Y104</f>
        <v>United States</v>
      </c>
    </row>
    <row r="105" spans="1:25" x14ac:dyDescent="0.5">
      <c r="A105">
        <f>Data!A105</f>
        <v>6681</v>
      </c>
      <c r="J105" s="20">
        <f>Data!J105</f>
        <v>37771</v>
      </c>
      <c r="K105" s="20">
        <f>Data!K105</f>
        <v>43465</v>
      </c>
      <c r="L105" s="5" t="str">
        <f>Data!L105</f>
        <v>Active</v>
      </c>
      <c r="M105" s="5" t="str">
        <f>Data!M105</f>
        <v>Page (Retired)</v>
      </c>
      <c r="P105" s="5" t="str">
        <f>Data!P105</f>
        <v>Grandfathered</v>
      </c>
      <c r="U105" s="5" t="str">
        <f>Data!U105</f>
        <v>Germany</v>
      </c>
      <c r="Y105" s="5" t="str">
        <f>Data!Y105</f>
        <v>Europe</v>
      </c>
    </row>
    <row r="106" spans="1:25" x14ac:dyDescent="0.5">
      <c r="A106">
        <f>Data!A106</f>
        <v>6971</v>
      </c>
      <c r="J106" s="20">
        <f>Data!J106</f>
        <v>38875</v>
      </c>
      <c r="K106" s="20">
        <f>Data!K106</f>
        <v>43465</v>
      </c>
      <c r="L106" s="5" t="str">
        <f>Data!L106</f>
        <v>Active</v>
      </c>
      <c r="M106" s="5" t="str">
        <f>Data!M106</f>
        <v>Page (Corporate)</v>
      </c>
      <c r="P106" s="5" t="str">
        <f>Data!P106</f>
        <v>Grandfathered</v>
      </c>
      <c r="U106" s="5" t="str">
        <f>Data!U106</f>
        <v>UNITED STATES</v>
      </c>
      <c r="Y106" s="5" t="str">
        <f>Data!Y106</f>
        <v>United States</v>
      </c>
    </row>
    <row r="107" spans="1:25" x14ac:dyDescent="0.5">
      <c r="A107">
        <f>Data!A107</f>
        <v>7001</v>
      </c>
      <c r="J107" s="20">
        <f>Data!J107</f>
        <v>37867</v>
      </c>
      <c r="K107" s="20">
        <f>Data!K107</f>
        <v>43465</v>
      </c>
      <c r="L107" s="5" t="str">
        <f>Data!L107</f>
        <v>Active</v>
      </c>
      <c r="M107" s="5" t="str">
        <f>Data!M107</f>
        <v>Page (Educator)</v>
      </c>
      <c r="P107" s="5" t="str">
        <f>Data!P107</f>
        <v>Grandfathered</v>
      </c>
      <c r="U107" s="5" t="str">
        <f>Data!U107</f>
        <v>UNITED STATES</v>
      </c>
      <c r="Y107" s="5" t="str">
        <f>Data!Y107</f>
        <v>United States</v>
      </c>
    </row>
    <row r="108" spans="1:25" x14ac:dyDescent="0.5">
      <c r="A108">
        <f>Data!A108</f>
        <v>7211</v>
      </c>
      <c r="J108" s="20">
        <f>Data!J108</f>
        <v>37872</v>
      </c>
      <c r="K108" s="20">
        <f>Data!K108</f>
        <v>55153</v>
      </c>
      <c r="L108" s="5" t="str">
        <f>Data!L108</f>
        <v>Active</v>
      </c>
      <c r="M108" s="5" t="str">
        <f>Data!M108</f>
        <v>Page (Honoree)</v>
      </c>
      <c r="P108" s="5" t="str">
        <f>Data!P108</f>
        <v>Grandfathered</v>
      </c>
      <c r="U108" s="5" t="str">
        <f>Data!U108</f>
        <v>UNITED STATES</v>
      </c>
      <c r="Y108" s="5" t="str">
        <f>Data!Y108</f>
        <v>United States</v>
      </c>
    </row>
    <row r="109" spans="1:25" x14ac:dyDescent="0.5">
      <c r="A109">
        <f>Data!A109</f>
        <v>7251</v>
      </c>
      <c r="J109" s="20">
        <f>Data!J109</f>
        <v>37875</v>
      </c>
      <c r="K109" s="20">
        <f>Data!K109</f>
        <v>43465</v>
      </c>
      <c r="L109" s="5" t="str">
        <f>Data!L109</f>
        <v>Active</v>
      </c>
      <c r="M109" s="5" t="str">
        <f>Data!M109</f>
        <v>Page (Corporate)</v>
      </c>
      <c r="P109" s="5" t="str">
        <f>Data!P109</f>
        <v>Grandfathered</v>
      </c>
      <c r="U109" s="5" t="str">
        <f>Data!U109</f>
        <v>UNITED STATES</v>
      </c>
      <c r="Y109" s="5" t="str">
        <f>Data!Y109</f>
        <v>United States</v>
      </c>
    </row>
    <row r="110" spans="1:25" x14ac:dyDescent="0.5">
      <c r="A110">
        <f>Data!A110</f>
        <v>7301</v>
      </c>
      <c r="J110" s="20">
        <f>Data!J110</f>
        <v>37903</v>
      </c>
      <c r="K110" s="20">
        <f>Data!K110</f>
        <v>43465</v>
      </c>
      <c r="L110" s="5" t="str">
        <f>Data!L110</f>
        <v>Active</v>
      </c>
      <c r="M110" s="5" t="str">
        <f>Data!M110</f>
        <v>Page (Educator)</v>
      </c>
      <c r="P110" s="5" t="str">
        <f>Data!P110</f>
        <v>Grandfathered</v>
      </c>
      <c r="U110" s="5" t="str">
        <f>Data!U110</f>
        <v>UNITED STATES</v>
      </c>
      <c r="Y110" s="5" t="str">
        <f>Data!Y110</f>
        <v>United States</v>
      </c>
    </row>
    <row r="111" spans="1:25" x14ac:dyDescent="0.5">
      <c r="A111">
        <f>Data!A111</f>
        <v>7391</v>
      </c>
      <c r="J111" s="20">
        <f>Data!J111</f>
        <v>40742</v>
      </c>
      <c r="K111" s="20">
        <f>Data!K111</f>
        <v>43465</v>
      </c>
      <c r="L111" s="5" t="str">
        <f>Data!L111</f>
        <v>Active</v>
      </c>
      <c r="M111" s="5" t="str">
        <f>Data!M111</f>
        <v>Page (Non-Profit)</v>
      </c>
      <c r="P111" s="5" t="str">
        <f>Data!P111</f>
        <v>Eligible</v>
      </c>
      <c r="U111" s="5" t="str">
        <f>Data!U111</f>
        <v>UNITED STATES</v>
      </c>
      <c r="Y111" s="5" t="str">
        <f>Data!Y111</f>
        <v>United States</v>
      </c>
    </row>
    <row r="112" spans="1:25" x14ac:dyDescent="0.5">
      <c r="A112">
        <f>Data!A112</f>
        <v>7721</v>
      </c>
      <c r="J112" s="20">
        <f>Data!J112</f>
        <v>42684</v>
      </c>
      <c r="K112" s="20">
        <f>Data!K112</f>
        <v>43465</v>
      </c>
      <c r="L112" s="5" t="str">
        <f>Data!L112</f>
        <v>Active</v>
      </c>
      <c r="M112" s="5" t="str">
        <f>Data!M112</f>
        <v>Page (Corporate)</v>
      </c>
      <c r="P112" s="5" t="str">
        <f>Data!P112</f>
        <v>Eligible</v>
      </c>
      <c r="U112" s="5" t="str">
        <f>Data!U112</f>
        <v>UNITED STATES</v>
      </c>
      <c r="Y112" s="5" t="str">
        <f>Data!Y112</f>
        <v>United States</v>
      </c>
    </row>
    <row r="113" spans="1:25" x14ac:dyDescent="0.5">
      <c r="A113">
        <f>Data!A113</f>
        <v>7731</v>
      </c>
      <c r="J113" s="20">
        <f>Data!J113</f>
        <v>38056</v>
      </c>
      <c r="K113" s="20">
        <f>Data!K113</f>
        <v>43465</v>
      </c>
      <c r="L113" s="5" t="str">
        <f>Data!L113</f>
        <v>Active</v>
      </c>
      <c r="M113" s="5" t="str">
        <f>Data!M113</f>
        <v>Page (Retired)</v>
      </c>
      <c r="P113" s="5" t="str">
        <f>Data!P113</f>
        <v>Grandfathered</v>
      </c>
      <c r="U113" s="5" t="str">
        <f>Data!U113</f>
        <v>UNITED STATES</v>
      </c>
      <c r="Y113" s="5" t="str">
        <f>Data!Y113</f>
        <v>United States</v>
      </c>
    </row>
    <row r="114" spans="1:25" x14ac:dyDescent="0.5">
      <c r="A114">
        <f>Data!A114</f>
        <v>8351</v>
      </c>
      <c r="J114" s="20">
        <f>Data!J114</f>
        <v>39388</v>
      </c>
      <c r="K114" s="20">
        <f>Data!K114</f>
        <v>43465</v>
      </c>
      <c r="L114" s="5" t="str">
        <f>Data!L114</f>
        <v>Active</v>
      </c>
      <c r="M114" s="5" t="str">
        <f>Data!M114</f>
        <v>Page (Corporate)</v>
      </c>
      <c r="P114" s="5" t="str">
        <f>Data!P114</f>
        <v>Grandfathered</v>
      </c>
      <c r="U114" s="5" t="str">
        <f>Data!U114</f>
        <v>UNITED STATES</v>
      </c>
      <c r="Y114" s="5" t="str">
        <f>Data!Y114</f>
        <v>United States</v>
      </c>
    </row>
    <row r="115" spans="1:25" x14ac:dyDescent="0.5">
      <c r="A115">
        <f>Data!A115</f>
        <v>8761</v>
      </c>
      <c r="J115" s="20">
        <f>Data!J115</f>
        <v>43335</v>
      </c>
      <c r="K115" s="20">
        <f>Data!K115</f>
        <v>43700</v>
      </c>
      <c r="L115" s="5" t="str">
        <f>Data!L115</f>
        <v>Active</v>
      </c>
      <c r="M115" s="5" t="str">
        <f>Data!M115</f>
        <v>Page (Non-Profit)</v>
      </c>
      <c r="P115" s="5" t="str">
        <f>Data!P115</f>
        <v>Eligible</v>
      </c>
      <c r="U115" s="5" t="str">
        <f>Data!U115</f>
        <v>UNITED STATES</v>
      </c>
      <c r="Y115" s="5" t="str">
        <f>Data!Y115</f>
        <v>United States</v>
      </c>
    </row>
    <row r="116" spans="1:25" x14ac:dyDescent="0.5">
      <c r="A116">
        <f>Data!A116</f>
        <v>8841</v>
      </c>
      <c r="J116" s="20">
        <f>Data!J116</f>
        <v>40738</v>
      </c>
      <c r="K116" s="20">
        <f>Data!K116</f>
        <v>43465</v>
      </c>
      <c r="L116" s="5" t="str">
        <f>Data!L116</f>
        <v>Active</v>
      </c>
      <c r="M116" s="5" t="str">
        <f>Data!M116</f>
        <v>Page (Corporate)</v>
      </c>
      <c r="P116" s="5" t="str">
        <f>Data!P116</f>
        <v>Grandfathered</v>
      </c>
      <c r="U116" s="5" t="str">
        <f>Data!U116</f>
        <v>UNITED STATES</v>
      </c>
      <c r="Y116" s="5" t="str">
        <f>Data!Y116</f>
        <v>United States</v>
      </c>
    </row>
    <row r="117" spans="1:25" x14ac:dyDescent="0.5">
      <c r="A117">
        <f>Data!A117</f>
        <v>9051</v>
      </c>
      <c r="J117" s="20">
        <f>Data!J117</f>
        <v>38169</v>
      </c>
      <c r="K117" s="20">
        <f>Data!K117</f>
        <v>43465</v>
      </c>
      <c r="L117" s="5" t="str">
        <f>Data!L117</f>
        <v>Active</v>
      </c>
      <c r="M117" s="5" t="str">
        <f>Data!M117</f>
        <v>Page (Corporate)</v>
      </c>
      <c r="P117" s="5" t="str">
        <f>Data!P117</f>
        <v>Grandfathered</v>
      </c>
      <c r="U117" s="5" t="str">
        <f>Data!U117</f>
        <v>UNITED STATES</v>
      </c>
      <c r="Y117" s="5" t="str">
        <f>Data!Y117</f>
        <v>United States</v>
      </c>
    </row>
    <row r="118" spans="1:25" x14ac:dyDescent="0.5">
      <c r="A118">
        <f>Data!A118</f>
        <v>9111</v>
      </c>
      <c r="J118" s="20">
        <f>Data!J118</f>
        <v>38169</v>
      </c>
      <c r="K118" s="20">
        <f>Data!K118</f>
        <v>43465</v>
      </c>
      <c r="L118" s="5" t="str">
        <f>Data!L118</f>
        <v>Active</v>
      </c>
      <c r="M118" s="5" t="str">
        <f>Data!M118</f>
        <v>Page (Agency)</v>
      </c>
      <c r="P118" s="5" t="str">
        <f>Data!P118</f>
        <v>Grandfathered</v>
      </c>
      <c r="U118" s="5" t="str">
        <f>Data!U118</f>
        <v>UNITED STATES</v>
      </c>
      <c r="Y118" s="5" t="str">
        <f>Data!Y118</f>
        <v>United States</v>
      </c>
    </row>
    <row r="119" spans="1:25" x14ac:dyDescent="0.5">
      <c r="A119">
        <f>Data!A119</f>
        <v>9121</v>
      </c>
      <c r="J119" s="20">
        <f>Data!J119</f>
        <v>38169</v>
      </c>
      <c r="K119" s="20">
        <f>Data!K119</f>
        <v>43465</v>
      </c>
      <c r="L119" s="5" t="str">
        <f>Data!L119</f>
        <v>Active</v>
      </c>
      <c r="M119" s="5" t="str">
        <f>Data!M119</f>
        <v>Page (Agency)</v>
      </c>
      <c r="P119" s="5" t="str">
        <f>Data!P119</f>
        <v>Grandfathered</v>
      </c>
      <c r="U119" s="5" t="str">
        <f>Data!U119</f>
        <v>UNITED STATES</v>
      </c>
      <c r="Y119" s="5" t="str">
        <f>Data!Y119</f>
        <v>United States</v>
      </c>
    </row>
    <row r="120" spans="1:25" x14ac:dyDescent="0.5">
      <c r="A120">
        <f>Data!A120</f>
        <v>9171</v>
      </c>
      <c r="J120" s="20">
        <f>Data!J120</f>
        <v>38169</v>
      </c>
      <c r="K120" s="20">
        <f>Data!K120</f>
        <v>43465</v>
      </c>
      <c r="L120" s="5" t="str">
        <f>Data!L120</f>
        <v>Active</v>
      </c>
      <c r="M120" s="5" t="str">
        <f>Data!M120</f>
        <v>Page (Agency)</v>
      </c>
      <c r="P120" s="5" t="str">
        <f>Data!P120</f>
        <v>Grandfathered</v>
      </c>
      <c r="U120" s="5" t="str">
        <f>Data!U120</f>
        <v>UNITED STATES</v>
      </c>
      <c r="Y120" s="5" t="str">
        <f>Data!Y120</f>
        <v>United States</v>
      </c>
    </row>
    <row r="121" spans="1:25" x14ac:dyDescent="0.5">
      <c r="A121">
        <f>Data!A121</f>
        <v>9191</v>
      </c>
      <c r="J121" s="20">
        <f>Data!J121</f>
        <v>38180</v>
      </c>
      <c r="K121" s="20">
        <f>Data!K121</f>
        <v>55153</v>
      </c>
      <c r="L121" s="5" t="str">
        <f>Data!L121</f>
        <v>Active</v>
      </c>
      <c r="M121" s="5" t="str">
        <f>Data!M121</f>
        <v>Page (Honoree)</v>
      </c>
      <c r="P121" s="5" t="str">
        <f>Data!P121</f>
        <v>Grandfathered</v>
      </c>
      <c r="U121" s="5" t="str">
        <f>Data!U121</f>
        <v>UNITED STATES</v>
      </c>
      <c r="Y121" s="5" t="str">
        <f>Data!Y121</f>
        <v>United States</v>
      </c>
    </row>
    <row r="122" spans="1:25" x14ac:dyDescent="0.5">
      <c r="A122">
        <f>Data!A122</f>
        <v>9351</v>
      </c>
      <c r="J122" s="20">
        <f>Data!J122</f>
        <v>42479</v>
      </c>
      <c r="K122" s="20">
        <f>Data!K122</f>
        <v>43465</v>
      </c>
      <c r="L122" s="5" t="str">
        <f>Data!L122</f>
        <v>Active</v>
      </c>
      <c r="M122" s="5" t="str">
        <f>Data!M122</f>
        <v>Page (Corporate)</v>
      </c>
      <c r="P122" s="5" t="str">
        <f>Data!P122</f>
        <v>Eligible</v>
      </c>
      <c r="U122" s="5" t="str">
        <f>Data!U122</f>
        <v>UNITED STATES</v>
      </c>
      <c r="Y122" s="5" t="str">
        <f>Data!Y122</f>
        <v>United States</v>
      </c>
    </row>
    <row r="123" spans="1:25" x14ac:dyDescent="0.5">
      <c r="A123">
        <f>Data!A123</f>
        <v>9551</v>
      </c>
      <c r="J123" s="20">
        <f>Data!J123</f>
        <v>38219</v>
      </c>
      <c r="K123" s="20">
        <f>Data!K123</f>
        <v>43465</v>
      </c>
      <c r="L123" s="5" t="str">
        <f>Data!L123</f>
        <v>Active</v>
      </c>
      <c r="M123" s="5" t="str">
        <f>Data!M123</f>
        <v>Page (Agency)</v>
      </c>
      <c r="P123" s="5" t="str">
        <f>Data!P123</f>
        <v>Grandfathered</v>
      </c>
      <c r="U123" s="5" t="str">
        <f>Data!U123</f>
        <v>UNITED STATES</v>
      </c>
      <c r="Y123" s="5" t="str">
        <f>Data!Y123</f>
        <v>United States</v>
      </c>
    </row>
    <row r="124" spans="1:25" x14ac:dyDescent="0.5">
      <c r="A124">
        <f>Data!A124</f>
        <v>9561</v>
      </c>
      <c r="J124" s="20">
        <f>Data!J124</f>
        <v>38224</v>
      </c>
      <c r="K124" s="20">
        <f>Data!K124</f>
        <v>43465</v>
      </c>
      <c r="L124" s="5" t="str">
        <f>Data!L124</f>
        <v>Active</v>
      </c>
      <c r="M124" s="5" t="str">
        <f>Data!M124</f>
        <v>Page (Educator)</v>
      </c>
      <c r="P124" s="5" t="str">
        <f>Data!P124</f>
        <v>Grandfathered</v>
      </c>
      <c r="U124" s="5" t="str">
        <f>Data!U124</f>
        <v>Canada</v>
      </c>
      <c r="Y124" s="5" t="str">
        <f>Data!Y124</f>
        <v>Canada</v>
      </c>
    </row>
    <row r="125" spans="1:25" x14ac:dyDescent="0.5">
      <c r="A125">
        <f>Data!A125</f>
        <v>9691</v>
      </c>
      <c r="J125" s="20">
        <f>Data!J125</f>
        <v>38237</v>
      </c>
      <c r="K125" s="20">
        <f>Data!K125</f>
        <v>43465</v>
      </c>
      <c r="L125" s="5" t="str">
        <f>Data!L125</f>
        <v>Active</v>
      </c>
      <c r="M125" s="5" t="str">
        <f>Data!M125</f>
        <v>Page (Retired)</v>
      </c>
      <c r="P125" s="5" t="str">
        <f>Data!P125</f>
        <v>Grandfathered</v>
      </c>
      <c r="U125" s="5" t="str">
        <f>Data!U125</f>
        <v>UNITED STATES</v>
      </c>
      <c r="Y125" s="5" t="str">
        <f>Data!Y125</f>
        <v>United States</v>
      </c>
    </row>
    <row r="126" spans="1:25" x14ac:dyDescent="0.5">
      <c r="A126">
        <f>Data!A126</f>
        <v>9771</v>
      </c>
      <c r="J126" s="20">
        <f>Data!J126</f>
        <v>39429</v>
      </c>
      <c r="K126" s="20">
        <f>Data!K126</f>
        <v>43465</v>
      </c>
      <c r="L126" s="5" t="str">
        <f>Data!L126</f>
        <v>Active</v>
      </c>
      <c r="M126" s="5" t="str">
        <f>Data!M126</f>
        <v>Page (Corporate)</v>
      </c>
      <c r="P126" s="5" t="str">
        <f>Data!P126</f>
        <v>Grandfathered</v>
      </c>
      <c r="U126" s="5" t="str">
        <f>Data!U126</f>
        <v>UNITED STATES</v>
      </c>
      <c r="Y126" s="5" t="str">
        <f>Data!Y126</f>
        <v>United States</v>
      </c>
    </row>
    <row r="127" spans="1:25" x14ac:dyDescent="0.5">
      <c r="A127">
        <f>Data!A127</f>
        <v>9921</v>
      </c>
      <c r="J127" s="20">
        <f>Data!J127</f>
        <v>38321</v>
      </c>
      <c r="K127" s="20">
        <f>Data!K127</f>
        <v>43465</v>
      </c>
      <c r="L127" s="5" t="str">
        <f>Data!L127</f>
        <v>Active</v>
      </c>
      <c r="M127" s="5" t="str">
        <f>Data!M127</f>
        <v>Page (Corporate)</v>
      </c>
      <c r="P127" s="5" t="str">
        <f>Data!P127</f>
        <v>Grandfathered</v>
      </c>
      <c r="U127" s="5" t="str">
        <f>Data!U127</f>
        <v>UNITED STATES</v>
      </c>
      <c r="Y127" s="5" t="str">
        <f>Data!Y127</f>
        <v>United States</v>
      </c>
    </row>
    <row r="128" spans="1:25" x14ac:dyDescent="0.5">
      <c r="A128">
        <f>Data!A128</f>
        <v>10001</v>
      </c>
      <c r="J128" s="20">
        <f>Data!J128</f>
        <v>38602</v>
      </c>
      <c r="K128" s="20">
        <f>Data!K128</f>
        <v>55153</v>
      </c>
      <c r="L128" s="5" t="str">
        <f>Data!L128</f>
        <v>Active</v>
      </c>
      <c r="M128" s="5" t="str">
        <f>Data!M128</f>
        <v>Page (Honoree)</v>
      </c>
      <c r="P128" s="5" t="str">
        <f>Data!P128</f>
        <v>Grandfathered</v>
      </c>
      <c r="U128" s="5" t="str">
        <f>Data!U128</f>
        <v>UNITED STATES</v>
      </c>
      <c r="Y128" s="5" t="str">
        <f>Data!Y128</f>
        <v>United States</v>
      </c>
    </row>
    <row r="129" spans="1:25" x14ac:dyDescent="0.5">
      <c r="A129">
        <f>Data!A129</f>
        <v>10171</v>
      </c>
      <c r="J129" s="20">
        <f>Data!J129</f>
        <v>41950</v>
      </c>
      <c r="K129" s="20">
        <f>Data!K129</f>
        <v>43465</v>
      </c>
      <c r="L129" s="5" t="str">
        <f>Data!L129</f>
        <v>Active</v>
      </c>
      <c r="M129" s="5" t="str">
        <f>Data!M129</f>
        <v>Page (Corporate)</v>
      </c>
      <c r="P129" s="5" t="str">
        <f>Data!P129</f>
        <v>Eligible</v>
      </c>
      <c r="U129" s="5" t="str">
        <f>Data!U129</f>
        <v>UNITED STATES</v>
      </c>
      <c r="Y129" s="5" t="str">
        <f>Data!Y129</f>
        <v>United States</v>
      </c>
    </row>
    <row r="130" spans="1:25" x14ac:dyDescent="0.5">
      <c r="A130">
        <f>Data!A130</f>
        <v>10201</v>
      </c>
      <c r="J130" s="20">
        <f>Data!J130</f>
        <v>38358</v>
      </c>
      <c r="K130" s="20">
        <f>Data!K130</f>
        <v>43465</v>
      </c>
      <c r="L130" s="5" t="str">
        <f>Data!L130</f>
        <v>Active</v>
      </c>
      <c r="M130" s="5" t="str">
        <f>Data!M130</f>
        <v>Page (Corporate)</v>
      </c>
      <c r="P130" s="5" t="str">
        <f>Data!P130</f>
        <v>Grandfathered</v>
      </c>
      <c r="U130" s="5" t="str">
        <f>Data!U130</f>
        <v>UNITED STATES</v>
      </c>
      <c r="Y130" s="5" t="str">
        <f>Data!Y130</f>
        <v>United States</v>
      </c>
    </row>
    <row r="131" spans="1:25" x14ac:dyDescent="0.5">
      <c r="A131">
        <f>Data!A131</f>
        <v>10521</v>
      </c>
      <c r="J131" s="20">
        <f>Data!J131</f>
        <v>41874</v>
      </c>
      <c r="K131" s="20">
        <f>Data!K131</f>
        <v>43465</v>
      </c>
      <c r="L131" s="5" t="str">
        <f>Data!L131</f>
        <v>Active</v>
      </c>
      <c r="M131" s="5" t="str">
        <f>Data!M131</f>
        <v>Page (Educator)</v>
      </c>
      <c r="P131" s="5" t="str">
        <f>Data!P131</f>
        <v>Eligible</v>
      </c>
      <c r="U131" s="5" t="str">
        <f>Data!U131</f>
        <v>UNITED STATES</v>
      </c>
      <c r="Y131" s="5" t="str">
        <f>Data!Y131</f>
        <v>United States</v>
      </c>
    </row>
    <row r="132" spans="1:25" x14ac:dyDescent="0.5">
      <c r="A132">
        <f>Data!A132</f>
        <v>10531</v>
      </c>
      <c r="J132" s="20">
        <f>Data!J132</f>
        <v>42402</v>
      </c>
      <c r="K132" s="20">
        <f>Data!K132</f>
        <v>43465</v>
      </c>
      <c r="L132" s="5" t="str">
        <f>Data!L132</f>
        <v>Active</v>
      </c>
      <c r="M132" s="5" t="str">
        <f>Data!M132</f>
        <v>Page (Non-Profit)</v>
      </c>
      <c r="P132" s="5" t="str">
        <f>Data!P132</f>
        <v>Eligible</v>
      </c>
      <c r="U132" s="5" t="str">
        <f>Data!U132</f>
        <v>UNITED STATES</v>
      </c>
      <c r="Y132" s="5" t="str">
        <f>Data!Y132</f>
        <v>United States</v>
      </c>
    </row>
    <row r="133" spans="1:25" x14ac:dyDescent="0.5">
      <c r="A133">
        <f>Data!A133</f>
        <v>10611</v>
      </c>
      <c r="J133" s="20">
        <f>Data!J133</f>
        <v>41103</v>
      </c>
      <c r="K133" s="20">
        <f>Data!K133</f>
        <v>43465</v>
      </c>
      <c r="L133" s="5" t="str">
        <f>Data!L133</f>
        <v>Active</v>
      </c>
      <c r="M133" s="5" t="str">
        <f>Data!M133</f>
        <v>Page (Corporate)</v>
      </c>
      <c r="P133" s="5" t="str">
        <f>Data!P133</f>
        <v>Eligible</v>
      </c>
      <c r="U133" s="5" t="str">
        <f>Data!U133</f>
        <v>UNITED STATES</v>
      </c>
      <c r="Y133" s="5" t="str">
        <f>Data!Y133</f>
        <v>United States</v>
      </c>
    </row>
    <row r="134" spans="1:25" x14ac:dyDescent="0.5">
      <c r="A134">
        <f>Data!A134</f>
        <v>10841</v>
      </c>
      <c r="J134" s="20">
        <f>Data!J134</f>
        <v>39987</v>
      </c>
      <c r="K134" s="20">
        <f>Data!K134</f>
        <v>43465</v>
      </c>
      <c r="L134" s="5" t="str">
        <f>Data!L134</f>
        <v>Active</v>
      </c>
      <c r="M134" s="5" t="str">
        <f>Data!M134</f>
        <v>Page (Educator)</v>
      </c>
      <c r="P134" s="5" t="str">
        <f>Data!P134</f>
        <v>Grandfathered</v>
      </c>
      <c r="U134" s="5" t="str">
        <f>Data!U134</f>
        <v>Canada</v>
      </c>
      <c r="Y134" s="5" t="str">
        <f>Data!Y134</f>
        <v>Canada</v>
      </c>
    </row>
    <row r="135" spans="1:25" x14ac:dyDescent="0.5">
      <c r="A135">
        <f>Data!A135</f>
        <v>10851</v>
      </c>
      <c r="J135" s="20">
        <f>Data!J135</f>
        <v>40788</v>
      </c>
      <c r="K135" s="20">
        <f>Data!K135</f>
        <v>43465</v>
      </c>
      <c r="L135" s="5" t="str">
        <f>Data!L135</f>
        <v>Active</v>
      </c>
      <c r="M135" s="5" t="str">
        <f>Data!M135</f>
        <v>Page (Corporate)</v>
      </c>
      <c r="P135" s="5" t="str">
        <f>Data!P135</f>
        <v>Eligible</v>
      </c>
      <c r="U135" s="5" t="str">
        <f>Data!U135</f>
        <v>UNITED STATES</v>
      </c>
      <c r="Y135" s="5" t="str">
        <f>Data!Y135</f>
        <v>United States</v>
      </c>
    </row>
    <row r="136" spans="1:25" x14ac:dyDescent="0.5">
      <c r="A136">
        <f>Data!A136</f>
        <v>11301</v>
      </c>
      <c r="J136" s="20">
        <f>Data!J136</f>
        <v>38434</v>
      </c>
      <c r="K136" s="20">
        <f>Data!K136</f>
        <v>43465</v>
      </c>
      <c r="L136" s="5" t="str">
        <f>Data!L136</f>
        <v>Active</v>
      </c>
      <c r="M136" s="5" t="str">
        <f>Data!M136</f>
        <v>Page (Corporate)</v>
      </c>
      <c r="P136" s="5" t="str">
        <f>Data!P136</f>
        <v>Grandfathered</v>
      </c>
      <c r="U136" s="5" t="str">
        <f>Data!U136</f>
        <v>UNITED STATES</v>
      </c>
      <c r="Y136" s="5" t="str">
        <f>Data!Y136</f>
        <v>United States</v>
      </c>
    </row>
    <row r="137" spans="1:25" x14ac:dyDescent="0.5">
      <c r="A137">
        <f>Data!A137</f>
        <v>11461</v>
      </c>
      <c r="J137" s="20">
        <f>Data!J137</f>
        <v>41151</v>
      </c>
      <c r="K137" s="20">
        <f>Data!K137</f>
        <v>43465</v>
      </c>
      <c r="L137" s="5" t="str">
        <f>Data!L137</f>
        <v>Active</v>
      </c>
      <c r="M137" s="5" t="str">
        <f>Data!M137</f>
        <v>Page (Agency)</v>
      </c>
      <c r="P137" s="5" t="str">
        <f>Data!P137</f>
        <v>Eligible</v>
      </c>
      <c r="U137" s="5" t="str">
        <f>Data!U137</f>
        <v>UNITED STATES</v>
      </c>
      <c r="Y137" s="5" t="str">
        <f>Data!Y137</f>
        <v>United States</v>
      </c>
    </row>
    <row r="138" spans="1:25" x14ac:dyDescent="0.5">
      <c r="A138">
        <f>Data!A138</f>
        <v>11481</v>
      </c>
      <c r="J138" s="20">
        <f>Data!J138</f>
        <v>42249</v>
      </c>
      <c r="K138" s="20">
        <f>Data!K138</f>
        <v>43465</v>
      </c>
      <c r="L138" s="5" t="str">
        <f>Data!L138</f>
        <v>Active</v>
      </c>
      <c r="M138" s="5" t="str">
        <f>Data!M138</f>
        <v>Page (Agency)</v>
      </c>
      <c r="P138" s="5" t="str">
        <f>Data!P138</f>
        <v>Continuous</v>
      </c>
      <c r="U138" s="5" t="str">
        <f>Data!U138</f>
        <v>UNITED STATES</v>
      </c>
      <c r="Y138" s="5" t="str">
        <f>Data!Y138</f>
        <v>United States</v>
      </c>
    </row>
    <row r="139" spans="1:25" x14ac:dyDescent="0.5">
      <c r="A139">
        <f>Data!A139</f>
        <v>11751</v>
      </c>
      <c r="J139" s="20">
        <f>Data!J139</f>
        <v>38488</v>
      </c>
      <c r="K139" s="20">
        <f>Data!K139</f>
        <v>43465</v>
      </c>
      <c r="L139" s="5" t="str">
        <f>Data!L139</f>
        <v>Active</v>
      </c>
      <c r="M139" s="5" t="str">
        <f>Data!M139</f>
        <v>Page (Corporate)</v>
      </c>
      <c r="P139" s="5" t="str">
        <f>Data!P139</f>
        <v>Grandfathered</v>
      </c>
      <c r="U139" s="5" t="str">
        <f>Data!U139</f>
        <v>UNITED STATES</v>
      </c>
      <c r="Y139" s="5" t="str">
        <f>Data!Y139</f>
        <v>United States</v>
      </c>
    </row>
    <row r="140" spans="1:25" x14ac:dyDescent="0.5">
      <c r="A140">
        <f>Data!A140</f>
        <v>11761</v>
      </c>
      <c r="J140" s="20">
        <f>Data!J140</f>
        <v>38488</v>
      </c>
      <c r="K140" s="20">
        <f>Data!K140</f>
        <v>43465</v>
      </c>
      <c r="L140" s="5" t="str">
        <f>Data!L140</f>
        <v>Active</v>
      </c>
      <c r="M140" s="5" t="str">
        <f>Data!M140</f>
        <v>Page (Corporate)</v>
      </c>
      <c r="P140" s="5" t="str">
        <f>Data!P140</f>
        <v>Grandfathered</v>
      </c>
      <c r="U140" s="5" t="str">
        <f>Data!U140</f>
        <v>UNITED STATES</v>
      </c>
      <c r="Y140" s="5" t="str">
        <f>Data!Y140</f>
        <v>United States</v>
      </c>
    </row>
    <row r="141" spans="1:25" x14ac:dyDescent="0.5">
      <c r="A141">
        <f>Data!A141</f>
        <v>11801</v>
      </c>
      <c r="J141" s="20">
        <f>Data!J141</f>
        <v>38538</v>
      </c>
      <c r="K141" s="20">
        <f>Data!K141</f>
        <v>43465</v>
      </c>
      <c r="L141" s="5" t="str">
        <f>Data!L141</f>
        <v>Active</v>
      </c>
      <c r="M141" s="5" t="str">
        <f>Data!M141</f>
        <v>Page (Corporate)</v>
      </c>
      <c r="P141" s="5" t="str">
        <f>Data!P141</f>
        <v>Grandfathered</v>
      </c>
      <c r="U141" s="5" t="str">
        <f>Data!U141</f>
        <v>UNITED STATES</v>
      </c>
      <c r="Y141" s="5" t="str">
        <f>Data!Y141</f>
        <v>United States</v>
      </c>
    </row>
    <row r="142" spans="1:25" x14ac:dyDescent="0.5">
      <c r="A142">
        <f>Data!A142</f>
        <v>11831</v>
      </c>
      <c r="J142" s="20">
        <f>Data!J142</f>
        <v>38546</v>
      </c>
      <c r="K142" s="20">
        <f>Data!K142</f>
        <v>43465</v>
      </c>
      <c r="L142" s="5" t="str">
        <f>Data!L142</f>
        <v>Active</v>
      </c>
      <c r="M142" s="5" t="str">
        <f>Data!M142</f>
        <v>Page (Retired)</v>
      </c>
      <c r="P142" s="5" t="str">
        <f>Data!P142</f>
        <v>Grandfathered</v>
      </c>
      <c r="U142" s="5" t="str">
        <f>Data!U142</f>
        <v>UNITED STATES</v>
      </c>
      <c r="Y142" s="5" t="str">
        <f>Data!Y142</f>
        <v>United States</v>
      </c>
    </row>
    <row r="143" spans="1:25" x14ac:dyDescent="0.5">
      <c r="A143">
        <f>Data!A143</f>
        <v>12081</v>
      </c>
      <c r="J143" s="20">
        <f>Data!J143</f>
        <v>38593</v>
      </c>
      <c r="K143" s="20">
        <f>Data!K143</f>
        <v>43465</v>
      </c>
      <c r="L143" s="5" t="str">
        <f>Data!L143</f>
        <v>Active</v>
      </c>
      <c r="M143" s="5" t="str">
        <f>Data!M143</f>
        <v>Page (Educator)</v>
      </c>
      <c r="P143" s="5" t="str">
        <f>Data!P143</f>
        <v>Grandfathered</v>
      </c>
      <c r="U143" s="5" t="str">
        <f>Data!U143</f>
        <v>UNITED STATES</v>
      </c>
      <c r="Y143" s="5" t="str">
        <f>Data!Y143</f>
        <v>United States</v>
      </c>
    </row>
    <row r="144" spans="1:25" x14ac:dyDescent="0.5">
      <c r="A144">
        <f>Data!A144</f>
        <v>12151</v>
      </c>
      <c r="J144" s="20">
        <f>Data!J144</f>
        <v>38609</v>
      </c>
      <c r="K144" s="20">
        <f>Data!K144</f>
        <v>55153</v>
      </c>
      <c r="L144" s="5" t="str">
        <f>Data!L144</f>
        <v>Active</v>
      </c>
      <c r="M144" s="5" t="str">
        <f>Data!M144</f>
        <v>Page (Honoree)</v>
      </c>
      <c r="P144" s="5" t="str">
        <f>Data!P144</f>
        <v>Grandfathered</v>
      </c>
      <c r="U144" s="5" t="str">
        <f>Data!U144</f>
        <v>UNITED STATES</v>
      </c>
      <c r="Y144" s="5" t="str">
        <f>Data!Y144</f>
        <v>United States</v>
      </c>
    </row>
    <row r="145" spans="1:25" x14ac:dyDescent="0.5">
      <c r="A145">
        <f>Data!A145</f>
        <v>12191</v>
      </c>
      <c r="J145" s="20">
        <f>Data!J145</f>
        <v>39531</v>
      </c>
      <c r="K145" s="20">
        <f>Data!K145</f>
        <v>43465</v>
      </c>
      <c r="L145" s="5" t="str">
        <f>Data!L145</f>
        <v>Active</v>
      </c>
      <c r="M145" s="5" t="str">
        <f>Data!M145</f>
        <v>Page (Agency)</v>
      </c>
      <c r="P145" s="5" t="str">
        <f>Data!P145</f>
        <v>Grandfathered</v>
      </c>
      <c r="U145" s="5" t="str">
        <f>Data!U145</f>
        <v>UNITED STATES</v>
      </c>
      <c r="Y145" s="5" t="str">
        <f>Data!Y145</f>
        <v>United States</v>
      </c>
    </row>
    <row r="146" spans="1:25" x14ac:dyDescent="0.5">
      <c r="A146">
        <f>Data!A146</f>
        <v>12341</v>
      </c>
      <c r="J146" s="20">
        <f>Data!J146</f>
        <v>38726</v>
      </c>
      <c r="K146" s="20">
        <f>Data!K146</f>
        <v>43465</v>
      </c>
      <c r="L146" s="5" t="str">
        <f>Data!L146</f>
        <v>Active</v>
      </c>
      <c r="M146" s="5" t="str">
        <f>Data!M146</f>
        <v>Page (Corporate)</v>
      </c>
      <c r="P146" s="5" t="str">
        <f>Data!P146</f>
        <v>Grandfathered</v>
      </c>
      <c r="U146" s="5" t="str">
        <f>Data!U146</f>
        <v>UNITED STATES</v>
      </c>
      <c r="Y146" s="5" t="str">
        <f>Data!Y146</f>
        <v>United States</v>
      </c>
    </row>
    <row r="147" spans="1:25" x14ac:dyDescent="0.5">
      <c r="A147">
        <f>Data!A147</f>
        <v>12381</v>
      </c>
      <c r="J147" s="20">
        <f>Data!J147</f>
        <v>38726</v>
      </c>
      <c r="K147" s="20">
        <f>Data!K147</f>
        <v>43465</v>
      </c>
      <c r="L147" s="5" t="str">
        <f>Data!L147</f>
        <v>Active</v>
      </c>
      <c r="M147" s="5" t="str">
        <f>Data!M147</f>
        <v>Page (Agency)</v>
      </c>
      <c r="P147" s="5" t="str">
        <f>Data!P147</f>
        <v>Grandfathered</v>
      </c>
      <c r="U147" s="5" t="str">
        <f>Data!U147</f>
        <v>UNITED STATES</v>
      </c>
      <c r="Y147" s="5" t="str">
        <f>Data!Y147</f>
        <v>United States</v>
      </c>
    </row>
    <row r="148" spans="1:25" x14ac:dyDescent="0.5">
      <c r="A148">
        <f>Data!A148</f>
        <v>12431</v>
      </c>
      <c r="J148" s="20">
        <f>Data!J148</f>
        <v>38800</v>
      </c>
      <c r="K148" s="20">
        <f>Data!K148</f>
        <v>43465</v>
      </c>
      <c r="L148" s="5" t="str">
        <f>Data!L148</f>
        <v>Active</v>
      </c>
      <c r="M148" s="5" t="str">
        <f>Data!M148</f>
        <v>Page (Corporate)</v>
      </c>
      <c r="P148" s="5" t="str">
        <f>Data!P148</f>
        <v>Grandfathered</v>
      </c>
      <c r="U148" s="5" t="str">
        <f>Data!U148</f>
        <v>UNITED STATES</v>
      </c>
      <c r="Y148" s="5" t="str">
        <f>Data!Y148</f>
        <v>United States</v>
      </c>
    </row>
    <row r="149" spans="1:25" x14ac:dyDescent="0.5">
      <c r="A149">
        <f>Data!A149</f>
        <v>12441</v>
      </c>
      <c r="J149" s="20">
        <f>Data!J149</f>
        <v>38800</v>
      </c>
      <c r="K149" s="20">
        <f>Data!K149</f>
        <v>43465</v>
      </c>
      <c r="L149" s="5" t="str">
        <f>Data!L149</f>
        <v>Active</v>
      </c>
      <c r="M149" s="5" t="str">
        <f>Data!M149</f>
        <v>Page (Educator)</v>
      </c>
      <c r="P149" s="5" t="str">
        <f>Data!P149</f>
        <v>Grandfathered</v>
      </c>
      <c r="U149" s="5" t="str">
        <f>Data!U149</f>
        <v>UNITED STATES</v>
      </c>
      <c r="Y149" s="5" t="str">
        <f>Data!Y149</f>
        <v>United States</v>
      </c>
    </row>
    <row r="150" spans="1:25" x14ac:dyDescent="0.5">
      <c r="A150">
        <f>Data!A150</f>
        <v>12521</v>
      </c>
      <c r="J150" s="20">
        <f>Data!J150</f>
        <v>38845</v>
      </c>
      <c r="K150" s="20">
        <f>Data!K150</f>
        <v>43465</v>
      </c>
      <c r="L150" s="5" t="str">
        <f>Data!L150</f>
        <v>Active</v>
      </c>
      <c r="M150" s="5" t="str">
        <f>Data!M150</f>
        <v>Page (Corporate)</v>
      </c>
      <c r="P150" s="5" t="str">
        <f>Data!P150</f>
        <v>Grandfathered</v>
      </c>
      <c r="U150" s="5" t="str">
        <f>Data!U150</f>
        <v>UNITED STATES</v>
      </c>
      <c r="Y150" s="5" t="str">
        <f>Data!Y150</f>
        <v>United States</v>
      </c>
    </row>
    <row r="151" spans="1:25" x14ac:dyDescent="0.5">
      <c r="A151">
        <f>Data!A151</f>
        <v>12541</v>
      </c>
      <c r="J151" s="20">
        <f>Data!J151</f>
        <v>38845</v>
      </c>
      <c r="K151" s="20">
        <f>Data!K151</f>
        <v>43465</v>
      </c>
      <c r="L151" s="5" t="str">
        <f>Data!L151</f>
        <v>Active</v>
      </c>
      <c r="M151" s="5" t="str">
        <f>Data!M151</f>
        <v>Page (Corporate)</v>
      </c>
      <c r="P151" s="5" t="str">
        <f>Data!P151</f>
        <v>Grandfathered</v>
      </c>
      <c r="U151" s="5" t="str">
        <f>Data!U151</f>
        <v>UNITED STATES</v>
      </c>
      <c r="Y151" s="5" t="str">
        <f>Data!Y151</f>
        <v>United States</v>
      </c>
    </row>
    <row r="152" spans="1:25" x14ac:dyDescent="0.5">
      <c r="A152">
        <f>Data!A152</f>
        <v>12551</v>
      </c>
      <c r="J152" s="20">
        <f>Data!J152</f>
        <v>38845</v>
      </c>
      <c r="K152" s="20">
        <f>Data!K152</f>
        <v>43465</v>
      </c>
      <c r="L152" s="5" t="str">
        <f>Data!L152</f>
        <v>Active</v>
      </c>
      <c r="M152" s="5" t="str">
        <f>Data!M152</f>
        <v>Page (Retired)</v>
      </c>
      <c r="P152" s="5" t="str">
        <f>Data!P152</f>
        <v>Grandfathered</v>
      </c>
      <c r="U152" s="5" t="str">
        <f>Data!U152</f>
        <v>UNITED STATES</v>
      </c>
      <c r="Y152" s="5" t="str">
        <f>Data!Y152</f>
        <v>United States</v>
      </c>
    </row>
    <row r="153" spans="1:25" x14ac:dyDescent="0.5">
      <c r="A153">
        <f>Data!A153</f>
        <v>12581</v>
      </c>
      <c r="J153" s="20">
        <f>Data!J153</f>
        <v>38883</v>
      </c>
      <c r="K153" s="20">
        <f>Data!K153</f>
        <v>43465</v>
      </c>
      <c r="L153" s="5" t="str">
        <f>Data!L153</f>
        <v>Active</v>
      </c>
      <c r="M153" s="5" t="str">
        <f>Data!M153</f>
        <v>Page (Corporate)</v>
      </c>
      <c r="P153" s="5" t="str">
        <f>Data!P153</f>
        <v>Grandfathered</v>
      </c>
      <c r="U153" s="5" t="str">
        <f>Data!U153</f>
        <v>UNITED STATES</v>
      </c>
      <c r="Y153" s="5" t="str">
        <f>Data!Y153</f>
        <v>United States</v>
      </c>
    </row>
    <row r="154" spans="1:25" x14ac:dyDescent="0.5">
      <c r="A154">
        <f>Data!A154</f>
        <v>12601</v>
      </c>
      <c r="J154" s="20">
        <f>Data!J154</f>
        <v>38911</v>
      </c>
      <c r="K154" s="20">
        <f>Data!K154</f>
        <v>43465</v>
      </c>
      <c r="L154" s="5" t="str">
        <f>Data!L154</f>
        <v>Active</v>
      </c>
      <c r="M154" s="5" t="str">
        <f>Data!M154</f>
        <v>Page (Agency)</v>
      </c>
      <c r="P154" s="5" t="str">
        <f>Data!P154</f>
        <v>Grandfathered</v>
      </c>
      <c r="U154" s="5" t="str">
        <f>Data!U154</f>
        <v>UNITED STATES</v>
      </c>
      <c r="Y154" s="5" t="str">
        <f>Data!Y154</f>
        <v>United States</v>
      </c>
    </row>
    <row r="155" spans="1:25" x14ac:dyDescent="0.5">
      <c r="A155">
        <f>Data!A155</f>
        <v>12631</v>
      </c>
      <c r="J155" s="20">
        <f>Data!J155</f>
        <v>38911</v>
      </c>
      <c r="K155" s="20">
        <f>Data!K155</f>
        <v>43465</v>
      </c>
      <c r="L155" s="5" t="str">
        <f>Data!L155</f>
        <v>Active</v>
      </c>
      <c r="M155" s="5" t="str">
        <f>Data!M155</f>
        <v>Page (Corporate)</v>
      </c>
      <c r="P155" s="5" t="str">
        <f>Data!P155</f>
        <v>Grandfathered</v>
      </c>
      <c r="U155" s="5" t="str">
        <f>Data!U155</f>
        <v>UNITED STATES</v>
      </c>
      <c r="Y155" s="5" t="str">
        <f>Data!Y155</f>
        <v>United States</v>
      </c>
    </row>
    <row r="156" spans="1:25" x14ac:dyDescent="0.5">
      <c r="A156">
        <f>Data!A156</f>
        <v>12651</v>
      </c>
      <c r="J156" s="20">
        <f>Data!J156</f>
        <v>38911</v>
      </c>
      <c r="K156" s="20">
        <f>Data!K156</f>
        <v>43465</v>
      </c>
      <c r="L156" s="5" t="str">
        <f>Data!L156</f>
        <v>Active</v>
      </c>
      <c r="M156" s="5" t="str">
        <f>Data!M156</f>
        <v>Page (Agency)</v>
      </c>
      <c r="P156" s="5" t="str">
        <f>Data!P156</f>
        <v>Grandfathered</v>
      </c>
      <c r="U156" s="5" t="str">
        <f>Data!U156</f>
        <v>UNITED STATES</v>
      </c>
      <c r="Y156" s="5" t="str">
        <f>Data!Y156</f>
        <v>United States</v>
      </c>
    </row>
    <row r="157" spans="1:25" x14ac:dyDescent="0.5">
      <c r="A157">
        <f>Data!A157</f>
        <v>12661</v>
      </c>
      <c r="J157" s="20">
        <f>Data!J157</f>
        <v>38916</v>
      </c>
      <c r="K157" s="20">
        <f>Data!K157</f>
        <v>43465</v>
      </c>
      <c r="L157" s="5" t="str">
        <f>Data!L157</f>
        <v>Active</v>
      </c>
      <c r="M157" s="5" t="str">
        <f>Data!M157</f>
        <v>Page (Agency)</v>
      </c>
      <c r="P157" s="5" t="str">
        <f>Data!P157</f>
        <v>Grandfathered</v>
      </c>
      <c r="U157" s="5" t="str">
        <f>Data!U157</f>
        <v>UNITED STATES</v>
      </c>
      <c r="Y157" s="5" t="str">
        <f>Data!Y157</f>
        <v>United States</v>
      </c>
    </row>
    <row r="158" spans="1:25" x14ac:dyDescent="0.5">
      <c r="A158">
        <f>Data!A158</f>
        <v>12741</v>
      </c>
      <c r="J158" s="20">
        <f>Data!J158</f>
        <v>38972</v>
      </c>
      <c r="K158" s="20">
        <f>Data!K158</f>
        <v>43465</v>
      </c>
      <c r="L158" s="5" t="str">
        <f>Data!L158</f>
        <v>Active</v>
      </c>
      <c r="M158" s="5" t="str">
        <f>Data!M158</f>
        <v>Page (Corporate)</v>
      </c>
      <c r="P158" s="5" t="str">
        <f>Data!P158</f>
        <v>Grandfathered</v>
      </c>
      <c r="U158" s="5" t="str">
        <f>Data!U158</f>
        <v>UNITED STATES</v>
      </c>
      <c r="Y158" s="5" t="str">
        <f>Data!Y158</f>
        <v>United States</v>
      </c>
    </row>
    <row r="159" spans="1:25" x14ac:dyDescent="0.5">
      <c r="A159">
        <f>Data!A159</f>
        <v>12791</v>
      </c>
      <c r="J159" s="20">
        <f>Data!J159</f>
        <v>38989</v>
      </c>
      <c r="K159" s="20">
        <f>Data!K159</f>
        <v>43465</v>
      </c>
      <c r="L159" s="5" t="str">
        <f>Data!L159</f>
        <v>Active</v>
      </c>
      <c r="M159" s="5" t="str">
        <f>Data!M159</f>
        <v>Page (Corporate)</v>
      </c>
      <c r="P159" s="5" t="str">
        <f>Data!P159</f>
        <v>Grandfathered</v>
      </c>
      <c r="U159" s="5" t="str">
        <f>Data!U159</f>
        <v>UNITED STATES</v>
      </c>
      <c r="Y159" s="5" t="str">
        <f>Data!Y159</f>
        <v>United States</v>
      </c>
    </row>
    <row r="160" spans="1:25" x14ac:dyDescent="0.5">
      <c r="A160">
        <f>Data!A160</f>
        <v>12801</v>
      </c>
      <c r="J160" s="20">
        <f>Data!J160</f>
        <v>38989</v>
      </c>
      <c r="K160" s="20">
        <f>Data!K160</f>
        <v>43465</v>
      </c>
      <c r="L160" s="5" t="str">
        <f>Data!L160</f>
        <v>Active</v>
      </c>
      <c r="M160" s="5" t="str">
        <f>Data!M160</f>
        <v>Page (Non-Profit)</v>
      </c>
      <c r="P160" s="5" t="str">
        <f>Data!P160</f>
        <v>Grandfathered</v>
      </c>
      <c r="U160" s="5" t="str">
        <f>Data!U160</f>
        <v>UNITED STATES</v>
      </c>
      <c r="Y160" s="5" t="str">
        <f>Data!Y160</f>
        <v>United States</v>
      </c>
    </row>
    <row r="161" spans="1:25" x14ac:dyDescent="0.5">
      <c r="A161">
        <f>Data!A161</f>
        <v>12821</v>
      </c>
      <c r="J161" s="20">
        <f>Data!J161</f>
        <v>38989</v>
      </c>
      <c r="K161" s="20">
        <f>Data!K161</f>
        <v>43465</v>
      </c>
      <c r="L161" s="5" t="str">
        <f>Data!L161</f>
        <v>Active</v>
      </c>
      <c r="M161" s="5" t="str">
        <f>Data!M161</f>
        <v>Page (Educator)</v>
      </c>
      <c r="P161" s="5" t="str">
        <f>Data!P161</f>
        <v>Grandfathered</v>
      </c>
      <c r="U161" s="5" t="str">
        <f>Data!U161</f>
        <v>UNITED STATES</v>
      </c>
      <c r="Y161" s="5" t="str">
        <f>Data!Y161</f>
        <v>United States</v>
      </c>
    </row>
    <row r="162" spans="1:25" x14ac:dyDescent="0.5">
      <c r="A162">
        <f>Data!A162</f>
        <v>13071</v>
      </c>
      <c r="J162" s="20">
        <f>Data!J162</f>
        <v>42402</v>
      </c>
      <c r="K162" s="20">
        <f>Data!K162</f>
        <v>43465</v>
      </c>
      <c r="L162" s="5" t="str">
        <f>Data!L162</f>
        <v>Active</v>
      </c>
      <c r="M162" s="5" t="str">
        <f>Data!M162</f>
        <v>Page (Corporate)</v>
      </c>
      <c r="P162" s="5">
        <f>Data!P162</f>
        <v>0</v>
      </c>
      <c r="U162" s="5" t="str">
        <f>Data!U162</f>
        <v>UNITED STATES</v>
      </c>
      <c r="Y162" s="5" t="str">
        <f>Data!Y162</f>
        <v>United States</v>
      </c>
    </row>
    <row r="163" spans="1:25" x14ac:dyDescent="0.5">
      <c r="A163">
        <f>Data!A163</f>
        <v>13081</v>
      </c>
      <c r="J163" s="20">
        <f>Data!J163</f>
        <v>39036</v>
      </c>
      <c r="K163" s="20">
        <f>Data!K163</f>
        <v>43465</v>
      </c>
      <c r="L163" s="5" t="str">
        <f>Data!L163</f>
        <v>Active</v>
      </c>
      <c r="M163" s="5" t="str">
        <f>Data!M163</f>
        <v>Page (Corporate)</v>
      </c>
      <c r="P163" s="5" t="str">
        <f>Data!P163</f>
        <v>Grandfathered</v>
      </c>
      <c r="U163" s="5" t="str">
        <f>Data!U163</f>
        <v>UNITED STATES</v>
      </c>
      <c r="Y163" s="5" t="str">
        <f>Data!Y163</f>
        <v>United States</v>
      </c>
    </row>
    <row r="164" spans="1:25" x14ac:dyDescent="0.5">
      <c r="A164">
        <f>Data!A164</f>
        <v>13181</v>
      </c>
      <c r="J164" s="20">
        <f>Data!J164</f>
        <v>39094</v>
      </c>
      <c r="K164" s="20">
        <f>Data!K164</f>
        <v>43465</v>
      </c>
      <c r="L164" s="5" t="str">
        <f>Data!L164</f>
        <v>Active</v>
      </c>
      <c r="M164" s="5" t="str">
        <f>Data!M164</f>
        <v>Page (Corporate)</v>
      </c>
      <c r="P164" s="5" t="str">
        <f>Data!P164</f>
        <v>Grandfathered</v>
      </c>
      <c r="U164" s="5" t="str">
        <f>Data!U164</f>
        <v>UNITED STATES</v>
      </c>
      <c r="Y164" s="5" t="str">
        <f>Data!Y164</f>
        <v>United States</v>
      </c>
    </row>
    <row r="165" spans="1:25" x14ac:dyDescent="0.5">
      <c r="A165">
        <f>Data!A165</f>
        <v>13191</v>
      </c>
      <c r="J165" s="20">
        <f>Data!J165</f>
        <v>39099</v>
      </c>
      <c r="K165" s="20">
        <f>Data!K165</f>
        <v>43465</v>
      </c>
      <c r="L165" s="5" t="str">
        <f>Data!L165</f>
        <v>Active</v>
      </c>
      <c r="M165" s="5" t="str">
        <f>Data!M165</f>
        <v>Page (Retired)</v>
      </c>
      <c r="P165" s="5" t="str">
        <f>Data!P165</f>
        <v>Grandfathered</v>
      </c>
      <c r="U165" s="5" t="str">
        <f>Data!U165</f>
        <v>UNITED STATES</v>
      </c>
      <c r="Y165" s="5" t="str">
        <f>Data!Y165</f>
        <v>United States</v>
      </c>
    </row>
    <row r="166" spans="1:25" x14ac:dyDescent="0.5">
      <c r="A166">
        <f>Data!A166</f>
        <v>13201</v>
      </c>
      <c r="J166" s="20">
        <f>Data!J166</f>
        <v>39106</v>
      </c>
      <c r="K166" s="20">
        <f>Data!K166</f>
        <v>55153</v>
      </c>
      <c r="L166" s="5" t="str">
        <f>Data!L166</f>
        <v>Active</v>
      </c>
      <c r="M166" s="5" t="str">
        <f>Data!M166</f>
        <v>Page (Honoree)</v>
      </c>
      <c r="P166" s="5" t="str">
        <f>Data!P166</f>
        <v>Grandfathered</v>
      </c>
      <c r="U166" s="5" t="str">
        <f>Data!U166</f>
        <v>Switzerland</v>
      </c>
      <c r="Y166" s="5" t="str">
        <f>Data!Y166</f>
        <v>Europe</v>
      </c>
    </row>
    <row r="167" spans="1:25" x14ac:dyDescent="0.5">
      <c r="A167">
        <f>Data!A167</f>
        <v>13231</v>
      </c>
      <c r="J167" s="20">
        <f>Data!J167</f>
        <v>42038</v>
      </c>
      <c r="K167" s="20">
        <f>Data!K167</f>
        <v>43465</v>
      </c>
      <c r="L167" s="5" t="str">
        <f>Data!L167</f>
        <v>Active</v>
      </c>
      <c r="M167" s="5" t="str">
        <f>Data!M167</f>
        <v>Page (Corporate)</v>
      </c>
      <c r="P167" s="5" t="str">
        <f>Data!P167</f>
        <v>Eligible</v>
      </c>
      <c r="U167" s="5" t="str">
        <f>Data!U167</f>
        <v>UNITED STATES</v>
      </c>
      <c r="Y167" s="5" t="str">
        <f>Data!Y167</f>
        <v>United States</v>
      </c>
    </row>
    <row r="168" spans="1:25" x14ac:dyDescent="0.5">
      <c r="A168">
        <f>Data!A168</f>
        <v>13331</v>
      </c>
      <c r="J168" s="20">
        <f>Data!J168</f>
        <v>42556</v>
      </c>
      <c r="K168" s="20">
        <f>Data!K168</f>
        <v>43465</v>
      </c>
      <c r="L168" s="5" t="str">
        <f>Data!L168</f>
        <v>Active</v>
      </c>
      <c r="M168" s="5" t="str">
        <f>Data!M168</f>
        <v>Page (Educator)</v>
      </c>
      <c r="P168" s="5" t="str">
        <f>Data!P168</f>
        <v>Eligible</v>
      </c>
      <c r="U168" s="5" t="str">
        <f>Data!U168</f>
        <v>UNITED STATES</v>
      </c>
      <c r="Y168" s="5" t="str">
        <f>Data!Y168</f>
        <v>United States</v>
      </c>
    </row>
    <row r="169" spans="1:25" x14ac:dyDescent="0.5">
      <c r="A169">
        <f>Data!A169</f>
        <v>13681</v>
      </c>
      <c r="J169" s="20">
        <f>Data!J169</f>
        <v>39171</v>
      </c>
      <c r="K169" s="20">
        <f>Data!K169</f>
        <v>43465</v>
      </c>
      <c r="L169" s="5" t="str">
        <f>Data!L169</f>
        <v>Active</v>
      </c>
      <c r="M169" s="5" t="str">
        <f>Data!M169</f>
        <v>Page (Corporate)</v>
      </c>
      <c r="P169" s="5" t="str">
        <f>Data!P169</f>
        <v>Grandfathered</v>
      </c>
      <c r="U169" s="5" t="str">
        <f>Data!U169</f>
        <v>UNITED STATES</v>
      </c>
      <c r="Y169" s="5" t="str">
        <f>Data!Y169</f>
        <v>United States</v>
      </c>
    </row>
    <row r="170" spans="1:25" x14ac:dyDescent="0.5">
      <c r="A170">
        <f>Data!A170</f>
        <v>13911</v>
      </c>
      <c r="J170" s="20">
        <f>Data!J170</f>
        <v>39192</v>
      </c>
      <c r="K170" s="20">
        <f>Data!K170</f>
        <v>43465</v>
      </c>
      <c r="L170" s="5" t="str">
        <f>Data!L170</f>
        <v>Active</v>
      </c>
      <c r="M170" s="5" t="str">
        <f>Data!M170</f>
        <v>Page (Agency)</v>
      </c>
      <c r="P170" s="5" t="str">
        <f>Data!P170</f>
        <v>Grandfathered</v>
      </c>
      <c r="U170" s="5" t="str">
        <f>Data!U170</f>
        <v>UNITED STATES</v>
      </c>
      <c r="Y170" s="5" t="str">
        <f>Data!Y170</f>
        <v>United States</v>
      </c>
    </row>
    <row r="171" spans="1:25" x14ac:dyDescent="0.5">
      <c r="A171">
        <f>Data!A171</f>
        <v>13921</v>
      </c>
      <c r="J171" s="20">
        <f>Data!J171</f>
        <v>39192</v>
      </c>
      <c r="K171" s="20">
        <f>Data!K171</f>
        <v>43465</v>
      </c>
      <c r="L171" s="5" t="str">
        <f>Data!L171</f>
        <v>Active</v>
      </c>
      <c r="M171" s="5" t="str">
        <f>Data!M171</f>
        <v>Page (Corporate)</v>
      </c>
      <c r="P171" s="5" t="str">
        <f>Data!P171</f>
        <v>Grandfathered</v>
      </c>
      <c r="U171" s="5" t="str">
        <f>Data!U171</f>
        <v>UNITED STATES</v>
      </c>
      <c r="Y171" s="5" t="str">
        <f>Data!Y171</f>
        <v>United States</v>
      </c>
    </row>
    <row r="172" spans="1:25" x14ac:dyDescent="0.5">
      <c r="A172">
        <f>Data!A172</f>
        <v>13941</v>
      </c>
      <c r="J172" s="20">
        <f>Data!J172</f>
        <v>39210</v>
      </c>
      <c r="K172" s="20">
        <f>Data!K172</f>
        <v>43465</v>
      </c>
      <c r="L172" s="5" t="str">
        <f>Data!L172</f>
        <v>Active</v>
      </c>
      <c r="M172" s="5" t="str">
        <f>Data!M172</f>
        <v>Page (Agency)</v>
      </c>
      <c r="P172" s="5" t="str">
        <f>Data!P172</f>
        <v>Grandfathered</v>
      </c>
      <c r="U172" s="5" t="str">
        <f>Data!U172</f>
        <v>UNITED STATES</v>
      </c>
      <c r="Y172" s="5" t="str">
        <f>Data!Y172</f>
        <v>United States</v>
      </c>
    </row>
    <row r="173" spans="1:25" x14ac:dyDescent="0.5">
      <c r="A173">
        <f>Data!A173</f>
        <v>14061</v>
      </c>
      <c r="J173" s="20">
        <f>Data!J173</f>
        <v>39304</v>
      </c>
      <c r="K173" s="20">
        <f>Data!K173</f>
        <v>43465</v>
      </c>
      <c r="L173" s="5" t="str">
        <f>Data!L173</f>
        <v>Active</v>
      </c>
      <c r="M173" s="5" t="str">
        <f>Data!M173</f>
        <v>Page (Corporate)</v>
      </c>
      <c r="P173" s="5" t="str">
        <f>Data!P173</f>
        <v>Grandfathered</v>
      </c>
      <c r="U173" s="5" t="str">
        <f>Data!U173</f>
        <v>UNITED STATES</v>
      </c>
      <c r="Y173" s="5" t="str">
        <f>Data!Y173</f>
        <v>United States</v>
      </c>
    </row>
    <row r="174" spans="1:25" x14ac:dyDescent="0.5">
      <c r="A174">
        <f>Data!A174</f>
        <v>14141</v>
      </c>
      <c r="J174" s="20">
        <f>Data!J174</f>
        <v>39323</v>
      </c>
      <c r="K174" s="20">
        <f>Data!K174</f>
        <v>43465</v>
      </c>
      <c r="L174" s="5" t="str">
        <f>Data!L174</f>
        <v>Active</v>
      </c>
      <c r="M174" s="5" t="str">
        <f>Data!M174</f>
        <v>Page (Agency)</v>
      </c>
      <c r="P174" s="5" t="str">
        <f>Data!P174</f>
        <v>Grandfathered</v>
      </c>
      <c r="U174" s="5" t="str">
        <f>Data!U174</f>
        <v>United Kingdom</v>
      </c>
      <c r="Y174" s="5" t="str">
        <f>Data!Y174</f>
        <v>Europe</v>
      </c>
    </row>
    <row r="175" spans="1:25" x14ac:dyDescent="0.5">
      <c r="A175">
        <f>Data!A175</f>
        <v>14291</v>
      </c>
      <c r="J175" s="20">
        <f>Data!J175</f>
        <v>40360</v>
      </c>
      <c r="K175" s="20">
        <f>Data!K175</f>
        <v>55153</v>
      </c>
      <c r="L175" s="5" t="str">
        <f>Data!L175</f>
        <v>Active</v>
      </c>
      <c r="M175" s="5" t="str">
        <f>Data!M175</f>
        <v>Page (Honoree)</v>
      </c>
      <c r="P175" s="5" t="str">
        <f>Data!P175</f>
        <v>Grandfathered</v>
      </c>
      <c r="U175" s="5" t="str">
        <f>Data!U175</f>
        <v>UNITED STATES</v>
      </c>
      <c r="Y175" s="5" t="str">
        <f>Data!Y175</f>
        <v>United States</v>
      </c>
    </row>
    <row r="176" spans="1:25" x14ac:dyDescent="0.5">
      <c r="A176">
        <f>Data!A176</f>
        <v>14441</v>
      </c>
      <c r="J176" s="20">
        <f>Data!J176</f>
        <v>39357</v>
      </c>
      <c r="K176" s="20">
        <f>Data!K176</f>
        <v>43465</v>
      </c>
      <c r="L176" s="5" t="str">
        <f>Data!L176</f>
        <v>Active</v>
      </c>
      <c r="M176" s="5" t="str">
        <f>Data!M176</f>
        <v>Page (Corporate)</v>
      </c>
      <c r="P176" s="5" t="str">
        <f>Data!P176</f>
        <v>Grandfathered</v>
      </c>
      <c r="U176" s="5" t="str">
        <f>Data!U176</f>
        <v>UNITED STATES</v>
      </c>
      <c r="Y176" s="5" t="str">
        <f>Data!Y176</f>
        <v>United States</v>
      </c>
    </row>
    <row r="177" spans="1:25" x14ac:dyDescent="0.5">
      <c r="A177">
        <f>Data!A177</f>
        <v>14491</v>
      </c>
      <c r="J177" s="20">
        <f>Data!J177</f>
        <v>39423</v>
      </c>
      <c r="K177" s="20">
        <f>Data!K177</f>
        <v>43465</v>
      </c>
      <c r="L177" s="5" t="str">
        <f>Data!L177</f>
        <v>Active</v>
      </c>
      <c r="M177" s="5" t="str">
        <f>Data!M177</f>
        <v>Page (Educator)</v>
      </c>
      <c r="P177" s="5" t="str">
        <f>Data!P177</f>
        <v>Grandfathered</v>
      </c>
      <c r="U177" s="5" t="str">
        <f>Data!U177</f>
        <v>UNITED STATES</v>
      </c>
      <c r="Y177" s="5" t="str">
        <f>Data!Y177</f>
        <v>United States</v>
      </c>
    </row>
    <row r="178" spans="1:25" x14ac:dyDescent="0.5">
      <c r="A178">
        <f>Data!A178</f>
        <v>14541</v>
      </c>
      <c r="J178" s="20">
        <f>Data!J178</f>
        <v>41449</v>
      </c>
      <c r="K178" s="20">
        <f>Data!K178</f>
        <v>43465</v>
      </c>
      <c r="L178" s="5" t="str">
        <f>Data!L178</f>
        <v>Active</v>
      </c>
      <c r="M178" s="5" t="str">
        <f>Data!M178</f>
        <v>Page (Agency)</v>
      </c>
      <c r="P178" s="5" t="str">
        <f>Data!P178</f>
        <v>Eligible</v>
      </c>
      <c r="U178" s="5" t="str">
        <f>Data!U178</f>
        <v>UNITED STATES</v>
      </c>
      <c r="Y178" s="5" t="str">
        <f>Data!Y178</f>
        <v>United States</v>
      </c>
    </row>
    <row r="179" spans="1:25" x14ac:dyDescent="0.5">
      <c r="A179">
        <f>Data!A179</f>
        <v>14561</v>
      </c>
      <c r="J179" s="20">
        <f>Data!J179</f>
        <v>40599</v>
      </c>
      <c r="K179" s="20">
        <f>Data!K179</f>
        <v>43465</v>
      </c>
      <c r="L179" s="5" t="str">
        <f>Data!L179</f>
        <v>Active</v>
      </c>
      <c r="M179" s="5" t="str">
        <f>Data!M179</f>
        <v>Page (Agency)</v>
      </c>
      <c r="P179" s="5" t="str">
        <f>Data!P179</f>
        <v>Grandfathered</v>
      </c>
      <c r="U179" s="5" t="str">
        <f>Data!U179</f>
        <v>UNITED STATES</v>
      </c>
      <c r="Y179" s="5" t="str">
        <f>Data!Y179</f>
        <v>United States</v>
      </c>
    </row>
    <row r="180" spans="1:25" x14ac:dyDescent="0.5">
      <c r="A180">
        <f>Data!A180</f>
        <v>14611</v>
      </c>
      <c r="J180" s="20">
        <f>Data!J180</f>
        <v>41465</v>
      </c>
      <c r="K180" s="20">
        <f>Data!K180</f>
        <v>43465</v>
      </c>
      <c r="L180" s="5" t="str">
        <f>Data!L180</f>
        <v>Active</v>
      </c>
      <c r="M180" s="5" t="str">
        <f>Data!M180</f>
        <v>Page (Corporate)</v>
      </c>
      <c r="P180" s="5" t="str">
        <f>Data!P180</f>
        <v>Eligible</v>
      </c>
      <c r="U180" s="5" t="str">
        <f>Data!U180</f>
        <v>UNITED STATES</v>
      </c>
      <c r="Y180" s="5" t="str">
        <f>Data!Y180</f>
        <v>United States</v>
      </c>
    </row>
    <row r="181" spans="1:25" x14ac:dyDescent="0.5">
      <c r="A181">
        <f>Data!A181</f>
        <v>14671</v>
      </c>
      <c r="J181" s="20">
        <f>Data!J181</f>
        <v>39498</v>
      </c>
      <c r="K181" s="20">
        <f>Data!K181</f>
        <v>43465</v>
      </c>
      <c r="L181" s="5" t="str">
        <f>Data!L181</f>
        <v>Active</v>
      </c>
      <c r="M181" s="5" t="str">
        <f>Data!M181</f>
        <v>Page (Corporate)</v>
      </c>
      <c r="P181" s="5" t="str">
        <f>Data!P181</f>
        <v>Grandfathered</v>
      </c>
      <c r="U181" s="5" t="str">
        <f>Data!U181</f>
        <v>UNITED STATES</v>
      </c>
      <c r="Y181" s="5" t="str">
        <f>Data!Y181</f>
        <v>United States</v>
      </c>
    </row>
    <row r="182" spans="1:25" x14ac:dyDescent="0.5">
      <c r="A182">
        <f>Data!A182</f>
        <v>14781</v>
      </c>
      <c r="J182" s="20">
        <f>Data!J182</f>
        <v>39507</v>
      </c>
      <c r="K182" s="20">
        <f>Data!K182</f>
        <v>43465</v>
      </c>
      <c r="L182" s="5" t="str">
        <f>Data!L182</f>
        <v>Active</v>
      </c>
      <c r="M182" s="5" t="str">
        <f>Data!M182</f>
        <v>Page (Corporate)</v>
      </c>
      <c r="P182" s="5" t="str">
        <f>Data!P182</f>
        <v>Grandfathered</v>
      </c>
      <c r="U182" s="5" t="str">
        <f>Data!U182</f>
        <v>UNITED STATES</v>
      </c>
      <c r="Y182" s="5" t="str">
        <f>Data!Y182</f>
        <v>United States</v>
      </c>
    </row>
    <row r="183" spans="1:25" x14ac:dyDescent="0.5">
      <c r="A183">
        <f>Data!A183</f>
        <v>14951</v>
      </c>
      <c r="J183" s="20">
        <f>Data!J183</f>
        <v>40458</v>
      </c>
      <c r="K183" s="20">
        <f>Data!K183</f>
        <v>43465</v>
      </c>
      <c r="L183" s="5" t="str">
        <f>Data!L183</f>
        <v>Active</v>
      </c>
      <c r="M183" s="5" t="str">
        <f>Data!M183</f>
        <v>Page (Retired)</v>
      </c>
      <c r="P183" s="5" t="str">
        <f>Data!P183</f>
        <v>Grandfathered</v>
      </c>
      <c r="U183" s="5" t="str">
        <f>Data!U183</f>
        <v>UNITED STATES</v>
      </c>
      <c r="Y183" s="5" t="str">
        <f>Data!Y183</f>
        <v>United States</v>
      </c>
    </row>
    <row r="184" spans="1:25" x14ac:dyDescent="0.5">
      <c r="A184">
        <f>Data!A184</f>
        <v>14961</v>
      </c>
      <c r="J184" s="20">
        <f>Data!J184</f>
        <v>39521</v>
      </c>
      <c r="K184" s="20">
        <f>Data!K184</f>
        <v>43465</v>
      </c>
      <c r="L184" s="5" t="str">
        <f>Data!L184</f>
        <v>Active</v>
      </c>
      <c r="M184" s="5" t="str">
        <f>Data!M184</f>
        <v>Page (Non-Profit)</v>
      </c>
      <c r="P184" s="5" t="str">
        <f>Data!P184</f>
        <v>Grandfathered</v>
      </c>
      <c r="U184" s="5" t="str">
        <f>Data!U184</f>
        <v>UNITED STATES</v>
      </c>
      <c r="Y184" s="5" t="str">
        <f>Data!Y184</f>
        <v>United States</v>
      </c>
    </row>
    <row r="185" spans="1:25" x14ac:dyDescent="0.5">
      <c r="A185">
        <f>Data!A185</f>
        <v>15021</v>
      </c>
      <c r="J185" s="20">
        <f>Data!J185</f>
        <v>39538</v>
      </c>
      <c r="K185" s="20">
        <f>Data!K185</f>
        <v>43465</v>
      </c>
      <c r="L185" s="5" t="str">
        <f>Data!L185</f>
        <v>Active</v>
      </c>
      <c r="M185" s="5" t="str">
        <f>Data!M185</f>
        <v>Page (Retired)</v>
      </c>
      <c r="P185" s="5" t="str">
        <f>Data!P185</f>
        <v>Grandfathered</v>
      </c>
      <c r="U185" s="5" t="str">
        <f>Data!U185</f>
        <v>UNITED STATES</v>
      </c>
      <c r="Y185" s="5" t="str">
        <f>Data!Y185</f>
        <v>United States</v>
      </c>
    </row>
    <row r="186" spans="1:25" x14ac:dyDescent="0.5">
      <c r="A186">
        <f>Data!A186</f>
        <v>15161</v>
      </c>
      <c r="J186" s="20">
        <f>Data!J186</f>
        <v>39539</v>
      </c>
      <c r="K186" s="20">
        <f>Data!K186</f>
        <v>43465</v>
      </c>
      <c r="L186" s="5" t="str">
        <f>Data!L186</f>
        <v>Active</v>
      </c>
      <c r="M186" s="5" t="str">
        <f>Data!M186</f>
        <v>Page (Corporate)</v>
      </c>
      <c r="P186" s="5" t="str">
        <f>Data!P186</f>
        <v>Grandfathered</v>
      </c>
      <c r="U186" s="5" t="str">
        <f>Data!U186</f>
        <v>UNITED STATES</v>
      </c>
      <c r="Y186" s="5" t="str">
        <f>Data!Y186</f>
        <v>United States</v>
      </c>
    </row>
    <row r="187" spans="1:25" x14ac:dyDescent="0.5">
      <c r="A187">
        <f>Data!A187</f>
        <v>15181</v>
      </c>
      <c r="J187" s="20">
        <f>Data!J187</f>
        <v>39545</v>
      </c>
      <c r="K187" s="20">
        <f>Data!K187</f>
        <v>43465</v>
      </c>
      <c r="L187" s="5" t="str">
        <f>Data!L187</f>
        <v>Active</v>
      </c>
      <c r="M187" s="5" t="str">
        <f>Data!M187</f>
        <v>Page (Corporate)</v>
      </c>
      <c r="P187" s="5" t="str">
        <f>Data!P187</f>
        <v>Grandfathered</v>
      </c>
      <c r="U187" s="5" t="str">
        <f>Data!U187</f>
        <v>UNITED STATES</v>
      </c>
      <c r="Y187" s="5" t="str">
        <f>Data!Y187</f>
        <v>United States</v>
      </c>
    </row>
    <row r="188" spans="1:25" x14ac:dyDescent="0.5">
      <c r="A188">
        <f>Data!A188</f>
        <v>15261</v>
      </c>
      <c r="J188" s="20">
        <f>Data!J188</f>
        <v>39580</v>
      </c>
      <c r="K188" s="20">
        <f>Data!K188</f>
        <v>43465</v>
      </c>
      <c r="L188" s="5" t="str">
        <f>Data!L188</f>
        <v>Active</v>
      </c>
      <c r="M188" s="5" t="str">
        <f>Data!M188</f>
        <v>Page (Agency)</v>
      </c>
      <c r="P188" s="5" t="str">
        <f>Data!P188</f>
        <v>Grandfathered</v>
      </c>
      <c r="U188" s="5" t="str">
        <f>Data!U188</f>
        <v>UNITED STATES</v>
      </c>
      <c r="Y188" s="5" t="str">
        <f>Data!Y188</f>
        <v>United States</v>
      </c>
    </row>
    <row r="189" spans="1:25" x14ac:dyDescent="0.5">
      <c r="A189">
        <f>Data!A189</f>
        <v>15281</v>
      </c>
      <c r="J189" s="20">
        <f>Data!J189</f>
        <v>39598</v>
      </c>
      <c r="K189" s="20">
        <f>Data!K189</f>
        <v>43465</v>
      </c>
      <c r="L189" s="5" t="str">
        <f>Data!L189</f>
        <v>Active</v>
      </c>
      <c r="M189" s="5" t="str">
        <f>Data!M189</f>
        <v>Page (Corporate)</v>
      </c>
      <c r="P189" s="5" t="str">
        <f>Data!P189</f>
        <v>Grandfathered</v>
      </c>
      <c r="U189" s="5" t="str">
        <f>Data!U189</f>
        <v>UNITED STATES</v>
      </c>
      <c r="Y189" s="5" t="str">
        <f>Data!Y189</f>
        <v>United States</v>
      </c>
    </row>
    <row r="190" spans="1:25" x14ac:dyDescent="0.5">
      <c r="A190">
        <f>Data!A190</f>
        <v>15291</v>
      </c>
      <c r="J190" s="20">
        <f>Data!J190</f>
        <v>42184</v>
      </c>
      <c r="K190" s="20">
        <f>Data!K190</f>
        <v>43465</v>
      </c>
      <c r="L190" s="5" t="str">
        <f>Data!L190</f>
        <v>Active</v>
      </c>
      <c r="M190" s="5" t="str">
        <f>Data!M190</f>
        <v>Page (Corporate)</v>
      </c>
      <c r="P190" s="5" t="str">
        <f>Data!P190</f>
        <v>Eligible</v>
      </c>
      <c r="U190" s="5" t="str">
        <f>Data!U190</f>
        <v>UNITED STATES</v>
      </c>
      <c r="Y190" s="5" t="str">
        <f>Data!Y190</f>
        <v>United States</v>
      </c>
    </row>
    <row r="191" spans="1:25" x14ac:dyDescent="0.5">
      <c r="A191">
        <f>Data!A191</f>
        <v>15351</v>
      </c>
      <c r="J191" s="20">
        <f>Data!J191</f>
        <v>41471</v>
      </c>
      <c r="K191" s="20">
        <f>Data!K191</f>
        <v>43465</v>
      </c>
      <c r="L191" s="5" t="str">
        <f>Data!L191</f>
        <v>Active</v>
      </c>
      <c r="M191" s="5" t="str">
        <f>Data!M191</f>
        <v>Page (Corporate)</v>
      </c>
      <c r="P191" s="5" t="str">
        <f>Data!P191</f>
        <v>Eligible</v>
      </c>
      <c r="U191" s="5" t="str">
        <f>Data!U191</f>
        <v>UNITED STATES</v>
      </c>
      <c r="Y191" s="5" t="str">
        <f>Data!Y191</f>
        <v>United States</v>
      </c>
    </row>
    <row r="192" spans="1:25" x14ac:dyDescent="0.5">
      <c r="A192">
        <f>Data!A192</f>
        <v>15401</v>
      </c>
      <c r="J192" s="20">
        <f>Data!J192</f>
        <v>39688</v>
      </c>
      <c r="K192" s="20">
        <f>Data!K192</f>
        <v>43465</v>
      </c>
      <c r="L192" s="5" t="str">
        <f>Data!L192</f>
        <v>Active</v>
      </c>
      <c r="M192" s="5" t="str">
        <f>Data!M192</f>
        <v>Page (Agency)</v>
      </c>
      <c r="P192" s="5" t="str">
        <f>Data!P192</f>
        <v>Grandfathered</v>
      </c>
      <c r="U192" s="5" t="str">
        <f>Data!U192</f>
        <v>UNITED STATES</v>
      </c>
      <c r="Y192" s="5" t="str">
        <f>Data!Y192</f>
        <v>United States</v>
      </c>
    </row>
    <row r="193" spans="1:25" x14ac:dyDescent="0.5">
      <c r="A193">
        <f>Data!A193</f>
        <v>15461</v>
      </c>
      <c r="J193" s="20">
        <f>Data!J193</f>
        <v>39693</v>
      </c>
      <c r="K193" s="20">
        <f>Data!K193</f>
        <v>43465</v>
      </c>
      <c r="L193" s="5" t="str">
        <f>Data!L193</f>
        <v>Active</v>
      </c>
      <c r="M193" s="5" t="str">
        <f>Data!M193</f>
        <v>Page (Corporate)</v>
      </c>
      <c r="P193" s="5" t="str">
        <f>Data!P193</f>
        <v>Grandfathered</v>
      </c>
      <c r="U193" s="5" t="str">
        <f>Data!U193</f>
        <v>UNITED STATES</v>
      </c>
      <c r="Y193" s="5" t="str">
        <f>Data!Y193</f>
        <v>United States</v>
      </c>
    </row>
    <row r="194" spans="1:25" x14ac:dyDescent="0.5">
      <c r="A194">
        <f>Data!A194</f>
        <v>15651</v>
      </c>
      <c r="J194" s="20">
        <f>Data!J194</f>
        <v>39728</v>
      </c>
      <c r="K194" s="20">
        <f>Data!K194</f>
        <v>43465</v>
      </c>
      <c r="L194" s="5" t="str">
        <f>Data!L194</f>
        <v>Active</v>
      </c>
      <c r="M194" s="5" t="str">
        <f>Data!M194</f>
        <v>Page (Agency)</v>
      </c>
      <c r="P194" s="5" t="str">
        <f>Data!P194</f>
        <v>Grandfathered</v>
      </c>
      <c r="U194" s="5" t="str">
        <f>Data!U194</f>
        <v>UNITED STATES</v>
      </c>
      <c r="Y194" s="5" t="str">
        <f>Data!Y194</f>
        <v>United States</v>
      </c>
    </row>
    <row r="195" spans="1:25" x14ac:dyDescent="0.5">
      <c r="A195">
        <f>Data!A195</f>
        <v>15661</v>
      </c>
      <c r="J195" s="20">
        <f>Data!J195</f>
        <v>39762</v>
      </c>
      <c r="K195" s="20">
        <f>Data!K195</f>
        <v>43465</v>
      </c>
      <c r="L195" s="5" t="str">
        <f>Data!L195</f>
        <v>Active</v>
      </c>
      <c r="M195" s="5" t="str">
        <f>Data!M195</f>
        <v>Page (Corporate)</v>
      </c>
      <c r="P195" s="5" t="str">
        <f>Data!P195</f>
        <v>Grandfathered</v>
      </c>
      <c r="U195" s="5" t="str">
        <f>Data!U195</f>
        <v>UNITED STATES</v>
      </c>
      <c r="Y195" s="5" t="str">
        <f>Data!Y195</f>
        <v>United States</v>
      </c>
    </row>
    <row r="196" spans="1:25" x14ac:dyDescent="0.5">
      <c r="A196">
        <f>Data!A196</f>
        <v>15731</v>
      </c>
      <c r="J196" s="20">
        <f>Data!J196</f>
        <v>39787</v>
      </c>
      <c r="K196" s="20">
        <f>Data!K196</f>
        <v>43465</v>
      </c>
      <c r="L196" s="5" t="str">
        <f>Data!L196</f>
        <v>Active</v>
      </c>
      <c r="M196" s="5" t="str">
        <f>Data!M196</f>
        <v>Page (Corporate)</v>
      </c>
      <c r="P196" s="5" t="str">
        <f>Data!P196</f>
        <v>Grandfathered</v>
      </c>
      <c r="U196" s="5" t="str">
        <f>Data!U196</f>
        <v>UNITED STATES</v>
      </c>
      <c r="Y196" s="5" t="str">
        <f>Data!Y196</f>
        <v>United States</v>
      </c>
    </row>
    <row r="197" spans="1:25" x14ac:dyDescent="0.5">
      <c r="A197">
        <f>Data!A197</f>
        <v>15781</v>
      </c>
      <c r="J197" s="20">
        <f>Data!J197</f>
        <v>39829</v>
      </c>
      <c r="K197" s="20">
        <f>Data!K197</f>
        <v>43465</v>
      </c>
      <c r="L197" s="5" t="str">
        <f>Data!L197</f>
        <v>Active</v>
      </c>
      <c r="M197" s="5" t="str">
        <f>Data!M197</f>
        <v>Page (Retired)</v>
      </c>
      <c r="P197" s="5" t="str">
        <f>Data!P197</f>
        <v>Grandfathered</v>
      </c>
      <c r="U197" s="5" t="str">
        <f>Data!U197</f>
        <v>UNITED STATES</v>
      </c>
      <c r="Y197" s="5" t="str">
        <f>Data!Y197</f>
        <v>United States</v>
      </c>
    </row>
    <row r="198" spans="1:25" x14ac:dyDescent="0.5">
      <c r="A198">
        <f>Data!A198</f>
        <v>15791</v>
      </c>
      <c r="J198" s="20">
        <f>Data!J198</f>
        <v>39829</v>
      </c>
      <c r="K198" s="20">
        <f>Data!K198</f>
        <v>43465</v>
      </c>
      <c r="L198" s="5" t="str">
        <f>Data!L198</f>
        <v>Active</v>
      </c>
      <c r="M198" s="5" t="str">
        <f>Data!M198</f>
        <v>Page (Corporate)</v>
      </c>
      <c r="P198" s="5" t="str">
        <f>Data!P198</f>
        <v>Grandfathered</v>
      </c>
      <c r="U198" s="5" t="str">
        <f>Data!U198</f>
        <v>India</v>
      </c>
      <c r="Y198" s="5" t="str">
        <f>Data!Y198</f>
        <v>Asia:India</v>
      </c>
    </row>
    <row r="199" spans="1:25" x14ac:dyDescent="0.5">
      <c r="A199">
        <f>Data!A199</f>
        <v>15821</v>
      </c>
      <c r="J199" s="20">
        <f>Data!J199</f>
        <v>40609</v>
      </c>
      <c r="K199" s="20">
        <f>Data!K199</f>
        <v>43465</v>
      </c>
      <c r="L199" s="5" t="str">
        <f>Data!L199</f>
        <v>Active</v>
      </c>
      <c r="M199" s="5" t="str">
        <f>Data!M199</f>
        <v>Page (Corporate)</v>
      </c>
      <c r="P199" s="5" t="str">
        <f>Data!P199</f>
        <v>Grandfathered</v>
      </c>
      <c r="U199" s="5" t="str">
        <f>Data!U199</f>
        <v>UNITED STATES</v>
      </c>
      <c r="Y199" s="5" t="str">
        <f>Data!Y199</f>
        <v>United States</v>
      </c>
    </row>
    <row r="200" spans="1:25" x14ac:dyDescent="0.5">
      <c r="A200">
        <f>Data!A200</f>
        <v>15831</v>
      </c>
      <c r="J200" s="20">
        <f>Data!J200</f>
        <v>39829</v>
      </c>
      <c r="K200" s="20">
        <f>Data!K200</f>
        <v>43465</v>
      </c>
      <c r="L200" s="5" t="str">
        <f>Data!L200</f>
        <v>Active</v>
      </c>
      <c r="M200" s="5" t="str">
        <f>Data!M200</f>
        <v>Page (Corporate)</v>
      </c>
      <c r="P200" s="5" t="str">
        <f>Data!P200</f>
        <v>Grandfathered</v>
      </c>
      <c r="U200" s="5" t="str">
        <f>Data!U200</f>
        <v>UNITED STATES</v>
      </c>
      <c r="Y200" s="5" t="str">
        <f>Data!Y200</f>
        <v>United States</v>
      </c>
    </row>
    <row r="201" spans="1:25" x14ac:dyDescent="0.5">
      <c r="A201">
        <f>Data!A201</f>
        <v>16131</v>
      </c>
      <c r="J201" s="20">
        <f>Data!J201</f>
        <v>40598</v>
      </c>
      <c r="K201" s="20">
        <f>Data!K201</f>
        <v>43465</v>
      </c>
      <c r="L201" s="5" t="str">
        <f>Data!L201</f>
        <v>Active</v>
      </c>
      <c r="M201" s="5" t="str">
        <f>Data!M201</f>
        <v>Page (Corporate)</v>
      </c>
      <c r="P201" s="5" t="str">
        <f>Data!P201</f>
        <v>Grandfathered</v>
      </c>
      <c r="U201" s="5" t="str">
        <f>Data!U201</f>
        <v>UNITED STATES</v>
      </c>
      <c r="Y201" s="5">
        <f>Data!Y201</f>
        <v>0</v>
      </c>
    </row>
    <row r="202" spans="1:25" x14ac:dyDescent="0.5">
      <c r="A202">
        <f>Data!A202</f>
        <v>16171</v>
      </c>
      <c r="J202" s="20">
        <f>Data!J202</f>
        <v>39878</v>
      </c>
      <c r="K202" s="20">
        <f>Data!K202</f>
        <v>43465</v>
      </c>
      <c r="L202" s="5" t="str">
        <f>Data!L202</f>
        <v>Active</v>
      </c>
      <c r="M202" s="5" t="str">
        <f>Data!M202</f>
        <v>Page (Educator)</v>
      </c>
      <c r="P202" s="5" t="str">
        <f>Data!P202</f>
        <v>Grandfathered</v>
      </c>
      <c r="U202" s="5" t="str">
        <f>Data!U202</f>
        <v>Brazil</v>
      </c>
      <c r="Y202" s="5" t="str">
        <f>Data!Y202</f>
        <v>Latin America</v>
      </c>
    </row>
    <row r="203" spans="1:25" x14ac:dyDescent="0.5">
      <c r="A203">
        <f>Data!A203</f>
        <v>16201</v>
      </c>
      <c r="J203" s="20">
        <f>Data!J203</f>
        <v>39878</v>
      </c>
      <c r="K203" s="20">
        <f>Data!K203</f>
        <v>43465</v>
      </c>
      <c r="L203" s="5" t="str">
        <f>Data!L203</f>
        <v>Active</v>
      </c>
      <c r="M203" s="5" t="str">
        <f>Data!M203</f>
        <v>Page (Agency)</v>
      </c>
      <c r="P203" s="5" t="str">
        <f>Data!P203</f>
        <v>Grandfathered</v>
      </c>
      <c r="U203" s="5" t="str">
        <f>Data!U203</f>
        <v>UNITED STATES</v>
      </c>
      <c r="Y203" s="5" t="str">
        <f>Data!Y203</f>
        <v>United States</v>
      </c>
    </row>
    <row r="204" spans="1:25" x14ac:dyDescent="0.5">
      <c r="A204">
        <f>Data!A204</f>
        <v>16221</v>
      </c>
      <c r="J204" s="20">
        <f>Data!J204</f>
        <v>39878</v>
      </c>
      <c r="K204" s="20">
        <f>Data!K204</f>
        <v>43465</v>
      </c>
      <c r="L204" s="5" t="str">
        <f>Data!L204</f>
        <v>Active</v>
      </c>
      <c r="M204" s="5" t="str">
        <f>Data!M204</f>
        <v>Page (Corporate)</v>
      </c>
      <c r="P204" s="5" t="str">
        <f>Data!P204</f>
        <v>Grandfathered</v>
      </c>
      <c r="U204" s="5" t="str">
        <f>Data!U204</f>
        <v>UNITED STATES</v>
      </c>
      <c r="Y204" s="5" t="str">
        <f>Data!Y204</f>
        <v>United States</v>
      </c>
    </row>
    <row r="205" spans="1:25" x14ac:dyDescent="0.5">
      <c r="A205">
        <f>Data!A205</f>
        <v>16231</v>
      </c>
      <c r="J205" s="20">
        <f>Data!J205</f>
        <v>39878</v>
      </c>
      <c r="K205" s="20">
        <f>Data!K205</f>
        <v>43465</v>
      </c>
      <c r="L205" s="5" t="str">
        <f>Data!L205</f>
        <v>Active</v>
      </c>
      <c r="M205" s="5" t="str">
        <f>Data!M205</f>
        <v>Page (Corporate)</v>
      </c>
      <c r="P205" s="5" t="str">
        <f>Data!P205</f>
        <v>Grandfathered</v>
      </c>
      <c r="U205" s="5" t="str">
        <f>Data!U205</f>
        <v>Netherlands</v>
      </c>
      <c r="Y205" s="5" t="str">
        <f>Data!Y205</f>
        <v>Europe</v>
      </c>
    </row>
    <row r="206" spans="1:25" x14ac:dyDescent="0.5">
      <c r="A206">
        <f>Data!A206</f>
        <v>16251</v>
      </c>
      <c r="J206" s="20">
        <f>Data!J206</f>
        <v>39878</v>
      </c>
      <c r="K206" s="20">
        <f>Data!K206</f>
        <v>43465</v>
      </c>
      <c r="L206" s="5" t="str">
        <f>Data!L206</f>
        <v>Active</v>
      </c>
      <c r="M206" s="5" t="str">
        <f>Data!M206</f>
        <v>Page (Corporate)</v>
      </c>
      <c r="P206" s="5" t="str">
        <f>Data!P206</f>
        <v>Grandfathered</v>
      </c>
      <c r="U206" s="5" t="str">
        <f>Data!U206</f>
        <v>UNITED STATES</v>
      </c>
      <c r="Y206" s="5" t="str">
        <f>Data!Y206</f>
        <v>United States</v>
      </c>
    </row>
    <row r="207" spans="1:25" x14ac:dyDescent="0.5">
      <c r="A207">
        <f>Data!A207</f>
        <v>16361</v>
      </c>
      <c r="J207" s="20">
        <f>Data!J207</f>
        <v>43287</v>
      </c>
      <c r="K207" s="20">
        <f>Data!K207</f>
        <v>43652</v>
      </c>
      <c r="L207" s="5" t="str">
        <f>Data!L207</f>
        <v>Active</v>
      </c>
      <c r="M207" s="5" t="str">
        <f>Data!M207</f>
        <v>Page (Corporate)</v>
      </c>
      <c r="P207" s="5" t="str">
        <f>Data!P207</f>
        <v>Eligible</v>
      </c>
      <c r="U207" s="5" t="str">
        <f>Data!U207</f>
        <v>United Arab Emirates</v>
      </c>
      <c r="Y207" s="5" t="str">
        <f>Data!Y207</f>
        <v>Middle East/Africa</v>
      </c>
    </row>
    <row r="208" spans="1:25" x14ac:dyDescent="0.5">
      <c r="A208">
        <f>Data!A208</f>
        <v>16521</v>
      </c>
      <c r="J208" s="20">
        <f>Data!J208</f>
        <v>39989</v>
      </c>
      <c r="K208" s="20">
        <f>Data!K208</f>
        <v>43465</v>
      </c>
      <c r="L208" s="5" t="str">
        <f>Data!L208</f>
        <v>Active</v>
      </c>
      <c r="M208" s="5" t="str">
        <f>Data!M208</f>
        <v>Page (Agency)</v>
      </c>
      <c r="P208" s="5" t="str">
        <f>Data!P208</f>
        <v>Grandfathered</v>
      </c>
      <c r="U208" s="5" t="str">
        <f>Data!U208</f>
        <v>UNITED STATES</v>
      </c>
      <c r="Y208" s="5" t="str">
        <f>Data!Y208</f>
        <v>United States</v>
      </c>
    </row>
    <row r="209" spans="1:25" x14ac:dyDescent="0.5">
      <c r="A209">
        <f>Data!A209</f>
        <v>16531</v>
      </c>
      <c r="J209" s="20">
        <f>Data!J209</f>
        <v>39989</v>
      </c>
      <c r="K209" s="20">
        <f>Data!K209</f>
        <v>43465</v>
      </c>
      <c r="L209" s="5" t="str">
        <f>Data!L209</f>
        <v>Active</v>
      </c>
      <c r="M209" s="5" t="str">
        <f>Data!M209</f>
        <v>Page (Agency)</v>
      </c>
      <c r="P209" s="5" t="str">
        <f>Data!P209</f>
        <v>Grandfathered</v>
      </c>
      <c r="U209" s="5" t="str">
        <f>Data!U209</f>
        <v>UNITED STATES</v>
      </c>
      <c r="Y209" s="5" t="str">
        <f>Data!Y209</f>
        <v>United States</v>
      </c>
    </row>
    <row r="210" spans="1:25" x14ac:dyDescent="0.5">
      <c r="A210">
        <f>Data!A210</f>
        <v>16571</v>
      </c>
      <c r="J210" s="20">
        <f>Data!J210</f>
        <v>39989</v>
      </c>
      <c r="K210" s="20">
        <f>Data!K210</f>
        <v>43465</v>
      </c>
      <c r="L210" s="5" t="str">
        <f>Data!L210</f>
        <v>Active</v>
      </c>
      <c r="M210" s="5" t="str">
        <f>Data!M210</f>
        <v>Page (Agency)</v>
      </c>
      <c r="P210" s="5" t="str">
        <f>Data!P210</f>
        <v>Grandfathered</v>
      </c>
      <c r="U210" s="5" t="str">
        <f>Data!U210</f>
        <v>UNITED STATES</v>
      </c>
      <c r="Y210" s="5" t="str">
        <f>Data!Y210</f>
        <v>United States</v>
      </c>
    </row>
    <row r="211" spans="1:25" x14ac:dyDescent="0.5">
      <c r="A211">
        <f>Data!A211</f>
        <v>16581</v>
      </c>
      <c r="J211" s="20">
        <f>Data!J211</f>
        <v>39989</v>
      </c>
      <c r="K211" s="20">
        <f>Data!K211</f>
        <v>43465</v>
      </c>
      <c r="L211" s="5" t="str">
        <f>Data!L211</f>
        <v>Active</v>
      </c>
      <c r="M211" s="5" t="str">
        <f>Data!M211</f>
        <v>Page (Agency)</v>
      </c>
      <c r="P211" s="5" t="str">
        <f>Data!P211</f>
        <v>Grandfathered</v>
      </c>
      <c r="U211" s="5" t="str">
        <f>Data!U211</f>
        <v>Germany</v>
      </c>
      <c r="Y211" s="5" t="str">
        <f>Data!Y211</f>
        <v>Europe</v>
      </c>
    </row>
    <row r="212" spans="1:25" x14ac:dyDescent="0.5">
      <c r="A212">
        <f>Data!A212</f>
        <v>16591</v>
      </c>
      <c r="J212" s="20">
        <f>Data!J212</f>
        <v>39989</v>
      </c>
      <c r="K212" s="20">
        <f>Data!K212</f>
        <v>43465</v>
      </c>
      <c r="L212" s="5" t="str">
        <f>Data!L212</f>
        <v>Active</v>
      </c>
      <c r="M212" s="5" t="str">
        <f>Data!M212</f>
        <v>Page (Agency)</v>
      </c>
      <c r="P212" s="5" t="str">
        <f>Data!P212</f>
        <v>Grandfathered</v>
      </c>
      <c r="U212" s="5" t="str">
        <f>Data!U212</f>
        <v>UNITED STATES</v>
      </c>
      <c r="Y212" s="5" t="str">
        <f>Data!Y212</f>
        <v>United States</v>
      </c>
    </row>
    <row r="213" spans="1:25" x14ac:dyDescent="0.5">
      <c r="A213">
        <f>Data!A213</f>
        <v>16601</v>
      </c>
      <c r="J213" s="20">
        <f>Data!J213</f>
        <v>39989</v>
      </c>
      <c r="K213" s="20">
        <f>Data!K213</f>
        <v>43465</v>
      </c>
      <c r="L213" s="5" t="str">
        <f>Data!L213</f>
        <v>Active</v>
      </c>
      <c r="M213" s="5" t="str">
        <f>Data!M213</f>
        <v>Page (Non-Profit)</v>
      </c>
      <c r="P213" s="5" t="str">
        <f>Data!P213</f>
        <v>Grandfathered</v>
      </c>
      <c r="U213" s="5" t="str">
        <f>Data!U213</f>
        <v>UNITED STATES</v>
      </c>
      <c r="Y213" s="5" t="str">
        <f>Data!Y213</f>
        <v>United States</v>
      </c>
    </row>
    <row r="214" spans="1:25" x14ac:dyDescent="0.5">
      <c r="A214">
        <f>Data!A214</f>
        <v>16611</v>
      </c>
      <c r="J214" s="20">
        <f>Data!J214</f>
        <v>39990</v>
      </c>
      <c r="K214" s="20">
        <f>Data!K214</f>
        <v>43465</v>
      </c>
      <c r="L214" s="5" t="str">
        <f>Data!L214</f>
        <v>Active</v>
      </c>
      <c r="M214" s="5" t="str">
        <f>Data!M214</f>
        <v>Page (Agency)</v>
      </c>
      <c r="P214" s="5" t="str">
        <f>Data!P214</f>
        <v>Grandfathered</v>
      </c>
      <c r="U214" s="5" t="str">
        <f>Data!U214</f>
        <v>UNITED STATES</v>
      </c>
      <c r="Y214" s="5" t="str">
        <f>Data!Y214</f>
        <v>United States</v>
      </c>
    </row>
    <row r="215" spans="1:25" x14ac:dyDescent="0.5">
      <c r="A215">
        <f>Data!A215</f>
        <v>16621</v>
      </c>
      <c r="J215" s="20">
        <f>Data!J215</f>
        <v>39990</v>
      </c>
      <c r="K215" s="20">
        <f>Data!K215</f>
        <v>43465</v>
      </c>
      <c r="L215" s="5" t="str">
        <f>Data!L215</f>
        <v>Active</v>
      </c>
      <c r="M215" s="5" t="str">
        <f>Data!M215</f>
        <v>Page (Retired)</v>
      </c>
      <c r="P215" s="5" t="str">
        <f>Data!P215</f>
        <v>Grandfathered</v>
      </c>
      <c r="U215" s="5" t="str">
        <f>Data!U215</f>
        <v>UNITED STATES</v>
      </c>
      <c r="Y215" s="5" t="str">
        <f>Data!Y215</f>
        <v>United States</v>
      </c>
    </row>
    <row r="216" spans="1:25" x14ac:dyDescent="0.5">
      <c r="A216">
        <f>Data!A216</f>
        <v>16951</v>
      </c>
      <c r="J216" s="20">
        <f>Data!J216</f>
        <v>40043</v>
      </c>
      <c r="K216" s="20">
        <f>Data!K216</f>
        <v>43465</v>
      </c>
      <c r="L216" s="5" t="str">
        <f>Data!L216</f>
        <v>Active</v>
      </c>
      <c r="M216" s="5" t="str">
        <f>Data!M216</f>
        <v>Page (Non-Profit)</v>
      </c>
      <c r="P216" s="5" t="str">
        <f>Data!P216</f>
        <v>Grandfathered</v>
      </c>
      <c r="U216" s="5" t="str">
        <f>Data!U216</f>
        <v>UNITED STATES</v>
      </c>
      <c r="Y216" s="5" t="str">
        <f>Data!Y216</f>
        <v>United States</v>
      </c>
    </row>
    <row r="217" spans="1:25" x14ac:dyDescent="0.5">
      <c r="A217">
        <f>Data!A217</f>
        <v>16981</v>
      </c>
      <c r="J217" s="20">
        <f>Data!J217</f>
        <v>40043</v>
      </c>
      <c r="K217" s="20">
        <f>Data!K217</f>
        <v>43465</v>
      </c>
      <c r="L217" s="5" t="str">
        <f>Data!L217</f>
        <v>Active</v>
      </c>
      <c r="M217" s="5" t="str">
        <f>Data!M217</f>
        <v>Page (Corporate)</v>
      </c>
      <c r="P217" s="5" t="str">
        <f>Data!P217</f>
        <v>Grandfathered</v>
      </c>
      <c r="U217" s="5" t="str">
        <f>Data!U217</f>
        <v>UNITED STATES</v>
      </c>
      <c r="Y217" s="5" t="str">
        <f>Data!Y217</f>
        <v>United States</v>
      </c>
    </row>
    <row r="218" spans="1:25" x14ac:dyDescent="0.5">
      <c r="A218">
        <f>Data!A218</f>
        <v>16991</v>
      </c>
      <c r="J218" s="20">
        <f>Data!J218</f>
        <v>40043</v>
      </c>
      <c r="K218" s="20">
        <f>Data!K218</f>
        <v>43465</v>
      </c>
      <c r="L218" s="5" t="str">
        <f>Data!L218</f>
        <v>Active</v>
      </c>
      <c r="M218" s="5" t="str">
        <f>Data!M218</f>
        <v>Page (Corporate)</v>
      </c>
      <c r="P218" s="5" t="str">
        <f>Data!P218</f>
        <v>Grandfathered</v>
      </c>
      <c r="U218" s="5" t="str">
        <f>Data!U218</f>
        <v>Netherlands</v>
      </c>
      <c r="Y218" s="5" t="str">
        <f>Data!Y218</f>
        <v>Europe</v>
      </c>
    </row>
    <row r="219" spans="1:25" x14ac:dyDescent="0.5">
      <c r="A219">
        <f>Data!A219</f>
        <v>17071</v>
      </c>
      <c r="J219" s="20">
        <f>Data!J219</f>
        <v>40086</v>
      </c>
      <c r="K219" s="20">
        <f>Data!K219</f>
        <v>43465</v>
      </c>
      <c r="L219" s="5" t="str">
        <f>Data!L219</f>
        <v>Active</v>
      </c>
      <c r="M219" s="5" t="str">
        <f>Data!M219</f>
        <v>Page (Corporate)</v>
      </c>
      <c r="P219" s="5" t="str">
        <f>Data!P219</f>
        <v>Grandfathered</v>
      </c>
      <c r="U219" s="5" t="str">
        <f>Data!U219</f>
        <v>UNITED STATES</v>
      </c>
      <c r="Y219" s="5" t="str">
        <f>Data!Y219</f>
        <v>United States</v>
      </c>
    </row>
    <row r="220" spans="1:25" x14ac:dyDescent="0.5">
      <c r="A220">
        <f>Data!A220</f>
        <v>17081</v>
      </c>
      <c r="J220" s="20">
        <f>Data!J220</f>
        <v>40086</v>
      </c>
      <c r="K220" s="20">
        <f>Data!K220</f>
        <v>43465</v>
      </c>
      <c r="L220" s="5" t="str">
        <f>Data!L220</f>
        <v>Active</v>
      </c>
      <c r="M220" s="5" t="str">
        <f>Data!M220</f>
        <v>Page (Corporate)</v>
      </c>
      <c r="P220" s="5" t="str">
        <f>Data!P220</f>
        <v>Grandfathered</v>
      </c>
      <c r="U220" s="5" t="str">
        <f>Data!U220</f>
        <v>UNITED STATES</v>
      </c>
      <c r="Y220" s="5" t="str">
        <f>Data!Y220</f>
        <v>United States</v>
      </c>
    </row>
    <row r="221" spans="1:25" x14ac:dyDescent="0.5">
      <c r="A221">
        <f>Data!A221</f>
        <v>17131</v>
      </c>
      <c r="J221" s="20">
        <f>Data!J221</f>
        <v>40092</v>
      </c>
      <c r="K221" s="20">
        <f>Data!K221</f>
        <v>43465</v>
      </c>
      <c r="L221" s="5" t="str">
        <f>Data!L221</f>
        <v>Active</v>
      </c>
      <c r="M221" s="5" t="str">
        <f>Data!M221</f>
        <v>Page (Corporate)</v>
      </c>
      <c r="P221" s="5" t="str">
        <f>Data!P221</f>
        <v>Grandfathered</v>
      </c>
      <c r="U221" s="5" t="str">
        <f>Data!U221</f>
        <v>UNITED STATES</v>
      </c>
      <c r="Y221" s="5" t="str">
        <f>Data!Y221</f>
        <v>United States</v>
      </c>
    </row>
    <row r="222" spans="1:25" x14ac:dyDescent="0.5">
      <c r="A222">
        <f>Data!A222</f>
        <v>17151</v>
      </c>
      <c r="J222" s="20">
        <f>Data!J222</f>
        <v>41352</v>
      </c>
      <c r="K222" s="20">
        <f>Data!K222</f>
        <v>43465</v>
      </c>
      <c r="L222" s="5" t="str">
        <f>Data!L222</f>
        <v>Active</v>
      </c>
      <c r="M222" s="5" t="str">
        <f>Data!M222</f>
        <v>Page (Agency)</v>
      </c>
      <c r="P222" s="5" t="str">
        <f>Data!P222</f>
        <v>Continuous</v>
      </c>
      <c r="U222" s="5" t="str">
        <f>Data!U222</f>
        <v>UNITED STATES</v>
      </c>
      <c r="Y222" s="5" t="str">
        <f>Data!Y222</f>
        <v>United States</v>
      </c>
    </row>
    <row r="223" spans="1:25" x14ac:dyDescent="0.5">
      <c r="A223">
        <f>Data!A223</f>
        <v>17231</v>
      </c>
      <c r="J223" s="20">
        <f>Data!J223</f>
        <v>43334</v>
      </c>
      <c r="K223" s="20">
        <f>Data!K223</f>
        <v>43699</v>
      </c>
      <c r="L223" s="5" t="str">
        <f>Data!L223</f>
        <v>Active</v>
      </c>
      <c r="M223" s="5" t="str">
        <f>Data!M223</f>
        <v>Page (Corporate)</v>
      </c>
      <c r="P223" s="5" t="str">
        <f>Data!P223</f>
        <v>Eligible</v>
      </c>
      <c r="U223" s="5" t="str">
        <f>Data!U223</f>
        <v>UNITED STATES</v>
      </c>
      <c r="Y223" s="5" t="str">
        <f>Data!Y223</f>
        <v>United States</v>
      </c>
    </row>
    <row r="224" spans="1:25" x14ac:dyDescent="0.5">
      <c r="A224">
        <f>Data!A224</f>
        <v>17311</v>
      </c>
      <c r="J224" s="20">
        <f>Data!J224</f>
        <v>42783</v>
      </c>
      <c r="K224" s="20">
        <f>Data!K224</f>
        <v>43100</v>
      </c>
      <c r="L224" s="5" t="str">
        <f>Data!L224</f>
        <v>Active</v>
      </c>
      <c r="M224" s="5" t="str">
        <f>Data!M224</f>
        <v>Page (Corporate)</v>
      </c>
      <c r="P224" s="5" t="str">
        <f>Data!P224</f>
        <v>In Staff Review</v>
      </c>
      <c r="U224" s="5" t="str">
        <f>Data!U224</f>
        <v>UNITED STATES</v>
      </c>
      <c r="Y224" s="5" t="str">
        <f>Data!Y224</f>
        <v>United States</v>
      </c>
    </row>
    <row r="225" spans="1:25" x14ac:dyDescent="0.5">
      <c r="A225">
        <f>Data!A225</f>
        <v>17521</v>
      </c>
      <c r="J225" s="20">
        <f>Data!J225</f>
        <v>42831</v>
      </c>
      <c r="K225" s="20">
        <f>Data!K225</f>
        <v>43465</v>
      </c>
      <c r="L225" s="5" t="str">
        <f>Data!L225</f>
        <v>Active</v>
      </c>
      <c r="M225" s="5" t="str">
        <f>Data!M225</f>
        <v>Page (Corporate)</v>
      </c>
      <c r="P225" s="5" t="str">
        <f>Data!P225</f>
        <v>Eligible</v>
      </c>
      <c r="U225" s="5" t="str">
        <f>Data!U225</f>
        <v>UNITED STATES</v>
      </c>
      <c r="Y225" s="5" t="str">
        <f>Data!Y225</f>
        <v>United States</v>
      </c>
    </row>
    <row r="226" spans="1:25" x14ac:dyDescent="0.5">
      <c r="A226">
        <f>Data!A226</f>
        <v>17551</v>
      </c>
      <c r="J226" s="20">
        <f>Data!J226</f>
        <v>43297</v>
      </c>
      <c r="K226" s="20">
        <f>Data!K226</f>
        <v>43662</v>
      </c>
      <c r="L226" s="5" t="str">
        <f>Data!L226</f>
        <v>Active</v>
      </c>
      <c r="M226" s="5" t="str">
        <f>Data!M226</f>
        <v>Page (Non-Profit)</v>
      </c>
      <c r="P226" s="5" t="str">
        <f>Data!P226</f>
        <v>Eligible</v>
      </c>
      <c r="U226" s="5" t="str">
        <f>Data!U226</f>
        <v>UNITED STATES</v>
      </c>
      <c r="Y226" s="5" t="str">
        <f>Data!Y226</f>
        <v>United States</v>
      </c>
    </row>
    <row r="227" spans="1:25" x14ac:dyDescent="0.5">
      <c r="A227">
        <f>Data!A227</f>
        <v>17611</v>
      </c>
      <c r="J227" s="20">
        <f>Data!J227</f>
        <v>40233</v>
      </c>
      <c r="K227" s="20">
        <f>Data!K227</f>
        <v>43465</v>
      </c>
      <c r="L227" s="5" t="str">
        <f>Data!L227</f>
        <v>Active</v>
      </c>
      <c r="M227" s="5" t="str">
        <f>Data!M227</f>
        <v>Page (Agency)</v>
      </c>
      <c r="P227" s="5" t="str">
        <f>Data!P227</f>
        <v>Grandfathered</v>
      </c>
      <c r="U227" s="5" t="str">
        <f>Data!U227</f>
        <v>UNITED STATES</v>
      </c>
      <c r="Y227" s="5" t="str">
        <f>Data!Y227</f>
        <v>United States</v>
      </c>
    </row>
    <row r="228" spans="1:25" x14ac:dyDescent="0.5">
      <c r="A228">
        <f>Data!A228</f>
        <v>17631</v>
      </c>
      <c r="J228" s="20">
        <f>Data!J228</f>
        <v>40233</v>
      </c>
      <c r="K228" s="20">
        <f>Data!K228</f>
        <v>43465</v>
      </c>
      <c r="L228" s="5" t="str">
        <f>Data!L228</f>
        <v>Active</v>
      </c>
      <c r="M228" s="5" t="str">
        <f>Data!M228</f>
        <v>Page (Corporate)</v>
      </c>
      <c r="P228" s="5" t="str">
        <f>Data!P228</f>
        <v>Grandfathered</v>
      </c>
      <c r="U228" s="5" t="str">
        <f>Data!U228</f>
        <v>UNITED STATES</v>
      </c>
      <c r="Y228" s="5" t="str">
        <f>Data!Y228</f>
        <v>United States</v>
      </c>
    </row>
    <row r="229" spans="1:25" x14ac:dyDescent="0.5">
      <c r="A229">
        <f>Data!A229</f>
        <v>17641</v>
      </c>
      <c r="J229" s="20">
        <f>Data!J229</f>
        <v>40233</v>
      </c>
      <c r="K229" s="20">
        <f>Data!K229</f>
        <v>43465</v>
      </c>
      <c r="L229" s="5" t="str">
        <f>Data!L229</f>
        <v>Active</v>
      </c>
      <c r="M229" s="5" t="str">
        <f>Data!M229</f>
        <v>Page (Corporate)</v>
      </c>
      <c r="P229" s="5" t="str">
        <f>Data!P229</f>
        <v>Grandfathered</v>
      </c>
      <c r="U229" s="5" t="str">
        <f>Data!U229</f>
        <v>UNITED STATES</v>
      </c>
      <c r="Y229" s="5" t="str">
        <f>Data!Y229</f>
        <v>United States</v>
      </c>
    </row>
    <row r="230" spans="1:25" x14ac:dyDescent="0.5">
      <c r="A230">
        <f>Data!A230</f>
        <v>17651</v>
      </c>
      <c r="J230" s="20">
        <f>Data!J230</f>
        <v>40233</v>
      </c>
      <c r="K230" s="20">
        <f>Data!K230</f>
        <v>43465</v>
      </c>
      <c r="L230" s="5" t="str">
        <f>Data!L230</f>
        <v>Active</v>
      </c>
      <c r="M230" s="5" t="str">
        <f>Data!M230</f>
        <v>Page (Corporate)</v>
      </c>
      <c r="P230" s="5" t="str">
        <f>Data!P230</f>
        <v>Grandfathered</v>
      </c>
      <c r="U230" s="5" t="str">
        <f>Data!U230</f>
        <v>UNITED STATES</v>
      </c>
      <c r="Y230" s="5" t="str">
        <f>Data!Y230</f>
        <v>United States</v>
      </c>
    </row>
    <row r="231" spans="1:25" x14ac:dyDescent="0.5">
      <c r="A231">
        <f>Data!A231</f>
        <v>17681</v>
      </c>
      <c r="J231" s="20">
        <f>Data!J231</f>
        <v>42052</v>
      </c>
      <c r="K231" s="20">
        <f>Data!K231</f>
        <v>43465</v>
      </c>
      <c r="L231" s="5" t="str">
        <f>Data!L231</f>
        <v>Active</v>
      </c>
      <c r="M231" s="5" t="str">
        <f>Data!M231</f>
        <v>Page (Corporate)</v>
      </c>
      <c r="P231" s="5" t="str">
        <f>Data!P231</f>
        <v>Eligible</v>
      </c>
      <c r="U231" s="5" t="str">
        <f>Data!U231</f>
        <v>UNITED STATES</v>
      </c>
      <c r="Y231" s="5" t="str">
        <f>Data!Y231</f>
        <v>United States</v>
      </c>
    </row>
    <row r="232" spans="1:25" x14ac:dyDescent="0.5">
      <c r="A232">
        <f>Data!A232</f>
        <v>18391</v>
      </c>
      <c r="J232" s="20">
        <f>Data!J232</f>
        <v>40353</v>
      </c>
      <c r="K232" s="20">
        <f>Data!K232</f>
        <v>43465</v>
      </c>
      <c r="L232" s="5" t="str">
        <f>Data!L232</f>
        <v>Active</v>
      </c>
      <c r="M232" s="5" t="str">
        <f>Data!M232</f>
        <v>Page (Agency)</v>
      </c>
      <c r="P232" s="5" t="str">
        <f>Data!P232</f>
        <v>Grandfathered</v>
      </c>
      <c r="U232" s="5" t="str">
        <f>Data!U232</f>
        <v>UNITED STATES</v>
      </c>
      <c r="Y232" s="5" t="str">
        <f>Data!Y232</f>
        <v>United States</v>
      </c>
    </row>
    <row r="233" spans="1:25" x14ac:dyDescent="0.5">
      <c r="A233">
        <f>Data!A233</f>
        <v>18401</v>
      </c>
      <c r="J233" s="20">
        <f>Data!J233</f>
        <v>40353</v>
      </c>
      <c r="K233" s="20">
        <f>Data!K233</f>
        <v>43465</v>
      </c>
      <c r="L233" s="5" t="str">
        <f>Data!L233</f>
        <v>Active</v>
      </c>
      <c r="M233" s="5" t="str">
        <f>Data!M233</f>
        <v>Page (Retired)</v>
      </c>
      <c r="P233" s="5" t="str">
        <f>Data!P233</f>
        <v>Grandfathered</v>
      </c>
      <c r="U233" s="5" t="str">
        <f>Data!U233</f>
        <v>UNITED STATES</v>
      </c>
      <c r="Y233" s="5" t="str">
        <f>Data!Y233</f>
        <v>United States</v>
      </c>
    </row>
    <row r="234" spans="1:25" x14ac:dyDescent="0.5">
      <c r="A234">
        <f>Data!A234</f>
        <v>18411</v>
      </c>
      <c r="J234" s="20">
        <f>Data!J234</f>
        <v>40353</v>
      </c>
      <c r="K234" s="20">
        <f>Data!K234</f>
        <v>43465</v>
      </c>
      <c r="L234" s="5" t="str">
        <f>Data!L234</f>
        <v>Active</v>
      </c>
      <c r="M234" s="5" t="str">
        <f>Data!M234</f>
        <v>Page (Agency)</v>
      </c>
      <c r="P234" s="5" t="str">
        <f>Data!P234</f>
        <v>Grandfathered</v>
      </c>
      <c r="U234" s="5" t="str">
        <f>Data!U234</f>
        <v>UNITED STATES</v>
      </c>
      <c r="Y234" s="5" t="str">
        <f>Data!Y234</f>
        <v>United States</v>
      </c>
    </row>
    <row r="235" spans="1:25" x14ac:dyDescent="0.5">
      <c r="A235">
        <f>Data!A235</f>
        <v>18491</v>
      </c>
      <c r="J235" s="20">
        <f>Data!J235</f>
        <v>42125</v>
      </c>
      <c r="K235" s="20">
        <f>Data!K235</f>
        <v>43465</v>
      </c>
      <c r="L235" s="5" t="str">
        <f>Data!L235</f>
        <v>Active</v>
      </c>
      <c r="M235" s="5" t="str">
        <f>Data!M235</f>
        <v>Page (Corporate)</v>
      </c>
      <c r="P235" s="5" t="str">
        <f>Data!P235</f>
        <v>BOT_Grace</v>
      </c>
      <c r="U235" s="5" t="str">
        <f>Data!U235</f>
        <v>UNITED STATES</v>
      </c>
      <c r="Y235" s="5" t="str">
        <f>Data!Y235</f>
        <v>United States</v>
      </c>
    </row>
    <row r="236" spans="1:25" x14ac:dyDescent="0.5">
      <c r="A236">
        <f>Data!A236</f>
        <v>18591</v>
      </c>
      <c r="J236" s="20">
        <f>Data!J236</f>
        <v>40414</v>
      </c>
      <c r="K236" s="20">
        <f>Data!K236</f>
        <v>43465</v>
      </c>
      <c r="L236" s="5" t="str">
        <f>Data!L236</f>
        <v>Active</v>
      </c>
      <c r="M236" s="5" t="str">
        <f>Data!M236</f>
        <v>Page (Corporate)</v>
      </c>
      <c r="P236" s="5" t="str">
        <f>Data!P236</f>
        <v>Grandfathered</v>
      </c>
      <c r="U236" s="5" t="str">
        <f>Data!U236</f>
        <v>UNITED STATES</v>
      </c>
      <c r="Y236" s="5" t="str">
        <f>Data!Y236</f>
        <v>United States</v>
      </c>
    </row>
    <row r="237" spans="1:25" x14ac:dyDescent="0.5">
      <c r="A237">
        <f>Data!A237</f>
        <v>18601</v>
      </c>
      <c r="J237" s="20">
        <f>Data!J237</f>
        <v>40442</v>
      </c>
      <c r="K237" s="20">
        <f>Data!K237</f>
        <v>43465</v>
      </c>
      <c r="L237" s="5" t="str">
        <f>Data!L237</f>
        <v>Active</v>
      </c>
      <c r="M237" s="5" t="str">
        <f>Data!M237</f>
        <v>Page (Corporate)</v>
      </c>
      <c r="P237" s="5" t="str">
        <f>Data!P237</f>
        <v>Grandfathered</v>
      </c>
      <c r="U237" s="5" t="str">
        <f>Data!U237</f>
        <v>UNITED STATES</v>
      </c>
      <c r="Y237" s="5" t="str">
        <f>Data!Y237</f>
        <v>United States</v>
      </c>
    </row>
    <row r="238" spans="1:25" x14ac:dyDescent="0.5">
      <c r="A238">
        <f>Data!A238</f>
        <v>18631</v>
      </c>
      <c r="J238" s="20">
        <f>Data!J238</f>
        <v>40535</v>
      </c>
      <c r="K238" s="20">
        <f>Data!K238</f>
        <v>43465</v>
      </c>
      <c r="L238" s="5" t="str">
        <f>Data!L238</f>
        <v>Active</v>
      </c>
      <c r="M238" s="5" t="str">
        <f>Data!M238</f>
        <v>Page (Agency)</v>
      </c>
      <c r="P238" s="5" t="str">
        <f>Data!P238</f>
        <v>Grandfathered</v>
      </c>
      <c r="U238" s="5" t="str">
        <f>Data!U238</f>
        <v>UNITED STATES</v>
      </c>
      <c r="Y238" s="5" t="str">
        <f>Data!Y238</f>
        <v>United States</v>
      </c>
    </row>
    <row r="239" spans="1:25" x14ac:dyDescent="0.5">
      <c r="A239">
        <f>Data!A239</f>
        <v>18651</v>
      </c>
      <c r="J239" s="20">
        <f>Data!J239</f>
        <v>40414</v>
      </c>
      <c r="K239" s="20">
        <f>Data!K239</f>
        <v>43465</v>
      </c>
      <c r="L239" s="5" t="str">
        <f>Data!L239</f>
        <v>Active</v>
      </c>
      <c r="M239" s="5" t="str">
        <f>Data!M239</f>
        <v>Page (Agency)</v>
      </c>
      <c r="P239" s="5" t="str">
        <f>Data!P239</f>
        <v>Grandfathered</v>
      </c>
      <c r="U239" s="5" t="str">
        <f>Data!U239</f>
        <v>UNITED STATES</v>
      </c>
      <c r="Y239" s="5" t="str">
        <f>Data!Y239</f>
        <v>United States</v>
      </c>
    </row>
    <row r="240" spans="1:25" x14ac:dyDescent="0.5">
      <c r="A240">
        <f>Data!A240</f>
        <v>18661</v>
      </c>
      <c r="J240" s="20">
        <f>Data!J240</f>
        <v>40414</v>
      </c>
      <c r="K240" s="20">
        <f>Data!K240</f>
        <v>43465</v>
      </c>
      <c r="L240" s="5" t="str">
        <f>Data!L240</f>
        <v>Active</v>
      </c>
      <c r="M240" s="5" t="str">
        <f>Data!M240</f>
        <v>Page (Corporate)</v>
      </c>
      <c r="P240" s="5" t="str">
        <f>Data!P240</f>
        <v>Grandfathered</v>
      </c>
      <c r="U240" s="5" t="str">
        <f>Data!U240</f>
        <v>UNITED STATES</v>
      </c>
      <c r="Y240" s="5" t="str">
        <f>Data!Y240</f>
        <v>United States</v>
      </c>
    </row>
    <row r="241" spans="1:25" x14ac:dyDescent="0.5">
      <c r="A241">
        <f>Data!A241</f>
        <v>18691</v>
      </c>
      <c r="J241" s="20">
        <f>Data!J241</f>
        <v>43216</v>
      </c>
      <c r="K241" s="20">
        <f>Data!K241</f>
        <v>43581</v>
      </c>
      <c r="L241" s="5" t="str">
        <f>Data!L241</f>
        <v>Active</v>
      </c>
      <c r="M241" s="5" t="str">
        <f>Data!M241</f>
        <v>Page (Educator)</v>
      </c>
      <c r="P241" s="5">
        <f>Data!P241</f>
        <v>0</v>
      </c>
      <c r="U241" s="5" t="str">
        <f>Data!U241</f>
        <v>UNITED STATES</v>
      </c>
      <c r="Y241" s="5" t="str">
        <f>Data!Y241</f>
        <v>United States</v>
      </c>
    </row>
    <row r="242" spans="1:25" x14ac:dyDescent="0.5">
      <c r="A242">
        <f>Data!A242</f>
        <v>18741</v>
      </c>
      <c r="J242" s="20">
        <f>Data!J242</f>
        <v>42037</v>
      </c>
      <c r="K242" s="20">
        <f>Data!K242</f>
        <v>43465</v>
      </c>
      <c r="L242" s="5" t="str">
        <f>Data!L242</f>
        <v>Active</v>
      </c>
      <c r="M242" s="5" t="str">
        <f>Data!M242</f>
        <v>Page (Non-Profit)</v>
      </c>
      <c r="P242" s="5" t="str">
        <f>Data!P242</f>
        <v>Eligible</v>
      </c>
      <c r="U242" s="5" t="str">
        <f>Data!U242</f>
        <v>UNITED STATES</v>
      </c>
      <c r="Y242" s="5" t="str">
        <f>Data!Y242</f>
        <v>United States</v>
      </c>
    </row>
    <row r="243" spans="1:25" x14ac:dyDescent="0.5">
      <c r="A243">
        <f>Data!A243</f>
        <v>18864</v>
      </c>
      <c r="J243" s="20">
        <f>Data!J243</f>
        <v>40471</v>
      </c>
      <c r="K243" s="20">
        <f>Data!K243</f>
        <v>43465</v>
      </c>
      <c r="L243" s="5" t="str">
        <f>Data!L243</f>
        <v>Active</v>
      </c>
      <c r="M243" s="5" t="str">
        <f>Data!M243</f>
        <v>Page (Corporate)</v>
      </c>
      <c r="P243" s="5" t="str">
        <f>Data!P243</f>
        <v>Grandfathered</v>
      </c>
      <c r="U243" s="5" t="str">
        <f>Data!U243</f>
        <v>UNITED STATES</v>
      </c>
      <c r="Y243" s="5" t="str">
        <f>Data!Y243</f>
        <v>United States</v>
      </c>
    </row>
    <row r="244" spans="1:25" x14ac:dyDescent="0.5">
      <c r="A244">
        <f>Data!A244</f>
        <v>18891</v>
      </c>
      <c r="J244" s="20">
        <f>Data!J244</f>
        <v>40532</v>
      </c>
      <c r="K244" s="20">
        <f>Data!K244</f>
        <v>43465</v>
      </c>
      <c r="L244" s="5" t="str">
        <f>Data!L244</f>
        <v>Active</v>
      </c>
      <c r="M244" s="5" t="str">
        <f>Data!M244</f>
        <v>Page (Corporate)</v>
      </c>
      <c r="P244" s="5" t="str">
        <f>Data!P244</f>
        <v>Grandfathered</v>
      </c>
      <c r="U244" s="5" t="str">
        <f>Data!U244</f>
        <v>UNITED STATES</v>
      </c>
      <c r="Y244" s="5" t="str">
        <f>Data!Y244</f>
        <v>United States</v>
      </c>
    </row>
    <row r="245" spans="1:25" x14ac:dyDescent="0.5">
      <c r="A245">
        <f>Data!A245</f>
        <v>18892</v>
      </c>
      <c r="J245" s="20">
        <f>Data!J245</f>
        <v>40603</v>
      </c>
      <c r="K245" s="20">
        <f>Data!K245</f>
        <v>43465</v>
      </c>
      <c r="L245" s="5" t="str">
        <f>Data!L245</f>
        <v>Active</v>
      </c>
      <c r="M245" s="5" t="str">
        <f>Data!M245</f>
        <v>Page (Educator)</v>
      </c>
      <c r="P245" s="5" t="str">
        <f>Data!P245</f>
        <v>Grandfathered</v>
      </c>
      <c r="U245" s="5" t="str">
        <f>Data!U245</f>
        <v>Netherlands</v>
      </c>
      <c r="Y245" s="5" t="str">
        <f>Data!Y245</f>
        <v>Europe</v>
      </c>
    </row>
    <row r="246" spans="1:25" x14ac:dyDescent="0.5">
      <c r="A246">
        <f>Data!A246</f>
        <v>18895</v>
      </c>
      <c r="J246" s="20">
        <f>Data!J246</f>
        <v>40511</v>
      </c>
      <c r="K246" s="20">
        <f>Data!K246</f>
        <v>43465</v>
      </c>
      <c r="L246" s="5" t="str">
        <f>Data!L246</f>
        <v>Active</v>
      </c>
      <c r="M246" s="5" t="str">
        <f>Data!M246</f>
        <v>Page (Retired)</v>
      </c>
      <c r="P246" s="5" t="str">
        <f>Data!P246</f>
        <v>Grandfathered</v>
      </c>
      <c r="U246" s="5" t="str">
        <f>Data!U246</f>
        <v>UNITED STATES</v>
      </c>
      <c r="Y246" s="5" t="str">
        <f>Data!Y246</f>
        <v>United States</v>
      </c>
    </row>
    <row r="247" spans="1:25" x14ac:dyDescent="0.5">
      <c r="A247">
        <f>Data!A247</f>
        <v>18900</v>
      </c>
      <c r="J247" s="20">
        <f>Data!J247</f>
        <v>40519</v>
      </c>
      <c r="K247" s="20">
        <f>Data!K247</f>
        <v>43465</v>
      </c>
      <c r="L247" s="5" t="str">
        <f>Data!L247</f>
        <v>Active</v>
      </c>
      <c r="M247" s="5" t="str">
        <f>Data!M247</f>
        <v>Page (Corporate)</v>
      </c>
      <c r="P247" s="5" t="str">
        <f>Data!P247</f>
        <v>Grandfathered</v>
      </c>
      <c r="U247" s="5" t="str">
        <f>Data!U247</f>
        <v>UNITED STATES</v>
      </c>
      <c r="Y247" s="5" t="str">
        <f>Data!Y247</f>
        <v>United States</v>
      </c>
    </row>
    <row r="248" spans="1:25" x14ac:dyDescent="0.5">
      <c r="A248">
        <f>Data!A248</f>
        <v>18901</v>
      </c>
      <c r="J248" s="20">
        <f>Data!J248</f>
        <v>40535</v>
      </c>
      <c r="K248" s="20">
        <f>Data!K248</f>
        <v>43465</v>
      </c>
      <c r="L248" s="5" t="str">
        <f>Data!L248</f>
        <v>Active</v>
      </c>
      <c r="M248" s="5" t="str">
        <f>Data!M248</f>
        <v>Page (Agency)</v>
      </c>
      <c r="P248" s="5" t="str">
        <f>Data!P248</f>
        <v>Grandfathered</v>
      </c>
      <c r="U248" s="5" t="str">
        <f>Data!U248</f>
        <v>United Kingdom</v>
      </c>
      <c r="Y248" s="5" t="str">
        <f>Data!Y248</f>
        <v>Europe</v>
      </c>
    </row>
    <row r="249" spans="1:25" x14ac:dyDescent="0.5">
      <c r="A249">
        <f>Data!A249</f>
        <v>18939</v>
      </c>
      <c r="J249" s="20">
        <f>Data!J249</f>
        <v>41450</v>
      </c>
      <c r="K249" s="20">
        <f>Data!K249</f>
        <v>43465</v>
      </c>
      <c r="L249" s="5" t="str">
        <f>Data!L249</f>
        <v>Active</v>
      </c>
      <c r="M249" s="5" t="str">
        <f>Data!M249</f>
        <v>Page (Corporate)</v>
      </c>
      <c r="P249" s="5" t="str">
        <f>Data!P249</f>
        <v>Eligible</v>
      </c>
      <c r="U249" s="5" t="str">
        <f>Data!U249</f>
        <v>UNITED STATES</v>
      </c>
      <c r="Y249" s="5" t="str">
        <f>Data!Y249</f>
        <v>United States</v>
      </c>
    </row>
    <row r="250" spans="1:25" x14ac:dyDescent="0.5">
      <c r="A250">
        <f>Data!A250</f>
        <v>18943</v>
      </c>
      <c r="J250" s="20">
        <f>Data!J250</f>
        <v>42184</v>
      </c>
      <c r="K250" s="20">
        <f>Data!K250</f>
        <v>43465</v>
      </c>
      <c r="L250" s="5" t="str">
        <f>Data!L250</f>
        <v>Active</v>
      </c>
      <c r="M250" s="5" t="str">
        <f>Data!M250</f>
        <v>Page (Corporate)</v>
      </c>
      <c r="P250" s="5" t="str">
        <f>Data!P250</f>
        <v>Eligible</v>
      </c>
      <c r="U250" s="5" t="str">
        <f>Data!U250</f>
        <v>UNITED STATES</v>
      </c>
      <c r="Y250" s="5" t="str">
        <f>Data!Y250</f>
        <v>United States</v>
      </c>
    </row>
    <row r="251" spans="1:25" x14ac:dyDescent="0.5">
      <c r="A251">
        <f>Data!A251</f>
        <v>18952</v>
      </c>
      <c r="J251" s="20">
        <f>Data!J251</f>
        <v>42257</v>
      </c>
      <c r="K251" s="20">
        <f>Data!K251</f>
        <v>43465</v>
      </c>
      <c r="L251" s="5" t="str">
        <f>Data!L251</f>
        <v>Active</v>
      </c>
      <c r="M251" s="5" t="str">
        <f>Data!M251</f>
        <v>Page (Corporate)</v>
      </c>
      <c r="P251" s="5" t="str">
        <f>Data!P251</f>
        <v>Non-Qualified</v>
      </c>
      <c r="U251" s="5" t="str">
        <f>Data!U251</f>
        <v>UNITED STATES</v>
      </c>
      <c r="Y251" s="5" t="str">
        <f>Data!Y251</f>
        <v>United States</v>
      </c>
    </row>
    <row r="252" spans="1:25" x14ac:dyDescent="0.5">
      <c r="A252">
        <f>Data!A252</f>
        <v>18953</v>
      </c>
      <c r="J252" s="20">
        <f>Data!J252</f>
        <v>41351</v>
      </c>
      <c r="K252" s="20">
        <f>Data!K252</f>
        <v>43465</v>
      </c>
      <c r="L252" s="5" t="str">
        <f>Data!L252</f>
        <v>Active</v>
      </c>
      <c r="M252" s="5" t="str">
        <f>Data!M252</f>
        <v>Page (Corporate)</v>
      </c>
      <c r="P252" s="5" t="str">
        <f>Data!P252</f>
        <v>Eligible</v>
      </c>
      <c r="U252" s="5" t="str">
        <f>Data!U252</f>
        <v>UNITED STATES</v>
      </c>
      <c r="Y252" s="5" t="str">
        <f>Data!Y252</f>
        <v>United States</v>
      </c>
    </row>
    <row r="253" spans="1:25" x14ac:dyDescent="0.5">
      <c r="A253">
        <f>Data!A253</f>
        <v>18960</v>
      </c>
      <c r="J253" s="20">
        <f>Data!J253</f>
        <v>42401</v>
      </c>
      <c r="K253" s="20">
        <f>Data!K253</f>
        <v>43465</v>
      </c>
      <c r="L253" s="5" t="str">
        <f>Data!L253</f>
        <v>Active</v>
      </c>
      <c r="M253" s="5" t="str">
        <f>Data!M253</f>
        <v>Page (Corporate)</v>
      </c>
      <c r="P253" s="5" t="str">
        <f>Data!P253</f>
        <v>Eligible</v>
      </c>
      <c r="U253" s="5" t="str">
        <f>Data!U253</f>
        <v>UNITED STATES</v>
      </c>
      <c r="Y253" s="5" t="str">
        <f>Data!Y253</f>
        <v>United States</v>
      </c>
    </row>
    <row r="254" spans="1:25" x14ac:dyDescent="0.5">
      <c r="A254">
        <f>Data!A254</f>
        <v>18961</v>
      </c>
      <c r="J254" s="20">
        <f>Data!J254</f>
        <v>42403</v>
      </c>
      <c r="K254" s="20">
        <f>Data!K254</f>
        <v>43465</v>
      </c>
      <c r="L254" s="5" t="str">
        <f>Data!L254</f>
        <v>Active</v>
      </c>
      <c r="M254" s="5" t="str">
        <f>Data!M254</f>
        <v>Page (Corporate)</v>
      </c>
      <c r="P254" s="5" t="str">
        <f>Data!P254</f>
        <v>Eligible</v>
      </c>
      <c r="U254" s="5" t="str">
        <f>Data!U254</f>
        <v>UNITED STATES</v>
      </c>
      <c r="Y254" s="5" t="str">
        <f>Data!Y254</f>
        <v>United States</v>
      </c>
    </row>
    <row r="255" spans="1:25" x14ac:dyDescent="0.5">
      <c r="A255">
        <f>Data!A255</f>
        <v>18962</v>
      </c>
      <c r="J255" s="20">
        <f>Data!J255</f>
        <v>41934</v>
      </c>
      <c r="K255" s="20">
        <f>Data!K255</f>
        <v>43465</v>
      </c>
      <c r="L255" s="5" t="str">
        <f>Data!L255</f>
        <v>Active</v>
      </c>
      <c r="M255" s="5" t="str">
        <f>Data!M255</f>
        <v>Page (Corporate)</v>
      </c>
      <c r="P255" s="5" t="str">
        <f>Data!P255</f>
        <v>Eligible</v>
      </c>
      <c r="U255" s="5" t="str">
        <f>Data!U255</f>
        <v>UNITED STATES</v>
      </c>
      <c r="Y255" s="5" t="str">
        <f>Data!Y255</f>
        <v>United States</v>
      </c>
    </row>
    <row r="256" spans="1:25" x14ac:dyDescent="0.5">
      <c r="A256">
        <f>Data!A256</f>
        <v>19015</v>
      </c>
      <c r="J256" s="20">
        <f>Data!J256</f>
        <v>41446</v>
      </c>
      <c r="K256" s="20">
        <f>Data!K256</f>
        <v>43465</v>
      </c>
      <c r="L256" s="5" t="str">
        <f>Data!L256</f>
        <v>Active</v>
      </c>
      <c r="M256" s="5" t="str">
        <f>Data!M256</f>
        <v>Page (Corporate)</v>
      </c>
      <c r="P256" s="5" t="str">
        <f>Data!P256</f>
        <v>Eligible</v>
      </c>
      <c r="U256" s="5" t="str">
        <f>Data!U256</f>
        <v>UNITED STATES</v>
      </c>
      <c r="Y256" s="5" t="str">
        <f>Data!Y256</f>
        <v>United States</v>
      </c>
    </row>
    <row r="257" spans="1:25" x14ac:dyDescent="0.5">
      <c r="A257">
        <f>Data!A257</f>
        <v>19045</v>
      </c>
      <c r="J257" s="20">
        <f>Data!J257</f>
        <v>41710</v>
      </c>
      <c r="K257" s="20">
        <f>Data!K257</f>
        <v>43465</v>
      </c>
      <c r="L257" s="5" t="str">
        <f>Data!L257</f>
        <v>Active</v>
      </c>
      <c r="M257" s="5" t="str">
        <f>Data!M257</f>
        <v>Page (Corporate)</v>
      </c>
      <c r="P257" s="5" t="str">
        <f>Data!P257</f>
        <v>Eligible</v>
      </c>
      <c r="U257" s="5" t="str">
        <f>Data!U257</f>
        <v>UNITED STATES</v>
      </c>
      <c r="Y257" s="5" t="str">
        <f>Data!Y257</f>
        <v>United States</v>
      </c>
    </row>
    <row r="258" spans="1:25" x14ac:dyDescent="0.5">
      <c r="A258">
        <f>Data!A258</f>
        <v>19073</v>
      </c>
      <c r="J258" s="20">
        <f>Data!J258</f>
        <v>41452</v>
      </c>
      <c r="K258" s="20">
        <f>Data!K258</f>
        <v>43465</v>
      </c>
      <c r="L258" s="5" t="str">
        <f>Data!L258</f>
        <v>Active</v>
      </c>
      <c r="M258" s="5" t="str">
        <f>Data!M258</f>
        <v>Page (Corporate)</v>
      </c>
      <c r="P258" s="5" t="str">
        <f>Data!P258</f>
        <v>Eligible</v>
      </c>
      <c r="U258" s="5" t="str">
        <f>Data!U258</f>
        <v>UNITED STATES</v>
      </c>
      <c r="Y258" s="5" t="str">
        <f>Data!Y258</f>
        <v>United States</v>
      </c>
    </row>
    <row r="259" spans="1:25" x14ac:dyDescent="0.5">
      <c r="A259">
        <f>Data!A259</f>
        <v>19078</v>
      </c>
      <c r="J259" s="20">
        <f>Data!J259</f>
        <v>42479</v>
      </c>
      <c r="K259" s="20">
        <f>Data!K259</f>
        <v>43465</v>
      </c>
      <c r="L259" s="5" t="str">
        <f>Data!L259</f>
        <v>Active</v>
      </c>
      <c r="M259" s="5" t="str">
        <f>Data!M259</f>
        <v>Page (Corporate)</v>
      </c>
      <c r="P259" s="5" t="str">
        <f>Data!P259</f>
        <v>Eligible</v>
      </c>
      <c r="U259" s="5" t="str">
        <f>Data!U259</f>
        <v>UNITED STATES</v>
      </c>
      <c r="Y259" s="5" t="str">
        <f>Data!Y259</f>
        <v>United States</v>
      </c>
    </row>
    <row r="260" spans="1:25" x14ac:dyDescent="0.5">
      <c r="A260">
        <f>Data!A260</f>
        <v>19081</v>
      </c>
      <c r="J260" s="20">
        <f>Data!J260</f>
        <v>42535</v>
      </c>
      <c r="K260" s="20">
        <f>Data!K260</f>
        <v>43465</v>
      </c>
      <c r="L260" s="5" t="str">
        <f>Data!L260</f>
        <v>Active</v>
      </c>
      <c r="M260" s="5" t="str">
        <f>Data!M260</f>
        <v>Page (Corporate)</v>
      </c>
      <c r="P260" s="5" t="str">
        <f>Data!P260</f>
        <v>Eligible</v>
      </c>
      <c r="U260" s="5" t="str">
        <f>Data!U260</f>
        <v>UNITED STATES</v>
      </c>
      <c r="Y260" s="5" t="str">
        <f>Data!Y260</f>
        <v>United States</v>
      </c>
    </row>
    <row r="261" spans="1:25" x14ac:dyDescent="0.5">
      <c r="A261">
        <f>Data!A261</f>
        <v>19091</v>
      </c>
      <c r="J261" s="20">
        <f>Data!J261</f>
        <v>40737</v>
      </c>
      <c r="K261" s="20">
        <f>Data!K261</f>
        <v>43465</v>
      </c>
      <c r="L261" s="5" t="str">
        <f>Data!L261</f>
        <v>Active</v>
      </c>
      <c r="M261" s="5" t="str">
        <f>Data!M261</f>
        <v>Page (Corporate)</v>
      </c>
      <c r="P261" s="5" t="str">
        <f>Data!P261</f>
        <v>Grandfathered</v>
      </c>
      <c r="U261" s="5" t="str">
        <f>Data!U261</f>
        <v>UNITED STATES</v>
      </c>
      <c r="Y261" s="5" t="str">
        <f>Data!Y261</f>
        <v>United States</v>
      </c>
    </row>
    <row r="262" spans="1:25" x14ac:dyDescent="0.5">
      <c r="A262">
        <f>Data!A262</f>
        <v>19143</v>
      </c>
      <c r="J262" s="20">
        <f>Data!J262</f>
        <v>42949</v>
      </c>
      <c r="K262" s="20">
        <f>Data!K262</f>
        <v>43679</v>
      </c>
      <c r="L262" s="5" t="str">
        <f>Data!L262</f>
        <v>Active</v>
      </c>
      <c r="M262" s="5" t="str">
        <f>Data!M262</f>
        <v>Page (Agency)</v>
      </c>
      <c r="P262" s="5" t="str">
        <f>Data!P262</f>
        <v>Eligible</v>
      </c>
      <c r="U262" s="5" t="str">
        <f>Data!U262</f>
        <v>UNITED STATES</v>
      </c>
      <c r="Y262" s="5" t="str">
        <f>Data!Y262</f>
        <v>United States</v>
      </c>
    </row>
    <row r="263" spans="1:25" x14ac:dyDescent="0.5">
      <c r="A263">
        <f>Data!A263</f>
        <v>19149</v>
      </c>
      <c r="J263" s="20">
        <f>Data!J263</f>
        <v>41480</v>
      </c>
      <c r="K263" s="20">
        <f>Data!K263</f>
        <v>43465</v>
      </c>
      <c r="L263" s="5" t="str">
        <f>Data!L263</f>
        <v>Active</v>
      </c>
      <c r="M263" s="5" t="str">
        <f>Data!M263</f>
        <v>Page (Corporate)</v>
      </c>
      <c r="P263" s="5" t="str">
        <f>Data!P263</f>
        <v>Eligible</v>
      </c>
      <c r="U263" s="5" t="str">
        <f>Data!U263</f>
        <v>UNITED STATES</v>
      </c>
      <c r="Y263" s="5" t="str">
        <f>Data!Y263</f>
        <v>United States</v>
      </c>
    </row>
    <row r="264" spans="1:25" x14ac:dyDescent="0.5">
      <c r="A264">
        <f>Data!A264</f>
        <v>19151</v>
      </c>
      <c r="J264" s="20">
        <f>Data!J264</f>
        <v>42475</v>
      </c>
      <c r="K264" s="20">
        <f>Data!K264</f>
        <v>43465</v>
      </c>
      <c r="L264" s="5" t="str">
        <f>Data!L264</f>
        <v>Active</v>
      </c>
      <c r="M264" s="5" t="str">
        <f>Data!M264</f>
        <v>Page (Corporate)</v>
      </c>
      <c r="P264" s="5" t="str">
        <f>Data!P264</f>
        <v>Eligible</v>
      </c>
      <c r="U264" s="5" t="str">
        <f>Data!U264</f>
        <v>UNITED STATES</v>
      </c>
      <c r="Y264" s="5" t="str">
        <f>Data!Y264</f>
        <v>United States</v>
      </c>
    </row>
    <row r="265" spans="1:25" x14ac:dyDescent="0.5">
      <c r="A265">
        <f>Data!A265</f>
        <v>19161</v>
      </c>
      <c r="J265" s="20">
        <f>Data!J265</f>
        <v>42556</v>
      </c>
      <c r="K265" s="20">
        <f>Data!K265</f>
        <v>43465</v>
      </c>
      <c r="L265" s="5" t="str">
        <f>Data!L265</f>
        <v>Active</v>
      </c>
      <c r="M265" s="5" t="str">
        <f>Data!M265</f>
        <v>Page (Corporate)</v>
      </c>
      <c r="P265" s="5" t="str">
        <f>Data!P265</f>
        <v>Eligible</v>
      </c>
      <c r="U265" s="5" t="str">
        <f>Data!U265</f>
        <v>UNITED STATES</v>
      </c>
      <c r="Y265" s="5" t="str">
        <f>Data!Y265</f>
        <v>United States</v>
      </c>
    </row>
    <row r="266" spans="1:25" x14ac:dyDescent="0.5">
      <c r="A266">
        <f>Data!A266</f>
        <v>19166</v>
      </c>
      <c r="J266" s="20">
        <f>Data!J266</f>
        <v>42999</v>
      </c>
      <c r="K266" s="20">
        <f>Data!K266</f>
        <v>43363</v>
      </c>
      <c r="L266" s="5" t="str">
        <f>Data!L266</f>
        <v>Active</v>
      </c>
      <c r="M266" s="5" t="str">
        <f>Data!M266</f>
        <v>Page (Corporate)</v>
      </c>
      <c r="P266" s="5" t="str">
        <f>Data!P266</f>
        <v>Eligible</v>
      </c>
      <c r="U266" s="5" t="str">
        <f>Data!U266</f>
        <v>UNITED STATES</v>
      </c>
      <c r="Y266" s="5" t="str">
        <f>Data!Y266</f>
        <v>United States</v>
      </c>
    </row>
    <row r="267" spans="1:25" x14ac:dyDescent="0.5">
      <c r="A267">
        <f>Data!A267</f>
        <v>19171</v>
      </c>
      <c r="J267" s="20">
        <f>Data!J267</f>
        <v>43180</v>
      </c>
      <c r="K267" s="20">
        <f>Data!K267</f>
        <v>43545</v>
      </c>
      <c r="L267" s="5" t="str">
        <f>Data!L267</f>
        <v>Active</v>
      </c>
      <c r="M267" s="5" t="str">
        <f>Data!M267</f>
        <v>Page (Corporate)</v>
      </c>
      <c r="P267" s="5" t="str">
        <f>Data!P267</f>
        <v>Eligible</v>
      </c>
      <c r="U267" s="5" t="str">
        <f>Data!U267</f>
        <v>UNITED STATES</v>
      </c>
      <c r="Y267" s="5" t="str">
        <f>Data!Y267</f>
        <v>United States</v>
      </c>
    </row>
    <row r="268" spans="1:25" x14ac:dyDescent="0.5">
      <c r="A268">
        <f>Data!A268</f>
        <v>19173</v>
      </c>
      <c r="J268" s="20">
        <f>Data!J268</f>
        <v>41387</v>
      </c>
      <c r="K268" s="20">
        <f>Data!K268</f>
        <v>43465</v>
      </c>
      <c r="L268" s="5" t="str">
        <f>Data!L268</f>
        <v>Active</v>
      </c>
      <c r="M268" s="5" t="str">
        <f>Data!M268</f>
        <v>Page (Corporate)</v>
      </c>
      <c r="P268" s="5" t="str">
        <f>Data!P268</f>
        <v>Eligible</v>
      </c>
      <c r="U268" s="5" t="str">
        <f>Data!U268</f>
        <v>UNITED STATES</v>
      </c>
      <c r="Y268" s="5" t="str">
        <f>Data!Y268</f>
        <v>United States</v>
      </c>
    </row>
    <row r="269" spans="1:25" x14ac:dyDescent="0.5">
      <c r="A269">
        <f>Data!A269</f>
        <v>19192</v>
      </c>
      <c r="J269" s="20">
        <f>Data!J269</f>
        <v>40757</v>
      </c>
      <c r="K269" s="20">
        <f>Data!K269</f>
        <v>43465</v>
      </c>
      <c r="L269" s="5" t="str">
        <f>Data!L269</f>
        <v>Active</v>
      </c>
      <c r="M269" s="5" t="str">
        <f>Data!M269</f>
        <v>Page (Retired)</v>
      </c>
      <c r="P269" s="5" t="str">
        <f>Data!P269</f>
        <v>Continuous</v>
      </c>
      <c r="U269" s="5" t="str">
        <f>Data!U269</f>
        <v>UNITED STATES</v>
      </c>
      <c r="Y269" s="5" t="str">
        <f>Data!Y269</f>
        <v>United States</v>
      </c>
    </row>
    <row r="270" spans="1:25" x14ac:dyDescent="0.5">
      <c r="A270">
        <f>Data!A270</f>
        <v>19195</v>
      </c>
      <c r="J270" s="20">
        <f>Data!J270</f>
        <v>40757</v>
      </c>
      <c r="K270" s="20">
        <f>Data!K270</f>
        <v>43465</v>
      </c>
      <c r="L270" s="5" t="str">
        <f>Data!L270</f>
        <v>Active</v>
      </c>
      <c r="M270" s="5" t="str">
        <f>Data!M270</f>
        <v>Page (Corporate)</v>
      </c>
      <c r="P270" s="5" t="str">
        <f>Data!P270</f>
        <v>Eligible</v>
      </c>
      <c r="U270" s="5" t="str">
        <f>Data!U270</f>
        <v>UNITED STATES</v>
      </c>
      <c r="Y270" s="5" t="str">
        <f>Data!Y270</f>
        <v>United States</v>
      </c>
    </row>
    <row r="271" spans="1:25" x14ac:dyDescent="0.5">
      <c r="A271">
        <f>Data!A271</f>
        <v>19196</v>
      </c>
      <c r="J271" s="20">
        <f>Data!J271</f>
        <v>40770</v>
      </c>
      <c r="K271" s="20">
        <f>Data!K271</f>
        <v>43465</v>
      </c>
      <c r="L271" s="5" t="str">
        <f>Data!L271</f>
        <v>Active</v>
      </c>
      <c r="M271" s="5" t="str">
        <f>Data!M271</f>
        <v>Page (Corporate)</v>
      </c>
      <c r="P271" s="5" t="str">
        <f>Data!P271</f>
        <v>Eligible</v>
      </c>
      <c r="U271" s="5" t="str">
        <f>Data!U271</f>
        <v>UNITED STATES</v>
      </c>
      <c r="Y271" s="5" t="str">
        <f>Data!Y271</f>
        <v>United States</v>
      </c>
    </row>
    <row r="272" spans="1:25" x14ac:dyDescent="0.5">
      <c r="A272">
        <f>Data!A272</f>
        <v>19231</v>
      </c>
      <c r="J272" s="20">
        <f>Data!J272</f>
        <v>40788</v>
      </c>
      <c r="K272" s="20">
        <f>Data!K272</f>
        <v>43465</v>
      </c>
      <c r="L272" s="5" t="str">
        <f>Data!L272</f>
        <v>Active</v>
      </c>
      <c r="M272" s="5" t="str">
        <f>Data!M272</f>
        <v>Page (Corporate)</v>
      </c>
      <c r="P272" s="5" t="str">
        <f>Data!P272</f>
        <v>Eligible</v>
      </c>
      <c r="U272" s="5" t="str">
        <f>Data!U272</f>
        <v>UNITED STATES</v>
      </c>
      <c r="Y272" s="5" t="str">
        <f>Data!Y272</f>
        <v>United States</v>
      </c>
    </row>
    <row r="273" spans="1:25" x14ac:dyDescent="0.5">
      <c r="A273">
        <f>Data!A273</f>
        <v>19234</v>
      </c>
      <c r="J273" s="20">
        <f>Data!J273</f>
        <v>40778</v>
      </c>
      <c r="K273" s="20">
        <f>Data!K273</f>
        <v>43465</v>
      </c>
      <c r="L273" s="5" t="str">
        <f>Data!L273</f>
        <v>Active</v>
      </c>
      <c r="M273" s="5" t="str">
        <f>Data!M273</f>
        <v>Page (Corporate)</v>
      </c>
      <c r="P273" s="5" t="str">
        <f>Data!P273</f>
        <v>Eligible</v>
      </c>
      <c r="U273" s="5" t="str">
        <f>Data!U273</f>
        <v>UNITED STATES</v>
      </c>
      <c r="Y273" s="5" t="str">
        <f>Data!Y273</f>
        <v>United States</v>
      </c>
    </row>
    <row r="274" spans="1:25" x14ac:dyDescent="0.5">
      <c r="A274">
        <f>Data!A274</f>
        <v>19235</v>
      </c>
      <c r="J274" s="20">
        <f>Data!J274</f>
        <v>40792</v>
      </c>
      <c r="K274" s="20">
        <f>Data!K274</f>
        <v>43465</v>
      </c>
      <c r="L274" s="5" t="str">
        <f>Data!L274</f>
        <v>Active</v>
      </c>
      <c r="M274" s="5" t="str">
        <f>Data!M274</f>
        <v>Page (Corporate)</v>
      </c>
      <c r="P274" s="5">
        <f>Data!P274</f>
        <v>0</v>
      </c>
      <c r="U274" s="5" t="str">
        <f>Data!U274</f>
        <v>UNITED STATES</v>
      </c>
      <c r="Y274" s="5" t="str">
        <f>Data!Y274</f>
        <v>United States</v>
      </c>
    </row>
    <row r="275" spans="1:25" x14ac:dyDescent="0.5">
      <c r="A275">
        <f>Data!A275</f>
        <v>19238</v>
      </c>
      <c r="J275" s="20">
        <f>Data!J275</f>
        <v>40778</v>
      </c>
      <c r="K275" s="20">
        <f>Data!K275</f>
        <v>43465</v>
      </c>
      <c r="L275" s="5" t="str">
        <f>Data!L275</f>
        <v>Active</v>
      </c>
      <c r="M275" s="5" t="str">
        <f>Data!M275</f>
        <v>Page (Corporate)</v>
      </c>
      <c r="P275" s="5" t="str">
        <f>Data!P275</f>
        <v>Eligible</v>
      </c>
      <c r="U275" s="5" t="str">
        <f>Data!U275</f>
        <v>UNITED STATES</v>
      </c>
      <c r="Y275" s="5" t="str">
        <f>Data!Y275</f>
        <v>United States</v>
      </c>
    </row>
    <row r="276" spans="1:25" x14ac:dyDescent="0.5">
      <c r="A276">
        <f>Data!A276</f>
        <v>19239</v>
      </c>
      <c r="J276" s="20">
        <f>Data!J276</f>
        <v>40787</v>
      </c>
      <c r="K276" s="20">
        <f>Data!K276</f>
        <v>43465</v>
      </c>
      <c r="L276" s="5" t="str">
        <f>Data!L276</f>
        <v>Active</v>
      </c>
      <c r="M276" s="5" t="str">
        <f>Data!M276</f>
        <v>Page (Agency)</v>
      </c>
      <c r="P276" s="5" t="str">
        <f>Data!P276</f>
        <v>Continuous</v>
      </c>
      <c r="U276" s="5" t="str">
        <f>Data!U276</f>
        <v>UNITED STATES</v>
      </c>
      <c r="Y276" s="5" t="str">
        <f>Data!Y276</f>
        <v>United States</v>
      </c>
    </row>
    <row r="277" spans="1:25" x14ac:dyDescent="0.5">
      <c r="A277">
        <f>Data!A277</f>
        <v>19241</v>
      </c>
      <c r="J277" s="20">
        <f>Data!J277</f>
        <v>40809</v>
      </c>
      <c r="K277" s="20">
        <f>Data!K277</f>
        <v>43465</v>
      </c>
      <c r="L277" s="5" t="str">
        <f>Data!L277</f>
        <v>Active</v>
      </c>
      <c r="M277" s="5" t="str">
        <f>Data!M277</f>
        <v>Page (Agency)</v>
      </c>
      <c r="P277" s="5" t="str">
        <f>Data!P277</f>
        <v>Eligible</v>
      </c>
      <c r="U277" s="5" t="str">
        <f>Data!U277</f>
        <v>UNITED STATES</v>
      </c>
      <c r="Y277" s="5" t="str">
        <f>Data!Y277</f>
        <v>United States</v>
      </c>
    </row>
    <row r="278" spans="1:25" x14ac:dyDescent="0.5">
      <c r="A278">
        <f>Data!A278</f>
        <v>19243</v>
      </c>
      <c r="J278" s="20">
        <f>Data!J278</f>
        <v>43004</v>
      </c>
      <c r="K278" s="20">
        <f>Data!K278</f>
        <v>43368</v>
      </c>
      <c r="L278" s="5" t="str">
        <f>Data!L278</f>
        <v>Active</v>
      </c>
      <c r="M278" s="5" t="str">
        <f>Data!M278</f>
        <v>Page (Agency)</v>
      </c>
      <c r="P278" s="5" t="str">
        <f>Data!P278</f>
        <v>Eligible</v>
      </c>
      <c r="U278" s="5" t="str">
        <f>Data!U278</f>
        <v>UNITED STATES</v>
      </c>
      <c r="Y278" s="5" t="str">
        <f>Data!Y278</f>
        <v>United States</v>
      </c>
    </row>
    <row r="279" spans="1:25" x14ac:dyDescent="0.5">
      <c r="A279">
        <f>Data!A279</f>
        <v>19271</v>
      </c>
      <c r="J279" s="20">
        <f>Data!J279</f>
        <v>40824</v>
      </c>
      <c r="K279" s="20">
        <f>Data!K279</f>
        <v>43465</v>
      </c>
      <c r="L279" s="5" t="str">
        <f>Data!L279</f>
        <v>Active</v>
      </c>
      <c r="M279" s="5" t="str">
        <f>Data!M279</f>
        <v>Page (Corporate)</v>
      </c>
      <c r="P279" s="5" t="str">
        <f>Data!P279</f>
        <v>Eligible</v>
      </c>
      <c r="U279" s="5" t="str">
        <f>Data!U279</f>
        <v>UNITED STATES</v>
      </c>
      <c r="Y279" s="5" t="str">
        <f>Data!Y279</f>
        <v>United States</v>
      </c>
    </row>
    <row r="280" spans="1:25" x14ac:dyDescent="0.5">
      <c r="A280">
        <f>Data!A280</f>
        <v>19272</v>
      </c>
      <c r="J280" s="20">
        <f>Data!J280</f>
        <v>40847</v>
      </c>
      <c r="K280" s="20">
        <f>Data!K280</f>
        <v>43465</v>
      </c>
      <c r="L280" s="5" t="str">
        <f>Data!L280</f>
        <v>Active</v>
      </c>
      <c r="M280" s="5" t="str">
        <f>Data!M280</f>
        <v>Page (Agency)</v>
      </c>
      <c r="P280" s="5" t="str">
        <f>Data!P280</f>
        <v>Eligible</v>
      </c>
      <c r="U280" s="5" t="str">
        <f>Data!U280</f>
        <v>UNITED STATES</v>
      </c>
      <c r="Y280" s="5" t="str">
        <f>Data!Y280</f>
        <v>United States</v>
      </c>
    </row>
    <row r="281" spans="1:25" x14ac:dyDescent="0.5">
      <c r="A281">
        <f>Data!A281</f>
        <v>19280</v>
      </c>
      <c r="J281" s="20">
        <f>Data!J281</f>
        <v>40919</v>
      </c>
      <c r="K281" s="20">
        <f>Data!K281</f>
        <v>43465</v>
      </c>
      <c r="L281" s="5" t="str">
        <f>Data!L281</f>
        <v>Active</v>
      </c>
      <c r="M281" s="5" t="str">
        <f>Data!M281</f>
        <v>Page (Corporate)</v>
      </c>
      <c r="P281" s="5" t="str">
        <f>Data!P281</f>
        <v>Eligible</v>
      </c>
      <c r="U281" s="5" t="str">
        <f>Data!U281</f>
        <v>UNITED STATES</v>
      </c>
      <c r="Y281" s="5" t="str">
        <f>Data!Y281</f>
        <v>United States</v>
      </c>
    </row>
    <row r="282" spans="1:25" x14ac:dyDescent="0.5">
      <c r="A282">
        <f>Data!A282</f>
        <v>19281</v>
      </c>
      <c r="J282" s="20">
        <f>Data!J282</f>
        <v>40917</v>
      </c>
      <c r="K282" s="20">
        <f>Data!K282</f>
        <v>43465</v>
      </c>
      <c r="L282" s="5" t="str">
        <f>Data!L282</f>
        <v>Active</v>
      </c>
      <c r="M282" s="5" t="str">
        <f>Data!M282</f>
        <v>Page (Corporate)</v>
      </c>
      <c r="P282" s="5" t="str">
        <f>Data!P282</f>
        <v>Eligible</v>
      </c>
      <c r="U282" s="5" t="str">
        <f>Data!U282</f>
        <v>UNITED STATES</v>
      </c>
      <c r="Y282" s="5" t="str">
        <f>Data!Y282</f>
        <v>United States</v>
      </c>
    </row>
    <row r="283" spans="1:25" x14ac:dyDescent="0.5">
      <c r="A283">
        <f>Data!A283</f>
        <v>19282</v>
      </c>
      <c r="J283" s="20">
        <f>Data!J283</f>
        <v>42832</v>
      </c>
      <c r="K283" s="20">
        <f>Data!K283</f>
        <v>43465</v>
      </c>
      <c r="L283" s="5" t="str">
        <f>Data!L283</f>
        <v>Active</v>
      </c>
      <c r="M283" s="5" t="str">
        <f>Data!M283</f>
        <v>Page (Corporate)</v>
      </c>
      <c r="P283" s="5" t="str">
        <f>Data!P283</f>
        <v>Eligible</v>
      </c>
      <c r="U283" s="5" t="str">
        <f>Data!U283</f>
        <v>Italy</v>
      </c>
      <c r="Y283" s="5" t="str">
        <f>Data!Y283</f>
        <v>Europe</v>
      </c>
    </row>
    <row r="284" spans="1:25" x14ac:dyDescent="0.5">
      <c r="A284">
        <f>Data!A284</f>
        <v>19317</v>
      </c>
      <c r="J284" s="20">
        <f>Data!J284</f>
        <v>42951</v>
      </c>
      <c r="K284" s="20">
        <f>Data!K284</f>
        <v>43681</v>
      </c>
      <c r="L284" s="5" t="str">
        <f>Data!L284</f>
        <v>Active</v>
      </c>
      <c r="M284" s="5" t="str">
        <f>Data!M284</f>
        <v>Page (Non-Profit)</v>
      </c>
      <c r="P284" s="5" t="str">
        <f>Data!P284</f>
        <v>Eligible</v>
      </c>
      <c r="U284" s="5" t="str">
        <f>Data!U284</f>
        <v>Switzerland</v>
      </c>
      <c r="Y284" s="5" t="str">
        <f>Data!Y284</f>
        <v>Europe</v>
      </c>
    </row>
    <row r="285" spans="1:25" x14ac:dyDescent="0.5">
      <c r="A285">
        <f>Data!A285</f>
        <v>19324</v>
      </c>
      <c r="J285" s="20">
        <f>Data!J285</f>
        <v>42411</v>
      </c>
      <c r="K285" s="20">
        <f>Data!K285</f>
        <v>43465</v>
      </c>
      <c r="L285" s="5" t="str">
        <f>Data!L285</f>
        <v>Active</v>
      </c>
      <c r="M285" s="5" t="str">
        <f>Data!M285</f>
        <v>Page (Corporate)</v>
      </c>
      <c r="P285" s="5" t="str">
        <f>Data!P285</f>
        <v>Eligible</v>
      </c>
      <c r="U285" s="5" t="str">
        <f>Data!U285</f>
        <v>UNITED STATES</v>
      </c>
      <c r="Y285" s="5" t="str">
        <f>Data!Y285</f>
        <v>United States</v>
      </c>
    </row>
    <row r="286" spans="1:25" x14ac:dyDescent="0.5">
      <c r="A286">
        <f>Data!A286</f>
        <v>19327</v>
      </c>
      <c r="J286" s="20">
        <f>Data!J286</f>
        <v>41141</v>
      </c>
      <c r="K286" s="20">
        <f>Data!K286</f>
        <v>43465</v>
      </c>
      <c r="L286" s="5" t="str">
        <f>Data!L286</f>
        <v>Active</v>
      </c>
      <c r="M286" s="5" t="str">
        <f>Data!M286</f>
        <v>Page (Corporate)</v>
      </c>
      <c r="P286" s="5" t="str">
        <f>Data!P286</f>
        <v>Eligible</v>
      </c>
      <c r="U286" s="5" t="str">
        <f>Data!U286</f>
        <v>UNITED STATES</v>
      </c>
      <c r="Y286" s="5" t="str">
        <f>Data!Y286</f>
        <v>United States</v>
      </c>
    </row>
    <row r="287" spans="1:25" x14ac:dyDescent="0.5">
      <c r="A287">
        <f>Data!A287</f>
        <v>19345</v>
      </c>
      <c r="J287" s="20">
        <f>Data!J287</f>
        <v>41003</v>
      </c>
      <c r="K287" s="20">
        <f>Data!K287</f>
        <v>43465</v>
      </c>
      <c r="L287" s="5" t="str">
        <f>Data!L287</f>
        <v>Active</v>
      </c>
      <c r="M287" s="5" t="str">
        <f>Data!M287</f>
        <v>Page (Corporate)</v>
      </c>
      <c r="P287" s="5" t="str">
        <f>Data!P287</f>
        <v>Eligible</v>
      </c>
      <c r="U287" s="5" t="str">
        <f>Data!U287</f>
        <v>UNITED STATES</v>
      </c>
      <c r="Y287" s="5" t="str">
        <f>Data!Y287</f>
        <v>United States</v>
      </c>
    </row>
    <row r="288" spans="1:25" x14ac:dyDescent="0.5">
      <c r="A288">
        <f>Data!A288</f>
        <v>19351</v>
      </c>
      <c r="J288" s="20">
        <f>Data!J288</f>
        <v>42612</v>
      </c>
      <c r="K288" s="20">
        <f>Data!K288</f>
        <v>43465</v>
      </c>
      <c r="L288" s="5" t="str">
        <f>Data!L288</f>
        <v>Active</v>
      </c>
      <c r="M288" s="5" t="str">
        <f>Data!M288</f>
        <v>Page (Agency)</v>
      </c>
      <c r="P288" s="5" t="str">
        <f>Data!P288</f>
        <v>Eligible</v>
      </c>
      <c r="U288" s="5" t="str">
        <f>Data!U288</f>
        <v>UNITED STATES</v>
      </c>
      <c r="Y288" s="5" t="str">
        <f>Data!Y288</f>
        <v>United States</v>
      </c>
    </row>
    <row r="289" spans="1:25" x14ac:dyDescent="0.5">
      <c r="A289">
        <f>Data!A289</f>
        <v>19375</v>
      </c>
      <c r="J289" s="20">
        <f>Data!J289</f>
        <v>42857</v>
      </c>
      <c r="K289" s="20">
        <f>Data!K289</f>
        <v>43465</v>
      </c>
      <c r="L289" s="5" t="str">
        <f>Data!L289</f>
        <v>Active</v>
      </c>
      <c r="M289" s="5" t="str">
        <f>Data!M289</f>
        <v>Page (Corporate)</v>
      </c>
      <c r="P289" s="5" t="str">
        <f>Data!P289</f>
        <v>Eligible</v>
      </c>
      <c r="U289" s="5" t="str">
        <f>Data!U289</f>
        <v>UNITED STATES</v>
      </c>
      <c r="Y289" s="5" t="str">
        <f>Data!Y289</f>
        <v>United States</v>
      </c>
    </row>
    <row r="290" spans="1:25" x14ac:dyDescent="0.5">
      <c r="A290">
        <f>Data!A290</f>
        <v>19437</v>
      </c>
      <c r="J290" s="20">
        <f>Data!J290</f>
        <v>42969</v>
      </c>
      <c r="K290" s="20">
        <f>Data!K290</f>
        <v>43333</v>
      </c>
      <c r="L290" s="5" t="str">
        <f>Data!L290</f>
        <v>Active</v>
      </c>
      <c r="M290" s="5" t="str">
        <f>Data!M290</f>
        <v>Page (Educator)</v>
      </c>
      <c r="P290" s="5" t="str">
        <f>Data!P290</f>
        <v>Eligible</v>
      </c>
      <c r="U290" s="5" t="str">
        <f>Data!U290</f>
        <v>UNITED STATES</v>
      </c>
      <c r="Y290" s="5" t="str">
        <f>Data!Y290</f>
        <v>United States</v>
      </c>
    </row>
    <row r="291" spans="1:25" x14ac:dyDescent="0.5">
      <c r="A291">
        <f>Data!A291</f>
        <v>19466</v>
      </c>
      <c r="J291" s="20">
        <f>Data!J291</f>
        <v>41036</v>
      </c>
      <c r="K291" s="20">
        <f>Data!K291</f>
        <v>43465</v>
      </c>
      <c r="L291" s="5" t="str">
        <f>Data!L291</f>
        <v>Active</v>
      </c>
      <c r="M291" s="5" t="str">
        <f>Data!M291</f>
        <v>Page (Corporate)</v>
      </c>
      <c r="P291" s="5" t="str">
        <f>Data!P291</f>
        <v>Eligible</v>
      </c>
      <c r="U291" s="5" t="str">
        <f>Data!U291</f>
        <v>UNITED STATES</v>
      </c>
      <c r="Y291" s="5" t="str">
        <f>Data!Y291</f>
        <v>United States</v>
      </c>
    </row>
    <row r="292" spans="1:25" x14ac:dyDescent="0.5">
      <c r="A292">
        <f>Data!A292</f>
        <v>19467</v>
      </c>
      <c r="J292" s="20">
        <f>Data!J292</f>
        <v>41040</v>
      </c>
      <c r="K292" s="20">
        <f>Data!K292</f>
        <v>43465</v>
      </c>
      <c r="L292" s="5" t="str">
        <f>Data!L292</f>
        <v>Active</v>
      </c>
      <c r="M292" s="5" t="str">
        <f>Data!M292</f>
        <v>Page (Corporate)</v>
      </c>
      <c r="P292" s="5" t="str">
        <f>Data!P292</f>
        <v>Eligible</v>
      </c>
      <c r="U292" s="5" t="str">
        <f>Data!U292</f>
        <v>UNITED STATES</v>
      </c>
      <c r="Y292" s="5" t="str">
        <f>Data!Y292</f>
        <v>United States</v>
      </c>
    </row>
    <row r="293" spans="1:25" x14ac:dyDescent="0.5">
      <c r="A293">
        <f>Data!A293</f>
        <v>19487</v>
      </c>
      <c r="J293" s="20">
        <f>Data!J293</f>
        <v>41127</v>
      </c>
      <c r="K293" s="20">
        <f>Data!K293</f>
        <v>43465</v>
      </c>
      <c r="L293" s="5" t="str">
        <f>Data!L293</f>
        <v>Active</v>
      </c>
      <c r="M293" s="5" t="str">
        <f>Data!M293</f>
        <v>Page (Corporate)</v>
      </c>
      <c r="P293" s="5" t="str">
        <f>Data!P293</f>
        <v>Eligible</v>
      </c>
      <c r="U293" s="5" t="str">
        <f>Data!U293</f>
        <v>UNITED STATES</v>
      </c>
      <c r="Y293" s="5" t="str">
        <f>Data!Y293</f>
        <v>United States</v>
      </c>
    </row>
    <row r="294" spans="1:25" x14ac:dyDescent="0.5">
      <c r="A294">
        <f>Data!A294</f>
        <v>19509</v>
      </c>
      <c r="J294" s="20">
        <f>Data!J294</f>
        <v>41095</v>
      </c>
      <c r="K294" s="20">
        <f>Data!K294</f>
        <v>43465</v>
      </c>
      <c r="L294" s="5" t="str">
        <f>Data!L294</f>
        <v>Active</v>
      </c>
      <c r="M294" s="5" t="str">
        <f>Data!M294</f>
        <v>Page (Corporate)</v>
      </c>
      <c r="P294" s="5" t="str">
        <f>Data!P294</f>
        <v>Eligible</v>
      </c>
      <c r="U294" s="5" t="str">
        <f>Data!U294</f>
        <v>UNITED STATES</v>
      </c>
      <c r="Y294" s="5" t="str">
        <f>Data!Y294</f>
        <v>United States</v>
      </c>
    </row>
    <row r="295" spans="1:25" x14ac:dyDescent="0.5">
      <c r="A295">
        <f>Data!A295</f>
        <v>19511</v>
      </c>
      <c r="J295" s="20">
        <f>Data!J295</f>
        <v>41114</v>
      </c>
      <c r="K295" s="20">
        <f>Data!K295</f>
        <v>43465</v>
      </c>
      <c r="L295" s="5" t="str">
        <f>Data!L295</f>
        <v>Active</v>
      </c>
      <c r="M295" s="5" t="str">
        <f>Data!M295</f>
        <v>Page (Corporate)</v>
      </c>
      <c r="P295" s="5" t="str">
        <f>Data!P295</f>
        <v>Eligible</v>
      </c>
      <c r="U295" s="5" t="str">
        <f>Data!U295</f>
        <v>Germany</v>
      </c>
      <c r="Y295" s="5" t="str">
        <f>Data!Y295</f>
        <v>Europe</v>
      </c>
    </row>
    <row r="296" spans="1:25" x14ac:dyDescent="0.5">
      <c r="A296">
        <f>Data!A296</f>
        <v>19512</v>
      </c>
      <c r="J296" s="20">
        <f>Data!J296</f>
        <v>41109</v>
      </c>
      <c r="K296" s="20">
        <f>Data!K296</f>
        <v>43465</v>
      </c>
      <c r="L296" s="5" t="str">
        <f>Data!L296</f>
        <v>Active</v>
      </c>
      <c r="M296" s="5" t="str">
        <f>Data!M296</f>
        <v>Page (Agency)</v>
      </c>
      <c r="P296" s="5" t="str">
        <f>Data!P296</f>
        <v>Continuous</v>
      </c>
      <c r="U296" s="5" t="str">
        <f>Data!U296</f>
        <v>Germany</v>
      </c>
      <c r="Y296" s="5" t="str">
        <f>Data!Y296</f>
        <v>Europe</v>
      </c>
    </row>
    <row r="297" spans="1:25" x14ac:dyDescent="0.5">
      <c r="A297">
        <f>Data!A297</f>
        <v>19514</v>
      </c>
      <c r="J297" s="20">
        <f>Data!J297</f>
        <v>41101</v>
      </c>
      <c r="K297" s="20">
        <f>Data!K297</f>
        <v>43465</v>
      </c>
      <c r="L297" s="5" t="str">
        <f>Data!L297</f>
        <v>Active</v>
      </c>
      <c r="M297" s="5" t="str">
        <f>Data!M297</f>
        <v>Page (Corporate)</v>
      </c>
      <c r="P297" s="5" t="str">
        <f>Data!P297</f>
        <v>Eligible</v>
      </c>
      <c r="U297" s="5" t="str">
        <f>Data!U297</f>
        <v>UNITED STATES</v>
      </c>
      <c r="Y297" s="5" t="str">
        <f>Data!Y297</f>
        <v>United States</v>
      </c>
    </row>
    <row r="298" spans="1:25" x14ac:dyDescent="0.5">
      <c r="A298">
        <f>Data!A298</f>
        <v>19515</v>
      </c>
      <c r="J298" s="20">
        <f>Data!J298</f>
        <v>41106</v>
      </c>
      <c r="K298" s="20">
        <f>Data!K298</f>
        <v>43465</v>
      </c>
      <c r="L298" s="5" t="str">
        <f>Data!L298</f>
        <v>Active</v>
      </c>
      <c r="M298" s="5" t="str">
        <f>Data!M298</f>
        <v>Page (Corporate)</v>
      </c>
      <c r="P298" s="5" t="str">
        <f>Data!P298</f>
        <v>Eligible</v>
      </c>
      <c r="U298" s="5" t="str">
        <f>Data!U298</f>
        <v>UNITED STATES</v>
      </c>
      <c r="Y298" s="5" t="str">
        <f>Data!Y298</f>
        <v>United States</v>
      </c>
    </row>
    <row r="299" spans="1:25" x14ac:dyDescent="0.5">
      <c r="A299">
        <f>Data!A299</f>
        <v>19516</v>
      </c>
      <c r="J299" s="20">
        <f>Data!J299</f>
        <v>41109</v>
      </c>
      <c r="K299" s="20">
        <f>Data!K299</f>
        <v>43465</v>
      </c>
      <c r="L299" s="5" t="str">
        <f>Data!L299</f>
        <v>Active</v>
      </c>
      <c r="M299" s="5" t="str">
        <f>Data!M299</f>
        <v>Page (Corporate)</v>
      </c>
      <c r="P299" s="5" t="str">
        <f>Data!P299</f>
        <v>Eligible</v>
      </c>
      <c r="U299" s="5" t="str">
        <f>Data!U299</f>
        <v>UNITED STATES</v>
      </c>
      <c r="Y299" s="5" t="str">
        <f>Data!Y299</f>
        <v>United States</v>
      </c>
    </row>
    <row r="300" spans="1:25" x14ac:dyDescent="0.5">
      <c r="A300">
        <f>Data!A300</f>
        <v>19517</v>
      </c>
      <c r="J300" s="20">
        <f>Data!J300</f>
        <v>41143</v>
      </c>
      <c r="K300" s="20">
        <f>Data!K300</f>
        <v>43465</v>
      </c>
      <c r="L300" s="5" t="str">
        <f>Data!L300</f>
        <v>Active</v>
      </c>
      <c r="M300" s="5" t="str">
        <f>Data!M300</f>
        <v>Page (Corporate)</v>
      </c>
      <c r="P300" s="5" t="str">
        <f>Data!P300</f>
        <v>Eligible</v>
      </c>
      <c r="U300" s="5" t="str">
        <f>Data!U300</f>
        <v>UNITED STATES</v>
      </c>
      <c r="Y300" s="5" t="str">
        <f>Data!Y300</f>
        <v>United States</v>
      </c>
    </row>
    <row r="301" spans="1:25" x14ac:dyDescent="0.5">
      <c r="A301">
        <f>Data!A301</f>
        <v>19521</v>
      </c>
      <c r="J301" s="20">
        <f>Data!J301</f>
        <v>41114</v>
      </c>
      <c r="K301" s="20">
        <f>Data!K301</f>
        <v>43465</v>
      </c>
      <c r="L301" s="5" t="str">
        <f>Data!L301</f>
        <v>Active</v>
      </c>
      <c r="M301" s="5" t="str">
        <f>Data!M301</f>
        <v>Page (Corporate)</v>
      </c>
      <c r="P301" s="5" t="str">
        <f>Data!P301</f>
        <v>Eligible</v>
      </c>
      <c r="U301" s="5" t="str">
        <f>Data!U301</f>
        <v>UNITED STATES</v>
      </c>
      <c r="Y301" s="5" t="str">
        <f>Data!Y301</f>
        <v>United States</v>
      </c>
    </row>
    <row r="302" spans="1:25" x14ac:dyDescent="0.5">
      <c r="A302">
        <f>Data!A302</f>
        <v>19523</v>
      </c>
      <c r="J302" s="20">
        <f>Data!J302</f>
        <v>41106</v>
      </c>
      <c r="K302" s="20">
        <f>Data!K302</f>
        <v>43465</v>
      </c>
      <c r="L302" s="5" t="str">
        <f>Data!L302</f>
        <v>Active</v>
      </c>
      <c r="M302" s="5" t="str">
        <f>Data!M302</f>
        <v>Page (Corporate)</v>
      </c>
      <c r="P302" s="5">
        <f>Data!P302</f>
        <v>0</v>
      </c>
      <c r="U302" s="5" t="str">
        <f>Data!U302</f>
        <v>UNITED STATES</v>
      </c>
      <c r="Y302" s="5" t="str">
        <f>Data!Y302</f>
        <v>United States</v>
      </c>
    </row>
    <row r="303" spans="1:25" x14ac:dyDescent="0.5">
      <c r="A303">
        <f>Data!A303</f>
        <v>19524</v>
      </c>
      <c r="J303" s="20">
        <f>Data!J303</f>
        <v>41151</v>
      </c>
      <c r="K303" s="20">
        <f>Data!K303</f>
        <v>43465</v>
      </c>
      <c r="L303" s="5" t="str">
        <f>Data!L303</f>
        <v>Active</v>
      </c>
      <c r="M303" s="5" t="str">
        <f>Data!M303</f>
        <v>Page (Corporate)</v>
      </c>
      <c r="P303" s="5" t="str">
        <f>Data!P303</f>
        <v>Eligible</v>
      </c>
      <c r="U303" s="5" t="str">
        <f>Data!U303</f>
        <v>UNITED STATES</v>
      </c>
      <c r="Y303" s="5" t="str">
        <f>Data!Y303</f>
        <v>United States</v>
      </c>
    </row>
    <row r="304" spans="1:25" x14ac:dyDescent="0.5">
      <c r="A304">
        <f>Data!A304</f>
        <v>19525</v>
      </c>
      <c r="J304" s="20">
        <f>Data!J304</f>
        <v>41099</v>
      </c>
      <c r="K304" s="20">
        <f>Data!K304</f>
        <v>43465</v>
      </c>
      <c r="L304" s="5" t="str">
        <f>Data!L304</f>
        <v>Active</v>
      </c>
      <c r="M304" s="5" t="str">
        <f>Data!M304</f>
        <v>Page (Corporate)</v>
      </c>
      <c r="P304" s="5" t="str">
        <f>Data!P304</f>
        <v>Eligible</v>
      </c>
      <c r="U304" s="5" t="str">
        <f>Data!U304</f>
        <v>UNITED STATES</v>
      </c>
      <c r="Y304" s="5" t="str">
        <f>Data!Y304</f>
        <v>United States</v>
      </c>
    </row>
    <row r="305" spans="1:25" x14ac:dyDescent="0.5">
      <c r="A305">
        <f>Data!A305</f>
        <v>19526</v>
      </c>
      <c r="J305" s="20">
        <f>Data!J305</f>
        <v>41102</v>
      </c>
      <c r="K305" s="20">
        <f>Data!K305</f>
        <v>43465</v>
      </c>
      <c r="L305" s="5" t="str">
        <f>Data!L305</f>
        <v>Active</v>
      </c>
      <c r="M305" s="5" t="str">
        <f>Data!M305</f>
        <v>Page (Educator)</v>
      </c>
      <c r="P305" s="5" t="str">
        <f>Data!P305</f>
        <v>Eligible</v>
      </c>
      <c r="U305" s="5" t="str">
        <f>Data!U305</f>
        <v>UNITED STATES</v>
      </c>
      <c r="Y305" s="5" t="str">
        <f>Data!Y305</f>
        <v>United States</v>
      </c>
    </row>
    <row r="306" spans="1:25" x14ac:dyDescent="0.5">
      <c r="A306">
        <f>Data!A306</f>
        <v>19527</v>
      </c>
      <c r="J306" s="20">
        <f>Data!J306</f>
        <v>41117</v>
      </c>
      <c r="K306" s="20">
        <f>Data!K306</f>
        <v>43465</v>
      </c>
      <c r="L306" s="5" t="str">
        <f>Data!L306</f>
        <v>Active</v>
      </c>
      <c r="M306" s="5" t="str">
        <f>Data!M306</f>
        <v>Page (Agency)</v>
      </c>
      <c r="P306" s="5" t="str">
        <f>Data!P306</f>
        <v>Eligible</v>
      </c>
      <c r="U306" s="5" t="str">
        <f>Data!U306</f>
        <v>Saudi Arabia</v>
      </c>
      <c r="Y306" s="5" t="str">
        <f>Data!Y306</f>
        <v>Middle East/Africa</v>
      </c>
    </row>
    <row r="307" spans="1:25" x14ac:dyDescent="0.5">
      <c r="A307">
        <f>Data!A307</f>
        <v>19528</v>
      </c>
      <c r="J307" s="20">
        <f>Data!J307</f>
        <v>41114</v>
      </c>
      <c r="K307" s="20">
        <f>Data!K307</f>
        <v>43465</v>
      </c>
      <c r="L307" s="5" t="str">
        <f>Data!L307</f>
        <v>Active</v>
      </c>
      <c r="M307" s="5" t="str">
        <f>Data!M307</f>
        <v>Page (Corporate)</v>
      </c>
      <c r="P307" s="5" t="str">
        <f>Data!P307</f>
        <v>Continuous</v>
      </c>
      <c r="U307" s="5" t="str">
        <f>Data!U307</f>
        <v>UNITED STATES</v>
      </c>
      <c r="Y307" s="5" t="str">
        <f>Data!Y307</f>
        <v>United States</v>
      </c>
    </row>
    <row r="308" spans="1:25" x14ac:dyDescent="0.5">
      <c r="A308">
        <f>Data!A308</f>
        <v>19529</v>
      </c>
      <c r="J308" s="20">
        <f>Data!J308</f>
        <v>41101</v>
      </c>
      <c r="K308" s="20">
        <f>Data!K308</f>
        <v>43465</v>
      </c>
      <c r="L308" s="5" t="str">
        <f>Data!L308</f>
        <v>Active</v>
      </c>
      <c r="M308" s="5" t="str">
        <f>Data!M308</f>
        <v>Page (Agency)</v>
      </c>
      <c r="P308" s="5" t="str">
        <f>Data!P308</f>
        <v>Eligible</v>
      </c>
      <c r="U308" s="5" t="str">
        <f>Data!U308</f>
        <v>UNITED STATES</v>
      </c>
      <c r="Y308" s="5" t="str">
        <f>Data!Y308</f>
        <v>United States</v>
      </c>
    </row>
    <row r="309" spans="1:25" x14ac:dyDescent="0.5">
      <c r="A309">
        <f>Data!A309</f>
        <v>19530</v>
      </c>
      <c r="J309" s="20">
        <f>Data!J309</f>
        <v>41114</v>
      </c>
      <c r="K309" s="20">
        <f>Data!K309</f>
        <v>43465</v>
      </c>
      <c r="L309" s="5" t="str">
        <f>Data!L309</f>
        <v>Active</v>
      </c>
      <c r="M309" s="5" t="str">
        <f>Data!M309</f>
        <v>Page (Corporate)</v>
      </c>
      <c r="P309" s="5" t="str">
        <f>Data!P309</f>
        <v>Eligible</v>
      </c>
      <c r="U309" s="5" t="str">
        <f>Data!U309</f>
        <v>UNITED STATES</v>
      </c>
      <c r="Y309" s="5" t="str">
        <f>Data!Y309</f>
        <v>United States</v>
      </c>
    </row>
    <row r="310" spans="1:25" x14ac:dyDescent="0.5">
      <c r="A310">
        <f>Data!A310</f>
        <v>19560</v>
      </c>
      <c r="J310" s="20">
        <f>Data!J310</f>
        <v>41193</v>
      </c>
      <c r="K310" s="20">
        <f>Data!K310</f>
        <v>43465</v>
      </c>
      <c r="L310" s="5" t="str">
        <f>Data!L310</f>
        <v>Active</v>
      </c>
      <c r="M310" s="5" t="str">
        <f>Data!M310</f>
        <v>Page (Corporate)</v>
      </c>
      <c r="P310" s="5" t="str">
        <f>Data!P310</f>
        <v>Eligible</v>
      </c>
      <c r="U310" s="5" t="str">
        <f>Data!U310</f>
        <v>UNITED STATES</v>
      </c>
      <c r="Y310" s="5" t="str">
        <f>Data!Y310</f>
        <v>United States</v>
      </c>
    </row>
    <row r="311" spans="1:25" x14ac:dyDescent="0.5">
      <c r="A311">
        <f>Data!A311</f>
        <v>19562</v>
      </c>
      <c r="J311" s="20">
        <f>Data!J311</f>
        <v>41143</v>
      </c>
      <c r="K311" s="20">
        <f>Data!K311</f>
        <v>43465</v>
      </c>
      <c r="L311" s="5" t="str">
        <f>Data!L311</f>
        <v>Active</v>
      </c>
      <c r="M311" s="5" t="str">
        <f>Data!M311</f>
        <v>Page (Corporate)</v>
      </c>
      <c r="P311" s="5" t="str">
        <f>Data!P311</f>
        <v>Eligible</v>
      </c>
      <c r="U311" s="5" t="str">
        <f>Data!U311</f>
        <v>UNITED STATES</v>
      </c>
      <c r="Y311" s="5" t="str">
        <f>Data!Y311</f>
        <v>United States</v>
      </c>
    </row>
    <row r="312" spans="1:25" x14ac:dyDescent="0.5">
      <c r="A312">
        <f>Data!A312</f>
        <v>19567</v>
      </c>
      <c r="J312" s="20">
        <f>Data!J312</f>
        <v>41159</v>
      </c>
      <c r="K312" s="20">
        <f>Data!K312</f>
        <v>43465</v>
      </c>
      <c r="L312" s="5" t="str">
        <f>Data!L312</f>
        <v>Active</v>
      </c>
      <c r="M312" s="5" t="str">
        <f>Data!M312</f>
        <v>Page (Corporate)</v>
      </c>
      <c r="P312" s="5" t="str">
        <f>Data!P312</f>
        <v>Eligible</v>
      </c>
      <c r="U312" s="5" t="str">
        <f>Data!U312</f>
        <v>UNITED STATES</v>
      </c>
      <c r="Y312" s="5" t="str">
        <f>Data!Y312</f>
        <v>United States</v>
      </c>
    </row>
    <row r="313" spans="1:25" x14ac:dyDescent="0.5">
      <c r="A313">
        <f>Data!A313</f>
        <v>19570</v>
      </c>
      <c r="J313" s="20">
        <f>Data!J313</f>
        <v>42184</v>
      </c>
      <c r="K313" s="20">
        <f>Data!K313</f>
        <v>43465</v>
      </c>
      <c r="L313" s="5" t="str">
        <f>Data!L313</f>
        <v>Active</v>
      </c>
      <c r="M313" s="5" t="str">
        <f>Data!M313</f>
        <v>Page (Corporate)</v>
      </c>
      <c r="P313" s="5" t="str">
        <f>Data!P313</f>
        <v>Eligible</v>
      </c>
      <c r="U313" s="5" t="str">
        <f>Data!U313</f>
        <v>UNITED STATES</v>
      </c>
      <c r="Y313" s="5" t="str">
        <f>Data!Y313</f>
        <v>United States</v>
      </c>
    </row>
    <row r="314" spans="1:25" x14ac:dyDescent="0.5">
      <c r="A314">
        <f>Data!A314</f>
        <v>19574</v>
      </c>
      <c r="J314" s="20">
        <f>Data!J314</f>
        <v>41173</v>
      </c>
      <c r="K314" s="20">
        <f>Data!K314</f>
        <v>43465</v>
      </c>
      <c r="L314" s="5" t="str">
        <f>Data!L314</f>
        <v>Active</v>
      </c>
      <c r="M314" s="5" t="str">
        <f>Data!M314</f>
        <v>Page (Corporate)</v>
      </c>
      <c r="P314" s="5" t="str">
        <f>Data!P314</f>
        <v>In Staff Review</v>
      </c>
      <c r="U314" s="5" t="str">
        <f>Data!U314</f>
        <v>UNITED STATES</v>
      </c>
      <c r="Y314" s="5" t="str">
        <f>Data!Y314</f>
        <v>United States</v>
      </c>
    </row>
    <row r="315" spans="1:25" x14ac:dyDescent="0.5">
      <c r="A315">
        <f>Data!A315</f>
        <v>19576</v>
      </c>
      <c r="J315" s="20">
        <f>Data!J315</f>
        <v>41960</v>
      </c>
      <c r="K315" s="20">
        <f>Data!K315</f>
        <v>43465</v>
      </c>
      <c r="L315" s="5" t="str">
        <f>Data!L315</f>
        <v>Active</v>
      </c>
      <c r="M315" s="5" t="str">
        <f>Data!M315</f>
        <v>Page (Corporate)</v>
      </c>
      <c r="P315" s="5" t="str">
        <f>Data!P315</f>
        <v>Eligible</v>
      </c>
      <c r="U315" s="5" t="str">
        <f>Data!U315</f>
        <v>UNITED STATES</v>
      </c>
      <c r="Y315" s="5" t="str">
        <f>Data!Y315</f>
        <v>United States</v>
      </c>
    </row>
    <row r="316" spans="1:25" x14ac:dyDescent="0.5">
      <c r="A316">
        <f>Data!A316</f>
        <v>19588</v>
      </c>
      <c r="J316" s="20">
        <f>Data!J316</f>
        <v>42479</v>
      </c>
      <c r="K316" s="20">
        <f>Data!K316</f>
        <v>43465</v>
      </c>
      <c r="L316" s="5" t="str">
        <f>Data!L316</f>
        <v>Active</v>
      </c>
      <c r="M316" s="5" t="str">
        <f>Data!M316</f>
        <v>Page (Non-Profit)</v>
      </c>
      <c r="P316" s="5" t="str">
        <f>Data!P316</f>
        <v>Eligible</v>
      </c>
      <c r="U316" s="5" t="str">
        <f>Data!U316</f>
        <v>Spain</v>
      </c>
      <c r="Y316" s="5" t="str">
        <f>Data!Y316</f>
        <v>Europe</v>
      </c>
    </row>
    <row r="317" spans="1:25" x14ac:dyDescent="0.5">
      <c r="A317">
        <f>Data!A317</f>
        <v>19592</v>
      </c>
      <c r="J317" s="20">
        <f>Data!J317</f>
        <v>42192</v>
      </c>
      <c r="K317" s="20">
        <f>Data!K317</f>
        <v>43465</v>
      </c>
      <c r="L317" s="5" t="str">
        <f>Data!L317</f>
        <v>Active</v>
      </c>
      <c r="M317" s="5" t="str">
        <f>Data!M317</f>
        <v>Page (Corporate)</v>
      </c>
      <c r="P317" s="5">
        <f>Data!P317</f>
        <v>0</v>
      </c>
      <c r="U317" s="5" t="str">
        <f>Data!U317</f>
        <v>UNITED STATES</v>
      </c>
      <c r="Y317" s="5" t="str">
        <f>Data!Y317</f>
        <v>United States</v>
      </c>
    </row>
    <row r="318" spans="1:25" x14ac:dyDescent="0.5">
      <c r="A318">
        <f>Data!A318</f>
        <v>19620</v>
      </c>
      <c r="J318" s="20">
        <f>Data!J318</f>
        <v>41274</v>
      </c>
      <c r="K318" s="20">
        <f>Data!K318</f>
        <v>43465</v>
      </c>
      <c r="L318" s="5" t="str">
        <f>Data!L318</f>
        <v>Active</v>
      </c>
      <c r="M318" s="5" t="str">
        <f>Data!M318</f>
        <v>Page (Corporate)</v>
      </c>
      <c r="P318" s="5" t="str">
        <f>Data!P318</f>
        <v>Continuous</v>
      </c>
      <c r="U318" s="5" t="str">
        <f>Data!U318</f>
        <v>UNITED STATES</v>
      </c>
      <c r="Y318" s="5" t="str">
        <f>Data!Y318</f>
        <v>United States</v>
      </c>
    </row>
    <row r="319" spans="1:25" x14ac:dyDescent="0.5">
      <c r="A319">
        <f>Data!A319</f>
        <v>19624</v>
      </c>
      <c r="J319" s="20">
        <f>Data!J319</f>
        <v>41242</v>
      </c>
      <c r="K319" s="20">
        <f>Data!K319</f>
        <v>43465</v>
      </c>
      <c r="L319" s="5" t="str">
        <f>Data!L319</f>
        <v>Active</v>
      </c>
      <c r="M319" s="5" t="str">
        <f>Data!M319</f>
        <v>Page (Corporate)</v>
      </c>
      <c r="P319" s="5" t="str">
        <f>Data!P319</f>
        <v>In Staff Review</v>
      </c>
      <c r="U319" s="5" t="str">
        <f>Data!U319</f>
        <v>UNITED STATES</v>
      </c>
      <c r="Y319" s="5" t="str">
        <f>Data!Y319</f>
        <v>United States</v>
      </c>
    </row>
    <row r="320" spans="1:25" x14ac:dyDescent="0.5">
      <c r="A320">
        <f>Data!A320</f>
        <v>19626</v>
      </c>
      <c r="J320" s="20">
        <f>Data!J320</f>
        <v>41240</v>
      </c>
      <c r="K320" s="20">
        <f>Data!K320</f>
        <v>43465</v>
      </c>
      <c r="L320" s="5" t="str">
        <f>Data!L320</f>
        <v>Active</v>
      </c>
      <c r="M320" s="5" t="str">
        <f>Data!M320</f>
        <v>Page (Corporate)</v>
      </c>
      <c r="P320" s="5">
        <f>Data!P320</f>
        <v>0</v>
      </c>
      <c r="U320" s="5" t="str">
        <f>Data!U320</f>
        <v>UNITED STATES</v>
      </c>
      <c r="Y320" s="5" t="str">
        <f>Data!Y320</f>
        <v>United States</v>
      </c>
    </row>
    <row r="321" spans="1:25" x14ac:dyDescent="0.5">
      <c r="A321">
        <f>Data!A321</f>
        <v>19631</v>
      </c>
      <c r="J321" s="20">
        <f>Data!J321</f>
        <v>42978</v>
      </c>
      <c r="K321" s="20">
        <f>Data!K321</f>
        <v>43342</v>
      </c>
      <c r="L321" s="5" t="str">
        <f>Data!L321</f>
        <v>Active</v>
      </c>
      <c r="M321" s="5" t="str">
        <f>Data!M321</f>
        <v>Page (Non-Profit)</v>
      </c>
      <c r="P321" s="5" t="str">
        <f>Data!P321</f>
        <v>Eligible</v>
      </c>
      <c r="U321" s="5" t="str">
        <f>Data!U321</f>
        <v>UNITED STATES</v>
      </c>
      <c r="Y321" s="5" t="str">
        <f>Data!Y321</f>
        <v>United States</v>
      </c>
    </row>
    <row r="322" spans="1:25" x14ac:dyDescent="0.5">
      <c r="A322">
        <f>Data!A322</f>
        <v>19632</v>
      </c>
      <c r="J322" s="20">
        <f>Data!J322</f>
        <v>41246</v>
      </c>
      <c r="K322" s="20">
        <f>Data!K322</f>
        <v>43465</v>
      </c>
      <c r="L322" s="5" t="str">
        <f>Data!L322</f>
        <v>Active</v>
      </c>
      <c r="M322" s="5" t="str">
        <f>Data!M322</f>
        <v>Page (Agency)</v>
      </c>
      <c r="P322" s="5" t="str">
        <f>Data!P322</f>
        <v>Eligible</v>
      </c>
      <c r="U322" s="5" t="str">
        <f>Data!U322</f>
        <v>UNITED STATES</v>
      </c>
      <c r="Y322" s="5" t="str">
        <f>Data!Y322</f>
        <v>United States</v>
      </c>
    </row>
    <row r="323" spans="1:25" x14ac:dyDescent="0.5">
      <c r="A323">
        <f>Data!A323</f>
        <v>19655</v>
      </c>
      <c r="J323" s="20">
        <f>Data!J323</f>
        <v>41262</v>
      </c>
      <c r="K323" s="20">
        <f>Data!K323</f>
        <v>43465</v>
      </c>
      <c r="L323" s="5" t="str">
        <f>Data!L323</f>
        <v>Active</v>
      </c>
      <c r="M323" s="5" t="str">
        <f>Data!M323</f>
        <v>Page (Corporate)</v>
      </c>
      <c r="P323" s="5" t="str">
        <f>Data!P323</f>
        <v>Continuous</v>
      </c>
      <c r="U323" s="5" t="str">
        <f>Data!U323</f>
        <v>UNITED STATES</v>
      </c>
      <c r="Y323" s="5" t="str">
        <f>Data!Y323</f>
        <v>United States</v>
      </c>
    </row>
    <row r="324" spans="1:25" x14ac:dyDescent="0.5">
      <c r="A324">
        <f>Data!A324</f>
        <v>19657</v>
      </c>
      <c r="J324" s="20">
        <f>Data!J324</f>
        <v>42787</v>
      </c>
      <c r="K324" s="20">
        <f>Data!K324</f>
        <v>43465</v>
      </c>
      <c r="L324" s="5" t="str">
        <f>Data!L324</f>
        <v>Active</v>
      </c>
      <c r="M324" s="5" t="str">
        <f>Data!M324</f>
        <v>Page (Corporate)</v>
      </c>
      <c r="P324" s="5" t="str">
        <f>Data!P324</f>
        <v>Eligible</v>
      </c>
      <c r="U324" s="5" t="str">
        <f>Data!U324</f>
        <v>UNITED STATES</v>
      </c>
      <c r="Y324" s="5" t="str">
        <f>Data!Y324</f>
        <v>United States</v>
      </c>
    </row>
    <row r="325" spans="1:25" x14ac:dyDescent="0.5">
      <c r="A325">
        <f>Data!A325</f>
        <v>19661</v>
      </c>
      <c r="J325" s="20">
        <f>Data!J325</f>
        <v>42038</v>
      </c>
      <c r="K325" s="20">
        <f>Data!K325</f>
        <v>43465</v>
      </c>
      <c r="L325" s="5" t="str">
        <f>Data!L325</f>
        <v>Active</v>
      </c>
      <c r="M325" s="5" t="str">
        <f>Data!M325</f>
        <v>Page (Corporate)</v>
      </c>
      <c r="P325" s="5" t="str">
        <f>Data!P325</f>
        <v>Eligible</v>
      </c>
      <c r="U325" s="5" t="str">
        <f>Data!U325</f>
        <v>UNITED STATES</v>
      </c>
      <c r="Y325" s="5" t="str">
        <f>Data!Y325</f>
        <v>United States</v>
      </c>
    </row>
    <row r="326" spans="1:25" x14ac:dyDescent="0.5">
      <c r="A326">
        <f>Data!A326</f>
        <v>19741</v>
      </c>
      <c r="J326" s="20">
        <f>Data!J326</f>
        <v>42117</v>
      </c>
      <c r="K326" s="20">
        <f>Data!K326</f>
        <v>43465</v>
      </c>
      <c r="L326" s="5" t="str">
        <f>Data!L326</f>
        <v>Active</v>
      </c>
      <c r="M326" s="5" t="str">
        <f>Data!M326</f>
        <v>Page (Corporate)</v>
      </c>
      <c r="P326" s="5" t="str">
        <f>Data!P326</f>
        <v>Eligible</v>
      </c>
      <c r="U326" s="5" t="str">
        <f>Data!U326</f>
        <v>UNITED STATES</v>
      </c>
      <c r="Y326" s="5" t="str">
        <f>Data!Y326</f>
        <v>United States</v>
      </c>
    </row>
    <row r="327" spans="1:25" x14ac:dyDescent="0.5">
      <c r="A327">
        <f>Data!A327</f>
        <v>19747</v>
      </c>
      <c r="J327" s="20">
        <f>Data!J327</f>
        <v>42921</v>
      </c>
      <c r="K327" s="20">
        <f>Data!K327</f>
        <v>43465</v>
      </c>
      <c r="L327" s="5" t="str">
        <f>Data!L327</f>
        <v>Active</v>
      </c>
      <c r="M327" s="5" t="str">
        <f>Data!M327</f>
        <v>Page (Non-Profit)</v>
      </c>
      <c r="P327" s="5" t="str">
        <f>Data!P327</f>
        <v>Eligible</v>
      </c>
      <c r="U327" s="5" t="str">
        <f>Data!U327</f>
        <v>UNITED STATES</v>
      </c>
      <c r="Y327" s="5" t="str">
        <f>Data!Y327</f>
        <v>United States</v>
      </c>
    </row>
    <row r="328" spans="1:25" x14ac:dyDescent="0.5">
      <c r="A328">
        <f>Data!A328</f>
        <v>19754</v>
      </c>
      <c r="J328" s="20">
        <f>Data!J328</f>
        <v>41331</v>
      </c>
      <c r="K328" s="20">
        <f>Data!K328</f>
        <v>43465</v>
      </c>
      <c r="L328" s="5" t="str">
        <f>Data!L328</f>
        <v>Active</v>
      </c>
      <c r="M328" s="5" t="str">
        <f>Data!M328</f>
        <v>Page (Executive Search)</v>
      </c>
      <c r="P328" s="5" t="str">
        <f>Data!P328</f>
        <v>Eligible</v>
      </c>
      <c r="U328" s="5" t="str">
        <f>Data!U328</f>
        <v>UNITED STATES</v>
      </c>
      <c r="Y328" s="5" t="str">
        <f>Data!Y328</f>
        <v>United States</v>
      </c>
    </row>
    <row r="329" spans="1:25" x14ac:dyDescent="0.5">
      <c r="A329">
        <f>Data!A329</f>
        <v>19756</v>
      </c>
      <c r="J329" s="20">
        <f>Data!J329</f>
        <v>41331</v>
      </c>
      <c r="K329" s="20">
        <f>Data!K329</f>
        <v>43465</v>
      </c>
      <c r="L329" s="5" t="str">
        <f>Data!L329</f>
        <v>Active</v>
      </c>
      <c r="M329" s="5" t="str">
        <f>Data!M329</f>
        <v>Page (Corporate)</v>
      </c>
      <c r="P329" s="5" t="str">
        <f>Data!P329</f>
        <v>Eligible</v>
      </c>
      <c r="U329" s="5" t="str">
        <f>Data!U329</f>
        <v>UNITED STATES</v>
      </c>
      <c r="Y329" s="5" t="str">
        <f>Data!Y329</f>
        <v>United States</v>
      </c>
    </row>
    <row r="330" spans="1:25" x14ac:dyDescent="0.5">
      <c r="A330">
        <f>Data!A330</f>
        <v>19757</v>
      </c>
      <c r="J330" s="20">
        <f>Data!J330</f>
        <v>41353</v>
      </c>
      <c r="K330" s="20">
        <f>Data!K330</f>
        <v>43465</v>
      </c>
      <c r="L330" s="5" t="str">
        <f>Data!L330</f>
        <v>Active</v>
      </c>
      <c r="M330" s="5" t="str">
        <f>Data!M330</f>
        <v>Page (Non-Profit)</v>
      </c>
      <c r="P330" s="5" t="str">
        <f>Data!P330</f>
        <v>Continuous</v>
      </c>
      <c r="U330" s="5" t="str">
        <f>Data!U330</f>
        <v>UNITED STATES</v>
      </c>
      <c r="Y330" s="5" t="str">
        <f>Data!Y330</f>
        <v>United States</v>
      </c>
    </row>
    <row r="331" spans="1:25" x14ac:dyDescent="0.5">
      <c r="A331">
        <f>Data!A331</f>
        <v>19758</v>
      </c>
      <c r="J331" s="20">
        <f>Data!J331</f>
        <v>41337</v>
      </c>
      <c r="K331" s="20">
        <f>Data!K331</f>
        <v>43465</v>
      </c>
      <c r="L331" s="5" t="str">
        <f>Data!L331</f>
        <v>Active</v>
      </c>
      <c r="M331" s="5" t="str">
        <f>Data!M331</f>
        <v>Page (Corporate)</v>
      </c>
      <c r="P331" s="5" t="str">
        <f>Data!P331</f>
        <v>Eligible</v>
      </c>
      <c r="U331" s="5" t="str">
        <f>Data!U331</f>
        <v>UNITED STATES</v>
      </c>
      <c r="Y331" s="5" t="str">
        <f>Data!Y331</f>
        <v>United States</v>
      </c>
    </row>
    <row r="332" spans="1:25" x14ac:dyDescent="0.5">
      <c r="A332">
        <f>Data!A332</f>
        <v>19759</v>
      </c>
      <c r="J332" s="20">
        <f>Data!J332</f>
        <v>41344</v>
      </c>
      <c r="K332" s="20">
        <f>Data!K332</f>
        <v>43465</v>
      </c>
      <c r="L332" s="5" t="str">
        <f>Data!L332</f>
        <v>Active</v>
      </c>
      <c r="M332" s="5" t="str">
        <f>Data!M332</f>
        <v>Page (Corporate)</v>
      </c>
      <c r="P332" s="5">
        <f>Data!P332</f>
        <v>0</v>
      </c>
      <c r="U332" s="5" t="str">
        <f>Data!U332</f>
        <v>UNITED STATES</v>
      </c>
      <c r="Y332" s="5" t="str">
        <f>Data!Y332</f>
        <v>United States</v>
      </c>
    </row>
    <row r="333" spans="1:25" x14ac:dyDescent="0.5">
      <c r="A333">
        <f>Data!A333</f>
        <v>19761</v>
      </c>
      <c r="J333" s="20">
        <f>Data!J333</f>
        <v>41365</v>
      </c>
      <c r="K333" s="20">
        <f>Data!K333</f>
        <v>43465</v>
      </c>
      <c r="L333" s="5" t="str">
        <f>Data!L333</f>
        <v>Active</v>
      </c>
      <c r="M333" s="5" t="str">
        <f>Data!M333</f>
        <v>Page (Corporate)</v>
      </c>
      <c r="P333" s="5" t="str">
        <f>Data!P333</f>
        <v>Eligible</v>
      </c>
      <c r="U333" s="5" t="str">
        <f>Data!U333</f>
        <v>UNITED STATES</v>
      </c>
      <c r="Y333" s="5" t="str">
        <f>Data!Y333</f>
        <v>United States</v>
      </c>
    </row>
    <row r="334" spans="1:25" x14ac:dyDescent="0.5">
      <c r="A334">
        <f>Data!A334</f>
        <v>19762</v>
      </c>
      <c r="J334" s="20">
        <f>Data!J334</f>
        <v>41397</v>
      </c>
      <c r="K334" s="20">
        <f>Data!K334</f>
        <v>43465</v>
      </c>
      <c r="L334" s="5" t="str">
        <f>Data!L334</f>
        <v>Active</v>
      </c>
      <c r="M334" s="5" t="str">
        <f>Data!M334</f>
        <v>Page (Corporate)</v>
      </c>
      <c r="P334" s="5" t="str">
        <f>Data!P334</f>
        <v>Eligible</v>
      </c>
      <c r="U334" s="5" t="str">
        <f>Data!U334</f>
        <v>UNITED STATES</v>
      </c>
      <c r="Y334" s="5" t="str">
        <f>Data!Y334</f>
        <v>United States</v>
      </c>
    </row>
    <row r="335" spans="1:25" x14ac:dyDescent="0.5">
      <c r="A335">
        <f>Data!A335</f>
        <v>19764</v>
      </c>
      <c r="J335" s="20">
        <f>Data!J335</f>
        <v>41345</v>
      </c>
      <c r="K335" s="20">
        <f>Data!K335</f>
        <v>43465</v>
      </c>
      <c r="L335" s="5" t="str">
        <f>Data!L335</f>
        <v>Active</v>
      </c>
      <c r="M335" s="5" t="str">
        <f>Data!M335</f>
        <v>Page (Corporate)</v>
      </c>
      <c r="P335" s="5" t="str">
        <f>Data!P335</f>
        <v>Eligible</v>
      </c>
      <c r="U335" s="5" t="str">
        <f>Data!U335</f>
        <v>UNITED STATES</v>
      </c>
      <c r="Y335" s="5" t="str">
        <f>Data!Y335</f>
        <v>United States</v>
      </c>
    </row>
    <row r="336" spans="1:25" x14ac:dyDescent="0.5">
      <c r="A336">
        <f>Data!A336</f>
        <v>19766</v>
      </c>
      <c r="J336" s="20">
        <f>Data!J336</f>
        <v>43077</v>
      </c>
      <c r="K336" s="20">
        <f>Data!K336</f>
        <v>43442</v>
      </c>
      <c r="L336" s="5" t="str">
        <f>Data!L336</f>
        <v>Active</v>
      </c>
      <c r="M336" s="5" t="str">
        <f>Data!M336</f>
        <v>Page (Corporate)</v>
      </c>
      <c r="P336" s="5">
        <f>Data!P336</f>
        <v>0</v>
      </c>
      <c r="U336" s="5" t="str">
        <f>Data!U336</f>
        <v>UNITED STATES</v>
      </c>
      <c r="Y336" s="5" t="str">
        <f>Data!Y336</f>
        <v>United States</v>
      </c>
    </row>
    <row r="337" spans="1:25" x14ac:dyDescent="0.5">
      <c r="A337">
        <f>Data!A337</f>
        <v>19801</v>
      </c>
      <c r="J337" s="20">
        <f>Data!J337</f>
        <v>42487</v>
      </c>
      <c r="K337" s="20">
        <f>Data!K337</f>
        <v>43465</v>
      </c>
      <c r="L337" s="5" t="str">
        <f>Data!L337</f>
        <v>Active</v>
      </c>
      <c r="M337" s="5" t="str">
        <f>Data!M337</f>
        <v>Page (Corporate)</v>
      </c>
      <c r="P337" s="5" t="str">
        <f>Data!P337</f>
        <v>In Staff Review</v>
      </c>
      <c r="U337" s="5" t="str">
        <f>Data!U337</f>
        <v>UNITED STATES</v>
      </c>
      <c r="Y337" s="5" t="str">
        <f>Data!Y337</f>
        <v>United States</v>
      </c>
    </row>
    <row r="338" spans="1:25" x14ac:dyDescent="0.5">
      <c r="A338">
        <f>Data!A338</f>
        <v>19821</v>
      </c>
      <c r="J338" s="20">
        <f>Data!J338</f>
        <v>43147</v>
      </c>
      <c r="K338" s="20">
        <f>Data!K338</f>
        <v>43512</v>
      </c>
      <c r="L338" s="5" t="str">
        <f>Data!L338</f>
        <v>Active</v>
      </c>
      <c r="M338" s="5" t="str">
        <f>Data!M338</f>
        <v>Page (Corporate)</v>
      </c>
      <c r="P338" s="5">
        <f>Data!P338</f>
        <v>0</v>
      </c>
      <c r="U338" s="5" t="str">
        <f>Data!U338</f>
        <v>UNITED STATES</v>
      </c>
      <c r="Y338" s="5" t="str">
        <f>Data!Y338</f>
        <v>United States</v>
      </c>
    </row>
    <row r="339" spans="1:25" x14ac:dyDescent="0.5">
      <c r="A339">
        <f>Data!A339</f>
        <v>19824</v>
      </c>
      <c r="J339" s="20">
        <f>Data!J339</f>
        <v>42185</v>
      </c>
      <c r="K339" s="20">
        <f>Data!K339</f>
        <v>43465</v>
      </c>
      <c r="L339" s="5" t="str">
        <f>Data!L339</f>
        <v>Active</v>
      </c>
      <c r="M339" s="5" t="str">
        <f>Data!M339</f>
        <v>Page (Corporate)</v>
      </c>
      <c r="P339" s="5" t="str">
        <f>Data!P339</f>
        <v>Eligible</v>
      </c>
      <c r="U339" s="5" t="str">
        <f>Data!U339</f>
        <v>UNITED STATES</v>
      </c>
      <c r="Y339" s="5" t="str">
        <f>Data!Y339</f>
        <v>United States</v>
      </c>
    </row>
    <row r="340" spans="1:25" x14ac:dyDescent="0.5">
      <c r="A340">
        <f>Data!A340</f>
        <v>19826</v>
      </c>
      <c r="J340" s="20">
        <f>Data!J340</f>
        <v>41473</v>
      </c>
      <c r="K340" s="20">
        <f>Data!K340</f>
        <v>43465</v>
      </c>
      <c r="L340" s="5" t="str">
        <f>Data!L340</f>
        <v>Active</v>
      </c>
      <c r="M340" s="5" t="str">
        <f>Data!M340</f>
        <v>Page (Corporate)</v>
      </c>
      <c r="P340" s="5" t="str">
        <f>Data!P340</f>
        <v>Eligible</v>
      </c>
      <c r="U340" s="5" t="str">
        <f>Data!U340</f>
        <v>UNITED STATES</v>
      </c>
      <c r="Y340" s="5" t="str">
        <f>Data!Y340</f>
        <v>United States</v>
      </c>
    </row>
    <row r="341" spans="1:25" x14ac:dyDescent="0.5">
      <c r="A341">
        <f>Data!A341</f>
        <v>19832</v>
      </c>
      <c r="J341" s="20">
        <f>Data!J341</f>
        <v>42557</v>
      </c>
      <c r="K341" s="20">
        <f>Data!K341</f>
        <v>43465</v>
      </c>
      <c r="L341" s="5" t="str">
        <f>Data!L341</f>
        <v>Active</v>
      </c>
      <c r="M341" s="5" t="str">
        <f>Data!M341</f>
        <v>Page (Corporate)</v>
      </c>
      <c r="P341" s="5" t="str">
        <f>Data!P341</f>
        <v>Eligible</v>
      </c>
      <c r="U341" s="5" t="str">
        <f>Data!U341</f>
        <v>UNITED STATES</v>
      </c>
      <c r="Y341" s="5" t="str">
        <f>Data!Y341</f>
        <v>United States</v>
      </c>
    </row>
    <row r="342" spans="1:25" x14ac:dyDescent="0.5">
      <c r="A342">
        <f>Data!A342</f>
        <v>19837</v>
      </c>
      <c r="J342" s="20">
        <f>Data!J342</f>
        <v>42984</v>
      </c>
      <c r="K342" s="20">
        <f>Data!K342</f>
        <v>43348</v>
      </c>
      <c r="L342" s="5" t="str">
        <f>Data!L342</f>
        <v>Active</v>
      </c>
      <c r="M342" s="5" t="str">
        <f>Data!M342</f>
        <v>Page (Non-Profit)</v>
      </c>
      <c r="P342" s="5" t="str">
        <f>Data!P342</f>
        <v>Eligible</v>
      </c>
      <c r="U342" s="5" t="str">
        <f>Data!U342</f>
        <v>UNITED STATES</v>
      </c>
      <c r="Y342" s="5" t="str">
        <f>Data!Y342</f>
        <v>United States</v>
      </c>
    </row>
    <row r="343" spans="1:25" x14ac:dyDescent="0.5">
      <c r="A343">
        <f>Data!A343</f>
        <v>19843</v>
      </c>
      <c r="J343" s="20">
        <f>Data!J343</f>
        <v>41388</v>
      </c>
      <c r="K343" s="20">
        <f>Data!K343</f>
        <v>43465</v>
      </c>
      <c r="L343" s="5" t="str">
        <f>Data!L343</f>
        <v>Active</v>
      </c>
      <c r="M343" s="5" t="str">
        <f>Data!M343</f>
        <v>Page (Corporate)</v>
      </c>
      <c r="P343" s="5" t="str">
        <f>Data!P343</f>
        <v>Eligible</v>
      </c>
      <c r="U343" s="5" t="str">
        <f>Data!U343</f>
        <v>UNITED STATES</v>
      </c>
      <c r="Y343" s="5" t="str">
        <f>Data!Y343</f>
        <v>United States</v>
      </c>
    </row>
    <row r="344" spans="1:25" x14ac:dyDescent="0.5">
      <c r="A344">
        <f>Data!A344</f>
        <v>19844</v>
      </c>
      <c r="J344" s="20">
        <f>Data!J344</f>
        <v>42635</v>
      </c>
      <c r="K344" s="20">
        <f>Data!K344</f>
        <v>43465</v>
      </c>
      <c r="L344" s="5" t="str">
        <f>Data!L344</f>
        <v>Active</v>
      </c>
      <c r="M344" s="5" t="str">
        <f>Data!M344</f>
        <v>Page (Corporate)</v>
      </c>
      <c r="P344" s="5" t="str">
        <f>Data!P344</f>
        <v>Eligible</v>
      </c>
      <c r="U344" s="5" t="str">
        <f>Data!U344</f>
        <v>Netherlands</v>
      </c>
      <c r="Y344" s="5" t="str">
        <f>Data!Y344</f>
        <v>Europe</v>
      </c>
    </row>
    <row r="345" spans="1:25" x14ac:dyDescent="0.5">
      <c r="A345">
        <f>Data!A345</f>
        <v>19846</v>
      </c>
      <c r="J345" s="20">
        <f>Data!J345</f>
        <v>41400</v>
      </c>
      <c r="K345" s="20">
        <f>Data!K345</f>
        <v>43465</v>
      </c>
      <c r="L345" s="5" t="str">
        <f>Data!L345</f>
        <v>Active</v>
      </c>
      <c r="M345" s="5" t="str">
        <f>Data!M345</f>
        <v>Page (Non-Profit)</v>
      </c>
      <c r="P345" s="5" t="str">
        <f>Data!P345</f>
        <v>In Staff Review</v>
      </c>
      <c r="U345" s="5" t="str">
        <f>Data!U345</f>
        <v>France</v>
      </c>
      <c r="Y345" s="5" t="str">
        <f>Data!Y345</f>
        <v>Europe</v>
      </c>
    </row>
    <row r="346" spans="1:25" x14ac:dyDescent="0.5">
      <c r="A346">
        <f>Data!A346</f>
        <v>19862</v>
      </c>
      <c r="J346" s="20">
        <f>Data!J346</f>
        <v>41445</v>
      </c>
      <c r="K346" s="20">
        <f>Data!K346</f>
        <v>43465</v>
      </c>
      <c r="L346" s="5" t="str">
        <f>Data!L346</f>
        <v>Active</v>
      </c>
      <c r="M346" s="5" t="str">
        <f>Data!M346</f>
        <v>Page (Corporate)</v>
      </c>
      <c r="P346" s="5">
        <f>Data!P346</f>
        <v>0</v>
      </c>
      <c r="U346" s="5" t="str">
        <f>Data!U346</f>
        <v>Australia</v>
      </c>
      <c r="Y346" s="5" t="str">
        <f>Data!Y346</f>
        <v>Australia/NZ</v>
      </c>
    </row>
    <row r="347" spans="1:25" x14ac:dyDescent="0.5">
      <c r="A347">
        <f>Data!A347</f>
        <v>19865</v>
      </c>
      <c r="J347" s="20">
        <f>Data!J347</f>
        <v>41396</v>
      </c>
      <c r="K347" s="20">
        <f>Data!K347</f>
        <v>43465</v>
      </c>
      <c r="L347" s="5" t="str">
        <f>Data!L347</f>
        <v>Active</v>
      </c>
      <c r="M347" s="5" t="str">
        <f>Data!M347</f>
        <v>Page (Corporate)</v>
      </c>
      <c r="P347" s="5" t="str">
        <f>Data!P347</f>
        <v>Eligible</v>
      </c>
      <c r="U347" s="5" t="str">
        <f>Data!U347</f>
        <v>UNITED STATES</v>
      </c>
      <c r="Y347" s="5" t="str">
        <f>Data!Y347</f>
        <v>United States</v>
      </c>
    </row>
    <row r="348" spans="1:25" x14ac:dyDescent="0.5">
      <c r="A348">
        <f>Data!A348</f>
        <v>19868</v>
      </c>
      <c r="J348" s="20">
        <f>Data!J348</f>
        <v>41416</v>
      </c>
      <c r="K348" s="20">
        <f>Data!K348</f>
        <v>43465</v>
      </c>
      <c r="L348" s="5" t="str">
        <f>Data!L348</f>
        <v>Active</v>
      </c>
      <c r="M348" s="5" t="str">
        <f>Data!M348</f>
        <v>Page (Corporate)</v>
      </c>
      <c r="P348" s="5" t="str">
        <f>Data!P348</f>
        <v>Eligible</v>
      </c>
      <c r="U348" s="5" t="str">
        <f>Data!U348</f>
        <v>HONG KONG</v>
      </c>
      <c r="Y348" s="5">
        <f>Data!Y348</f>
        <v>0</v>
      </c>
    </row>
    <row r="349" spans="1:25" x14ac:dyDescent="0.5">
      <c r="A349">
        <f>Data!A349</f>
        <v>19879</v>
      </c>
      <c r="J349" s="20">
        <f>Data!J349</f>
        <v>41445</v>
      </c>
      <c r="K349" s="20">
        <f>Data!K349</f>
        <v>43465</v>
      </c>
      <c r="L349" s="5" t="str">
        <f>Data!L349</f>
        <v>Active</v>
      </c>
      <c r="M349" s="5" t="str">
        <f>Data!M349</f>
        <v>Page (Agency)</v>
      </c>
      <c r="P349" s="5" t="str">
        <f>Data!P349</f>
        <v>Eligible</v>
      </c>
      <c r="U349" s="5" t="str">
        <f>Data!U349</f>
        <v>UNITED STATES</v>
      </c>
      <c r="Y349" s="5" t="str">
        <f>Data!Y349</f>
        <v>United States</v>
      </c>
    </row>
    <row r="350" spans="1:25" x14ac:dyDescent="0.5">
      <c r="A350">
        <f>Data!A350</f>
        <v>19914</v>
      </c>
      <c r="J350" s="20">
        <f>Data!J350</f>
        <v>41445</v>
      </c>
      <c r="K350" s="20">
        <f>Data!K350</f>
        <v>43465</v>
      </c>
      <c r="L350" s="5" t="str">
        <f>Data!L350</f>
        <v>Active</v>
      </c>
      <c r="M350" s="5" t="str">
        <f>Data!M350</f>
        <v>Page (Agency)</v>
      </c>
      <c r="P350" s="5" t="str">
        <f>Data!P350</f>
        <v>Eligible</v>
      </c>
      <c r="U350" s="5" t="str">
        <f>Data!U350</f>
        <v>UNITED STATES</v>
      </c>
      <c r="Y350" s="5" t="str">
        <f>Data!Y350</f>
        <v>United States</v>
      </c>
    </row>
    <row r="351" spans="1:25" x14ac:dyDescent="0.5">
      <c r="A351">
        <f>Data!A351</f>
        <v>19915</v>
      </c>
      <c r="J351" s="20">
        <f>Data!J351</f>
        <v>41465</v>
      </c>
      <c r="K351" s="20">
        <f>Data!K351</f>
        <v>43465</v>
      </c>
      <c r="L351" s="5" t="str">
        <f>Data!L351</f>
        <v>Active</v>
      </c>
      <c r="M351" s="5" t="str">
        <f>Data!M351</f>
        <v>Page (Agency)</v>
      </c>
      <c r="P351" s="5" t="str">
        <f>Data!P351</f>
        <v>Non-Qualified</v>
      </c>
      <c r="U351" s="5" t="str">
        <f>Data!U351</f>
        <v>UNITED STATES</v>
      </c>
      <c r="Y351" s="5" t="str">
        <f>Data!Y351</f>
        <v>United States</v>
      </c>
    </row>
    <row r="352" spans="1:25" x14ac:dyDescent="0.5">
      <c r="A352">
        <f>Data!A352</f>
        <v>19916</v>
      </c>
      <c r="J352" s="20">
        <f>Data!J352</f>
        <v>41449</v>
      </c>
      <c r="K352" s="20">
        <f>Data!K352</f>
        <v>43465</v>
      </c>
      <c r="L352" s="5" t="str">
        <f>Data!L352</f>
        <v>Active</v>
      </c>
      <c r="M352" s="5" t="str">
        <f>Data!M352</f>
        <v>Page (Agency)</v>
      </c>
      <c r="P352" s="5" t="str">
        <f>Data!P352</f>
        <v>Continuous</v>
      </c>
      <c r="U352" s="5" t="str">
        <f>Data!U352</f>
        <v>UNITED STATES</v>
      </c>
      <c r="Y352" s="5" t="str">
        <f>Data!Y352</f>
        <v>United States</v>
      </c>
    </row>
    <row r="353" spans="1:25" x14ac:dyDescent="0.5">
      <c r="A353">
        <f>Data!A353</f>
        <v>19917</v>
      </c>
      <c r="J353" s="20">
        <f>Data!J353</f>
        <v>41450</v>
      </c>
      <c r="K353" s="20">
        <f>Data!K353</f>
        <v>43465</v>
      </c>
      <c r="L353" s="5" t="str">
        <f>Data!L353</f>
        <v>Active</v>
      </c>
      <c r="M353" s="5" t="str">
        <f>Data!M353</f>
        <v>Page (Corporate)</v>
      </c>
      <c r="P353" s="5" t="str">
        <f>Data!P353</f>
        <v>Eligible</v>
      </c>
      <c r="U353" s="5" t="str">
        <f>Data!U353</f>
        <v>UNITED STATES</v>
      </c>
      <c r="Y353" s="5" t="str">
        <f>Data!Y353</f>
        <v>United States</v>
      </c>
    </row>
    <row r="354" spans="1:25" x14ac:dyDescent="0.5">
      <c r="A354">
        <f>Data!A354</f>
        <v>19919</v>
      </c>
      <c r="J354" s="20">
        <f>Data!J354</f>
        <v>41449</v>
      </c>
      <c r="K354" s="20">
        <f>Data!K354</f>
        <v>43465</v>
      </c>
      <c r="L354" s="5" t="str">
        <f>Data!L354</f>
        <v>Active</v>
      </c>
      <c r="M354" s="5" t="str">
        <f>Data!M354</f>
        <v>Page (Corporate)</v>
      </c>
      <c r="P354" s="5" t="str">
        <f>Data!P354</f>
        <v>Eligible</v>
      </c>
      <c r="U354" s="5" t="str">
        <f>Data!U354</f>
        <v>UNITED STATES</v>
      </c>
      <c r="Y354" s="5" t="str">
        <f>Data!Y354</f>
        <v>United States</v>
      </c>
    </row>
    <row r="355" spans="1:25" x14ac:dyDescent="0.5">
      <c r="A355">
        <f>Data!A355</f>
        <v>19920</v>
      </c>
      <c r="J355" s="20">
        <f>Data!J355</f>
        <v>41451</v>
      </c>
      <c r="K355" s="20">
        <f>Data!K355</f>
        <v>43465</v>
      </c>
      <c r="L355" s="5" t="str">
        <f>Data!L355</f>
        <v>Active</v>
      </c>
      <c r="M355" s="5" t="str">
        <f>Data!M355</f>
        <v>Page (Corporate)</v>
      </c>
      <c r="P355" s="5" t="str">
        <f>Data!P355</f>
        <v>Eligible</v>
      </c>
      <c r="U355" s="5" t="str">
        <f>Data!U355</f>
        <v>UNITED STATES</v>
      </c>
      <c r="Y355" s="5" t="str">
        <f>Data!Y355</f>
        <v>United States</v>
      </c>
    </row>
    <row r="356" spans="1:25" x14ac:dyDescent="0.5">
      <c r="A356">
        <f>Data!A356</f>
        <v>19921</v>
      </c>
      <c r="J356" s="20">
        <f>Data!J356</f>
        <v>42184</v>
      </c>
      <c r="K356" s="20">
        <f>Data!K356</f>
        <v>43465</v>
      </c>
      <c r="L356" s="5" t="str">
        <f>Data!L356</f>
        <v>Active</v>
      </c>
      <c r="M356" s="5" t="str">
        <f>Data!M356</f>
        <v>Page (Corporate)</v>
      </c>
      <c r="P356" s="5" t="str">
        <f>Data!P356</f>
        <v>Eligible</v>
      </c>
      <c r="U356" s="5" t="str">
        <f>Data!U356</f>
        <v>UNITED STATES</v>
      </c>
      <c r="Y356" s="5" t="str">
        <f>Data!Y356</f>
        <v>United States</v>
      </c>
    </row>
    <row r="357" spans="1:25" x14ac:dyDescent="0.5">
      <c r="A357">
        <f>Data!A357</f>
        <v>19924</v>
      </c>
      <c r="J357" s="20">
        <f>Data!J357</f>
        <v>41464</v>
      </c>
      <c r="K357" s="20">
        <f>Data!K357</f>
        <v>43465</v>
      </c>
      <c r="L357" s="5" t="str">
        <f>Data!L357</f>
        <v>Active</v>
      </c>
      <c r="M357" s="5" t="str">
        <f>Data!M357</f>
        <v>Page (Non-Profit)</v>
      </c>
      <c r="P357" s="5" t="str">
        <f>Data!P357</f>
        <v>Eligible</v>
      </c>
      <c r="U357" s="5" t="str">
        <f>Data!U357</f>
        <v>UNITED STATES</v>
      </c>
      <c r="Y357" s="5" t="str">
        <f>Data!Y357</f>
        <v>United States</v>
      </c>
    </row>
    <row r="358" spans="1:25" x14ac:dyDescent="0.5">
      <c r="A358">
        <f>Data!A358</f>
        <v>19925</v>
      </c>
      <c r="J358" s="20">
        <f>Data!J358</f>
        <v>41477</v>
      </c>
      <c r="K358" s="20">
        <f>Data!K358</f>
        <v>43465</v>
      </c>
      <c r="L358" s="5" t="str">
        <f>Data!L358</f>
        <v>Active</v>
      </c>
      <c r="M358" s="5" t="str">
        <f>Data!M358</f>
        <v>Page (Corporate)</v>
      </c>
      <c r="P358" s="5" t="str">
        <f>Data!P358</f>
        <v>Eligible</v>
      </c>
      <c r="U358" s="5" t="str">
        <f>Data!U358</f>
        <v>UNITED STATES</v>
      </c>
      <c r="Y358" s="5" t="str">
        <f>Data!Y358</f>
        <v>United States</v>
      </c>
    </row>
    <row r="359" spans="1:25" x14ac:dyDescent="0.5">
      <c r="A359">
        <f>Data!A359</f>
        <v>19928</v>
      </c>
      <c r="J359" s="20">
        <f>Data!J359</f>
        <v>41463</v>
      </c>
      <c r="K359" s="20">
        <f>Data!K359</f>
        <v>43465</v>
      </c>
      <c r="L359" s="5" t="str">
        <f>Data!L359</f>
        <v>Active</v>
      </c>
      <c r="M359" s="5" t="str">
        <f>Data!M359</f>
        <v>Page (Corporate)</v>
      </c>
      <c r="P359" s="5" t="str">
        <f>Data!P359</f>
        <v>Eligible</v>
      </c>
      <c r="U359" s="5" t="str">
        <f>Data!U359</f>
        <v>UNITED STATES</v>
      </c>
      <c r="Y359" s="5" t="str">
        <f>Data!Y359</f>
        <v>United States</v>
      </c>
    </row>
    <row r="360" spans="1:25" x14ac:dyDescent="0.5">
      <c r="A360">
        <f>Data!A360</f>
        <v>19932</v>
      </c>
      <c r="J360" s="20">
        <f>Data!J360</f>
        <v>41486</v>
      </c>
      <c r="K360" s="20">
        <f>Data!K360</f>
        <v>43465</v>
      </c>
      <c r="L360" s="5" t="str">
        <f>Data!L360</f>
        <v>Active</v>
      </c>
      <c r="M360" s="5" t="str">
        <f>Data!M360</f>
        <v>Page (Corporate)</v>
      </c>
      <c r="P360" s="5" t="str">
        <f>Data!P360</f>
        <v>Eligible</v>
      </c>
      <c r="U360" s="5" t="str">
        <f>Data!U360</f>
        <v>UNITED STATES</v>
      </c>
      <c r="Y360" s="5" t="str">
        <f>Data!Y360</f>
        <v>United States</v>
      </c>
    </row>
    <row r="361" spans="1:25" x14ac:dyDescent="0.5">
      <c r="A361">
        <f>Data!A361</f>
        <v>19933</v>
      </c>
      <c r="J361" s="20">
        <f>Data!J361</f>
        <v>41444</v>
      </c>
      <c r="K361" s="20">
        <f>Data!K361</f>
        <v>43465</v>
      </c>
      <c r="L361" s="5" t="str">
        <f>Data!L361</f>
        <v>Active</v>
      </c>
      <c r="M361" s="5" t="str">
        <f>Data!M361</f>
        <v>Page (Corporate)</v>
      </c>
      <c r="P361" s="5" t="str">
        <f>Data!P361</f>
        <v>Eligible</v>
      </c>
      <c r="U361" s="5" t="str">
        <f>Data!U361</f>
        <v>UNITED STATES</v>
      </c>
      <c r="Y361" s="5" t="str">
        <f>Data!Y361</f>
        <v>United States</v>
      </c>
    </row>
    <row r="362" spans="1:25" x14ac:dyDescent="0.5">
      <c r="A362">
        <f>Data!A362</f>
        <v>19943</v>
      </c>
      <c r="J362" s="20">
        <f>Data!J362</f>
        <v>41754</v>
      </c>
      <c r="K362" s="20">
        <f>Data!K362</f>
        <v>43465</v>
      </c>
      <c r="L362" s="5" t="str">
        <f>Data!L362</f>
        <v>Active</v>
      </c>
      <c r="M362" s="5" t="str">
        <f>Data!M362</f>
        <v>Page (Corporate)</v>
      </c>
      <c r="P362" s="5" t="str">
        <f>Data!P362</f>
        <v>Non-Qualified</v>
      </c>
      <c r="U362" s="5" t="str">
        <f>Data!U362</f>
        <v>UNITED STATES</v>
      </c>
      <c r="Y362" s="5" t="str">
        <f>Data!Y362</f>
        <v>United States</v>
      </c>
    </row>
    <row r="363" spans="1:25" x14ac:dyDescent="0.5">
      <c r="A363">
        <f>Data!A363</f>
        <v>19944</v>
      </c>
      <c r="J363" s="20">
        <f>Data!J363</f>
        <v>42850</v>
      </c>
      <c r="K363" s="20">
        <f>Data!K363</f>
        <v>43465</v>
      </c>
      <c r="L363" s="5" t="str">
        <f>Data!L363</f>
        <v>Active</v>
      </c>
      <c r="M363" s="5" t="str">
        <f>Data!M363</f>
        <v>Page (Corporate)</v>
      </c>
      <c r="P363" s="5" t="str">
        <f>Data!P363</f>
        <v>Eligible</v>
      </c>
      <c r="U363" s="5" t="str">
        <f>Data!U363</f>
        <v>UNITED STATES</v>
      </c>
      <c r="Y363" s="5" t="str">
        <f>Data!Y363</f>
        <v>United States</v>
      </c>
    </row>
    <row r="364" spans="1:25" x14ac:dyDescent="0.5">
      <c r="A364">
        <f>Data!A364</f>
        <v>19957</v>
      </c>
      <c r="J364" s="20">
        <f>Data!J364</f>
        <v>42796</v>
      </c>
      <c r="K364" s="20">
        <f>Data!K364</f>
        <v>43465</v>
      </c>
      <c r="L364" s="5" t="str">
        <f>Data!L364</f>
        <v>Active</v>
      </c>
      <c r="M364" s="5" t="str">
        <f>Data!M364</f>
        <v>Page (Non-Profit)</v>
      </c>
      <c r="P364" s="5" t="str">
        <f>Data!P364</f>
        <v>Eligible</v>
      </c>
      <c r="U364" s="5" t="str">
        <f>Data!U364</f>
        <v>UNITED STATES</v>
      </c>
      <c r="Y364" s="5" t="str">
        <f>Data!Y364</f>
        <v>United States</v>
      </c>
    </row>
    <row r="365" spans="1:25" x14ac:dyDescent="0.5">
      <c r="A365">
        <f>Data!A365</f>
        <v>19964</v>
      </c>
      <c r="J365" s="20">
        <f>Data!J365</f>
        <v>41546</v>
      </c>
      <c r="K365" s="20">
        <f>Data!K365</f>
        <v>43465</v>
      </c>
      <c r="L365" s="5" t="str">
        <f>Data!L365</f>
        <v>Active</v>
      </c>
      <c r="M365" s="5" t="str">
        <f>Data!M365</f>
        <v>Page (Non-Profit)</v>
      </c>
      <c r="P365" s="5">
        <f>Data!P365</f>
        <v>0</v>
      </c>
      <c r="U365" s="5" t="str">
        <f>Data!U365</f>
        <v>UNITED STATES</v>
      </c>
      <c r="Y365" s="5" t="str">
        <f>Data!Y365</f>
        <v>United States</v>
      </c>
    </row>
    <row r="366" spans="1:25" x14ac:dyDescent="0.5">
      <c r="A366">
        <f>Data!A366</f>
        <v>19980</v>
      </c>
      <c r="J366" s="20">
        <f>Data!J366</f>
        <v>42927</v>
      </c>
      <c r="K366" s="20">
        <f>Data!K366</f>
        <v>43465</v>
      </c>
      <c r="L366" s="5" t="str">
        <f>Data!L366</f>
        <v>Active</v>
      </c>
      <c r="M366" s="5" t="str">
        <f>Data!M366</f>
        <v>Page (Corporate)</v>
      </c>
      <c r="P366" s="5" t="str">
        <f>Data!P366</f>
        <v>Eligible</v>
      </c>
      <c r="U366" s="5" t="str">
        <f>Data!U366</f>
        <v>UNITED STATES</v>
      </c>
      <c r="Y366" s="5" t="str">
        <f>Data!Y366</f>
        <v>United States</v>
      </c>
    </row>
    <row r="367" spans="1:25" x14ac:dyDescent="0.5">
      <c r="A367">
        <f>Data!A367</f>
        <v>19986</v>
      </c>
      <c r="J367" s="20">
        <f>Data!J367</f>
        <v>42790</v>
      </c>
      <c r="K367" s="20">
        <f>Data!K367</f>
        <v>43465</v>
      </c>
      <c r="L367" s="5" t="str">
        <f>Data!L367</f>
        <v>Active</v>
      </c>
      <c r="M367" s="5" t="str">
        <f>Data!M367</f>
        <v>Page (Corporate)</v>
      </c>
      <c r="P367" s="5" t="str">
        <f>Data!P367</f>
        <v>Eligible</v>
      </c>
      <c r="U367" s="5" t="str">
        <f>Data!U367</f>
        <v>UNITED STATES</v>
      </c>
      <c r="Y367" s="5" t="str">
        <f>Data!Y367</f>
        <v>United States</v>
      </c>
    </row>
    <row r="368" spans="1:25" x14ac:dyDescent="0.5">
      <c r="A368">
        <f>Data!A368</f>
        <v>20000</v>
      </c>
      <c r="J368" s="20">
        <f>Data!J368</f>
        <v>41600</v>
      </c>
      <c r="K368" s="20">
        <f>Data!K368</f>
        <v>43465</v>
      </c>
      <c r="L368" s="5" t="str">
        <f>Data!L368</f>
        <v>Active</v>
      </c>
      <c r="M368" s="5" t="str">
        <f>Data!M368</f>
        <v>Page (Corporate)</v>
      </c>
      <c r="P368" s="5" t="str">
        <f>Data!P368</f>
        <v>Eligible</v>
      </c>
      <c r="U368" s="5" t="str">
        <f>Data!U368</f>
        <v>UNITED STATES</v>
      </c>
      <c r="Y368" s="5" t="str">
        <f>Data!Y368</f>
        <v>United States</v>
      </c>
    </row>
    <row r="369" spans="1:25" x14ac:dyDescent="0.5">
      <c r="A369">
        <f>Data!A369</f>
        <v>20025</v>
      </c>
      <c r="J369" s="20">
        <f>Data!J369</f>
        <v>41546</v>
      </c>
      <c r="K369" s="20">
        <f>Data!K369</f>
        <v>43465</v>
      </c>
      <c r="L369" s="5" t="str">
        <f>Data!L369</f>
        <v>Active</v>
      </c>
      <c r="M369" s="5" t="str">
        <f>Data!M369</f>
        <v>Page (Corporate)</v>
      </c>
      <c r="P369" s="5" t="str">
        <f>Data!P369</f>
        <v>Eligible</v>
      </c>
      <c r="U369" s="5" t="str">
        <f>Data!U369</f>
        <v>United Arab Emirates</v>
      </c>
      <c r="Y369" s="5">
        <f>Data!Y369</f>
        <v>0</v>
      </c>
    </row>
    <row r="370" spans="1:25" x14ac:dyDescent="0.5">
      <c r="A370">
        <f>Data!A370</f>
        <v>20028</v>
      </c>
      <c r="J370" s="20">
        <f>Data!J370</f>
        <v>41570</v>
      </c>
      <c r="K370" s="20">
        <f>Data!K370</f>
        <v>43465</v>
      </c>
      <c r="L370" s="5" t="str">
        <f>Data!L370</f>
        <v>Active</v>
      </c>
      <c r="M370" s="5" t="str">
        <f>Data!M370</f>
        <v>Page (Corporate)</v>
      </c>
      <c r="P370" s="5" t="str">
        <f>Data!P370</f>
        <v>Eligible</v>
      </c>
      <c r="U370" s="5" t="str">
        <f>Data!U370</f>
        <v>UNITED STATES</v>
      </c>
      <c r="Y370" s="5" t="str">
        <f>Data!Y370</f>
        <v>United States</v>
      </c>
    </row>
    <row r="371" spans="1:25" x14ac:dyDescent="0.5">
      <c r="A371">
        <f>Data!A371</f>
        <v>20029</v>
      </c>
      <c r="J371" s="20">
        <f>Data!J371</f>
        <v>41733</v>
      </c>
      <c r="K371" s="20">
        <f>Data!K371</f>
        <v>43465</v>
      </c>
      <c r="L371" s="5" t="str">
        <f>Data!L371</f>
        <v>Active</v>
      </c>
      <c r="M371" s="5" t="str">
        <f>Data!M371</f>
        <v>Page (Corporate)</v>
      </c>
      <c r="P371" s="5" t="str">
        <f>Data!P371</f>
        <v>Eligible</v>
      </c>
      <c r="U371" s="5" t="str">
        <f>Data!U371</f>
        <v>UNITED STATES</v>
      </c>
      <c r="Y371" s="5" t="str">
        <f>Data!Y371</f>
        <v>United States</v>
      </c>
    </row>
    <row r="372" spans="1:25" x14ac:dyDescent="0.5">
      <c r="A372">
        <f>Data!A372</f>
        <v>20036</v>
      </c>
      <c r="J372" s="20">
        <f>Data!J372</f>
        <v>41561</v>
      </c>
      <c r="K372" s="20">
        <f>Data!K372</f>
        <v>43465</v>
      </c>
      <c r="L372" s="5" t="str">
        <f>Data!L372</f>
        <v>Active</v>
      </c>
      <c r="M372" s="5" t="str">
        <f>Data!M372</f>
        <v>Page (Non-Profit)</v>
      </c>
      <c r="P372" s="5" t="str">
        <f>Data!P372</f>
        <v>Eligible</v>
      </c>
      <c r="U372" s="5" t="str">
        <f>Data!U372</f>
        <v>UNITED STATES</v>
      </c>
      <c r="Y372" s="5" t="str">
        <f>Data!Y372</f>
        <v>United States</v>
      </c>
    </row>
    <row r="373" spans="1:25" x14ac:dyDescent="0.5">
      <c r="A373">
        <f>Data!A373</f>
        <v>20037</v>
      </c>
      <c r="J373" s="20">
        <f>Data!J373</f>
        <v>41576</v>
      </c>
      <c r="K373" s="20">
        <f>Data!K373</f>
        <v>43465</v>
      </c>
      <c r="L373" s="5" t="str">
        <f>Data!L373</f>
        <v>Active</v>
      </c>
      <c r="M373" s="5" t="str">
        <f>Data!M373</f>
        <v>Page (Non-Profit)</v>
      </c>
      <c r="P373" s="5" t="str">
        <f>Data!P373</f>
        <v>Eligible</v>
      </c>
      <c r="U373" s="5" t="str">
        <f>Data!U373</f>
        <v>UNITED STATES</v>
      </c>
      <c r="Y373" s="5" t="str">
        <f>Data!Y373</f>
        <v>United States</v>
      </c>
    </row>
    <row r="374" spans="1:25" x14ac:dyDescent="0.5">
      <c r="A374">
        <f>Data!A374</f>
        <v>20041</v>
      </c>
      <c r="J374" s="20">
        <f>Data!J374</f>
        <v>42402</v>
      </c>
      <c r="K374" s="20">
        <f>Data!K374</f>
        <v>43465</v>
      </c>
      <c r="L374" s="5" t="str">
        <f>Data!L374</f>
        <v>Active</v>
      </c>
      <c r="M374" s="5" t="str">
        <f>Data!M374</f>
        <v>Page (Corporate)</v>
      </c>
      <c r="P374" s="5" t="str">
        <f>Data!P374</f>
        <v>Eligible</v>
      </c>
      <c r="U374" s="5" t="str">
        <f>Data!U374</f>
        <v>UNITED STATES</v>
      </c>
      <c r="Y374" s="5" t="str">
        <f>Data!Y374</f>
        <v>United States</v>
      </c>
    </row>
    <row r="375" spans="1:25" x14ac:dyDescent="0.5">
      <c r="A375">
        <f>Data!A375</f>
        <v>20044</v>
      </c>
      <c r="J375" s="20">
        <f>Data!J375</f>
        <v>42563</v>
      </c>
      <c r="K375" s="20">
        <f>Data!K375</f>
        <v>43465</v>
      </c>
      <c r="L375" s="5" t="str">
        <f>Data!L375</f>
        <v>Active</v>
      </c>
      <c r="M375" s="5" t="str">
        <f>Data!M375</f>
        <v>Page (Corporate)</v>
      </c>
      <c r="P375" s="5" t="str">
        <f>Data!P375</f>
        <v>Eligible</v>
      </c>
      <c r="U375" s="5" t="str">
        <f>Data!U375</f>
        <v>UNITED STATES</v>
      </c>
      <c r="Y375" s="5" t="str">
        <f>Data!Y375</f>
        <v>United States</v>
      </c>
    </row>
    <row r="376" spans="1:25" x14ac:dyDescent="0.5">
      <c r="A376">
        <f>Data!A376</f>
        <v>20069</v>
      </c>
      <c r="J376" s="20">
        <f>Data!J376</f>
        <v>42038</v>
      </c>
      <c r="K376" s="20">
        <f>Data!K376</f>
        <v>43465</v>
      </c>
      <c r="L376" s="5" t="str">
        <f>Data!L376</f>
        <v>Active</v>
      </c>
      <c r="M376" s="5" t="str">
        <f>Data!M376</f>
        <v>Page (Agency)</v>
      </c>
      <c r="P376" s="5" t="str">
        <f>Data!P376</f>
        <v>Eligible</v>
      </c>
      <c r="U376" s="5" t="str">
        <f>Data!U376</f>
        <v>United Kingdom</v>
      </c>
      <c r="Y376" s="5" t="str">
        <f>Data!Y376</f>
        <v>Europe</v>
      </c>
    </row>
    <row r="377" spans="1:25" x14ac:dyDescent="0.5">
      <c r="A377">
        <f>Data!A377</f>
        <v>20081</v>
      </c>
      <c r="J377" s="20">
        <f>Data!J377</f>
        <v>43080</v>
      </c>
      <c r="K377" s="20">
        <f>Data!K377</f>
        <v>43445</v>
      </c>
      <c r="L377" s="5" t="str">
        <f>Data!L377</f>
        <v>Active</v>
      </c>
      <c r="M377" s="5" t="str">
        <f>Data!M377</f>
        <v>Page (Agency)</v>
      </c>
      <c r="P377" s="5">
        <f>Data!P377</f>
        <v>0</v>
      </c>
      <c r="U377" s="5" t="str">
        <f>Data!U377</f>
        <v>UNITED STATES</v>
      </c>
      <c r="Y377" s="5" t="str">
        <f>Data!Y377</f>
        <v>United States</v>
      </c>
    </row>
    <row r="378" spans="1:25" x14ac:dyDescent="0.5">
      <c r="A378">
        <f>Data!A378</f>
        <v>20113</v>
      </c>
      <c r="J378" s="20">
        <f>Data!J378</f>
        <v>41628</v>
      </c>
      <c r="K378" s="20">
        <f>Data!K378</f>
        <v>43465</v>
      </c>
      <c r="L378" s="5" t="str">
        <f>Data!L378</f>
        <v>Active</v>
      </c>
      <c r="M378" s="5" t="str">
        <f>Data!M378</f>
        <v>Page (Corporate)</v>
      </c>
      <c r="P378" s="5" t="str">
        <f>Data!P378</f>
        <v>In Staff Review</v>
      </c>
      <c r="U378" s="5" t="str">
        <f>Data!U378</f>
        <v>UNITED STATES</v>
      </c>
      <c r="Y378" s="5" t="str">
        <f>Data!Y378</f>
        <v>United States</v>
      </c>
    </row>
    <row r="379" spans="1:25" x14ac:dyDescent="0.5">
      <c r="A379">
        <f>Data!A379</f>
        <v>20114</v>
      </c>
      <c r="J379" s="20">
        <f>Data!J379</f>
        <v>41611</v>
      </c>
      <c r="K379" s="20">
        <f>Data!K379</f>
        <v>43465</v>
      </c>
      <c r="L379" s="5" t="str">
        <f>Data!L379</f>
        <v>Active</v>
      </c>
      <c r="M379" s="5" t="str">
        <f>Data!M379</f>
        <v>Page (Corporate)</v>
      </c>
      <c r="P379" s="5" t="str">
        <f>Data!P379</f>
        <v>Eligible</v>
      </c>
      <c r="U379" s="5" t="str">
        <f>Data!U379</f>
        <v>UNITED STATES</v>
      </c>
      <c r="Y379" s="5" t="str">
        <f>Data!Y379</f>
        <v>United States</v>
      </c>
    </row>
    <row r="380" spans="1:25" x14ac:dyDescent="0.5">
      <c r="A380">
        <f>Data!A380</f>
        <v>20116</v>
      </c>
      <c r="J380" s="20">
        <f>Data!J380</f>
        <v>41610</v>
      </c>
      <c r="K380" s="20">
        <f>Data!K380</f>
        <v>43465</v>
      </c>
      <c r="L380" s="5" t="str">
        <f>Data!L380</f>
        <v>Active</v>
      </c>
      <c r="M380" s="5" t="str">
        <f>Data!M380</f>
        <v>Page (Corporate)</v>
      </c>
      <c r="P380" s="5" t="str">
        <f>Data!P380</f>
        <v>Eligible</v>
      </c>
      <c r="U380" s="5" t="str">
        <f>Data!U380</f>
        <v>UNITED STATES</v>
      </c>
      <c r="Y380" s="5" t="str">
        <f>Data!Y380</f>
        <v>United States</v>
      </c>
    </row>
    <row r="381" spans="1:25" x14ac:dyDescent="0.5">
      <c r="A381">
        <f>Data!A381</f>
        <v>20118</v>
      </c>
      <c r="J381" s="20">
        <f>Data!J381</f>
        <v>41628</v>
      </c>
      <c r="K381" s="20">
        <f>Data!K381</f>
        <v>43465</v>
      </c>
      <c r="L381" s="5" t="str">
        <f>Data!L381</f>
        <v>Active</v>
      </c>
      <c r="M381" s="5" t="str">
        <f>Data!M381</f>
        <v>Page (Corporate)</v>
      </c>
      <c r="P381" s="5" t="str">
        <f>Data!P381</f>
        <v>Eligible</v>
      </c>
      <c r="U381" s="5" t="str">
        <f>Data!U381</f>
        <v>Netherlands</v>
      </c>
      <c r="Y381" s="5" t="str">
        <f>Data!Y381</f>
        <v>Europe</v>
      </c>
    </row>
    <row r="382" spans="1:25" x14ac:dyDescent="0.5">
      <c r="A382">
        <f>Data!A382</f>
        <v>20179</v>
      </c>
      <c r="J382" s="20">
        <f>Data!J382</f>
        <v>42338</v>
      </c>
      <c r="K382" s="20">
        <f>Data!K382</f>
        <v>43465</v>
      </c>
      <c r="L382" s="5" t="str">
        <f>Data!L382</f>
        <v>Active</v>
      </c>
      <c r="M382" s="5" t="str">
        <f>Data!M382</f>
        <v>Page (Corporate)</v>
      </c>
      <c r="P382" s="5" t="str">
        <f>Data!P382</f>
        <v>In Staff Review</v>
      </c>
      <c r="U382" s="5" t="str">
        <f>Data!U382</f>
        <v>UNITED STATES</v>
      </c>
      <c r="Y382" s="5" t="str">
        <f>Data!Y382</f>
        <v>United States</v>
      </c>
    </row>
    <row r="383" spans="1:25" x14ac:dyDescent="0.5">
      <c r="A383">
        <f>Data!A383</f>
        <v>20203</v>
      </c>
      <c r="J383" s="20">
        <f>Data!J383</f>
        <v>41698</v>
      </c>
      <c r="K383" s="20">
        <f>Data!K383</f>
        <v>43465</v>
      </c>
      <c r="L383" s="5" t="str">
        <f>Data!L383</f>
        <v>Active</v>
      </c>
      <c r="M383" s="5" t="str">
        <f>Data!M383</f>
        <v>Page (Corporate)</v>
      </c>
      <c r="P383" s="5" t="str">
        <f>Data!P383</f>
        <v>Eligible</v>
      </c>
      <c r="U383" s="5" t="str">
        <f>Data!U383</f>
        <v>UNITED STATES</v>
      </c>
      <c r="Y383" s="5" t="str">
        <f>Data!Y383</f>
        <v>United States</v>
      </c>
    </row>
    <row r="384" spans="1:25" x14ac:dyDescent="0.5">
      <c r="A384">
        <f>Data!A384</f>
        <v>20209</v>
      </c>
      <c r="J384" s="20">
        <f>Data!J384</f>
        <v>42930</v>
      </c>
      <c r="K384" s="20">
        <f>Data!K384</f>
        <v>43465</v>
      </c>
      <c r="L384" s="5" t="str">
        <f>Data!L384</f>
        <v>Active</v>
      </c>
      <c r="M384" s="5" t="str">
        <f>Data!M384</f>
        <v>Page (Corporate)</v>
      </c>
      <c r="P384" s="5" t="str">
        <f>Data!P384</f>
        <v>Eligible</v>
      </c>
      <c r="U384" s="5" t="str">
        <f>Data!U384</f>
        <v>UNITED STATES</v>
      </c>
      <c r="Y384" s="5" t="str">
        <f>Data!Y384</f>
        <v>United States</v>
      </c>
    </row>
    <row r="385" spans="1:25" x14ac:dyDescent="0.5">
      <c r="A385">
        <f>Data!A385</f>
        <v>20211</v>
      </c>
      <c r="J385" s="20">
        <f>Data!J385</f>
        <v>41703</v>
      </c>
      <c r="K385" s="20">
        <f>Data!K385</f>
        <v>43465</v>
      </c>
      <c r="L385" s="5" t="str">
        <f>Data!L385</f>
        <v>Active</v>
      </c>
      <c r="M385" s="5" t="str">
        <f>Data!M385</f>
        <v>Page (Corporate)</v>
      </c>
      <c r="P385" s="5" t="str">
        <f>Data!P385</f>
        <v>Eligible</v>
      </c>
      <c r="U385" s="5" t="str">
        <f>Data!U385</f>
        <v>UNITED STATES</v>
      </c>
      <c r="Y385" s="5" t="str">
        <f>Data!Y385</f>
        <v>United States</v>
      </c>
    </row>
    <row r="386" spans="1:25" x14ac:dyDescent="0.5">
      <c r="A386">
        <f>Data!A386</f>
        <v>20212</v>
      </c>
      <c r="J386" s="20">
        <f>Data!J386</f>
        <v>41701</v>
      </c>
      <c r="K386" s="20">
        <f>Data!K386</f>
        <v>43465</v>
      </c>
      <c r="L386" s="5" t="str">
        <f>Data!L386</f>
        <v>Active</v>
      </c>
      <c r="M386" s="5" t="str">
        <f>Data!M386</f>
        <v>Page (Corporate)</v>
      </c>
      <c r="P386" s="5" t="str">
        <f>Data!P386</f>
        <v>Eligible</v>
      </c>
      <c r="U386" s="5" t="str">
        <f>Data!U386</f>
        <v>UNITED STATES</v>
      </c>
      <c r="Y386" s="5" t="str">
        <f>Data!Y386</f>
        <v>United States</v>
      </c>
    </row>
    <row r="387" spans="1:25" x14ac:dyDescent="0.5">
      <c r="A387">
        <f>Data!A387</f>
        <v>20213</v>
      </c>
      <c r="J387" s="20">
        <f>Data!J387</f>
        <v>41708</v>
      </c>
      <c r="K387" s="20">
        <f>Data!K387</f>
        <v>43465</v>
      </c>
      <c r="L387" s="5" t="str">
        <f>Data!L387</f>
        <v>Active</v>
      </c>
      <c r="M387" s="5" t="str">
        <f>Data!M387</f>
        <v>Page (Corporate)</v>
      </c>
      <c r="P387" s="5" t="str">
        <f>Data!P387</f>
        <v>Eligible</v>
      </c>
      <c r="U387" s="5" t="str">
        <f>Data!U387</f>
        <v>UNITED STATES</v>
      </c>
      <c r="Y387" s="5" t="str">
        <f>Data!Y387</f>
        <v>United States</v>
      </c>
    </row>
    <row r="388" spans="1:25" x14ac:dyDescent="0.5">
      <c r="A388">
        <f>Data!A388</f>
        <v>20225</v>
      </c>
      <c r="J388" s="20">
        <f>Data!J388</f>
        <v>42979</v>
      </c>
      <c r="K388" s="20">
        <f>Data!K388</f>
        <v>43343</v>
      </c>
      <c r="L388" s="5" t="str">
        <f>Data!L388</f>
        <v>Active</v>
      </c>
      <c r="M388" s="5" t="str">
        <f>Data!M388</f>
        <v>Page (Corporate)</v>
      </c>
      <c r="P388" s="5" t="str">
        <f>Data!P388</f>
        <v>Eligible</v>
      </c>
      <c r="U388" s="5" t="str">
        <f>Data!U388</f>
        <v>UNITED STATES</v>
      </c>
      <c r="Y388" s="5" t="str">
        <f>Data!Y388</f>
        <v>United States</v>
      </c>
    </row>
    <row r="389" spans="1:25" x14ac:dyDescent="0.5">
      <c r="A389">
        <f>Data!A389</f>
        <v>20243</v>
      </c>
      <c r="J389" s="20">
        <f>Data!J389</f>
        <v>42485</v>
      </c>
      <c r="K389" s="20">
        <f>Data!K389</f>
        <v>43465</v>
      </c>
      <c r="L389" s="5" t="str">
        <f>Data!L389</f>
        <v>Active</v>
      </c>
      <c r="M389" s="5" t="str">
        <f>Data!M389</f>
        <v>Page (Corporate)</v>
      </c>
      <c r="P389" s="5" t="str">
        <f>Data!P389</f>
        <v>Eligible</v>
      </c>
      <c r="U389" s="5" t="str">
        <f>Data!U389</f>
        <v>Denmark</v>
      </c>
      <c r="Y389" s="5" t="str">
        <f>Data!Y389</f>
        <v>Europe</v>
      </c>
    </row>
    <row r="390" spans="1:25" x14ac:dyDescent="0.5">
      <c r="A390">
        <f>Data!A390</f>
        <v>20260</v>
      </c>
      <c r="J390" s="20">
        <f>Data!J390</f>
        <v>41827</v>
      </c>
      <c r="K390" s="20">
        <f>Data!K390</f>
        <v>43465</v>
      </c>
      <c r="L390" s="5" t="str">
        <f>Data!L390</f>
        <v>Active</v>
      </c>
      <c r="M390" s="5" t="str">
        <f>Data!M390</f>
        <v>Page (Corporate)</v>
      </c>
      <c r="P390" s="5" t="str">
        <f>Data!P390</f>
        <v>Eligible</v>
      </c>
      <c r="U390" s="5" t="str">
        <f>Data!U390</f>
        <v>UNITED STATES</v>
      </c>
      <c r="Y390" s="5" t="str">
        <f>Data!Y390</f>
        <v>United States</v>
      </c>
    </row>
    <row r="391" spans="1:25" x14ac:dyDescent="0.5">
      <c r="A391">
        <f>Data!A391</f>
        <v>20287</v>
      </c>
      <c r="J391" s="20">
        <f>Data!J391</f>
        <v>41747</v>
      </c>
      <c r="K391" s="20">
        <f>Data!K391</f>
        <v>43465</v>
      </c>
      <c r="L391" s="5" t="str">
        <f>Data!L391</f>
        <v>Active</v>
      </c>
      <c r="M391" s="5" t="str">
        <f>Data!M391</f>
        <v>Page (Agency)</v>
      </c>
      <c r="P391" s="5" t="str">
        <f>Data!P391</f>
        <v>Eligible</v>
      </c>
      <c r="U391" s="5" t="str">
        <f>Data!U391</f>
        <v>UNITED STATES</v>
      </c>
      <c r="Y391" s="5" t="str">
        <f>Data!Y391</f>
        <v>United States</v>
      </c>
    </row>
    <row r="392" spans="1:25" x14ac:dyDescent="0.5">
      <c r="A392">
        <f>Data!A392</f>
        <v>20306</v>
      </c>
      <c r="J392" s="20">
        <f>Data!J392</f>
        <v>43180</v>
      </c>
      <c r="K392" s="20">
        <f>Data!K392</f>
        <v>43545</v>
      </c>
      <c r="L392" s="5" t="str">
        <f>Data!L392</f>
        <v>Active</v>
      </c>
      <c r="M392" s="5" t="str">
        <f>Data!M392</f>
        <v>Page (Corporate)</v>
      </c>
      <c r="P392" s="5">
        <f>Data!P392</f>
        <v>0</v>
      </c>
      <c r="U392" s="5" t="str">
        <f>Data!U392</f>
        <v>UNITED STATES</v>
      </c>
      <c r="Y392" s="5" t="str">
        <f>Data!Y392</f>
        <v>United States</v>
      </c>
    </row>
    <row r="393" spans="1:25" x14ac:dyDescent="0.5">
      <c r="A393">
        <f>Data!A393</f>
        <v>20307</v>
      </c>
      <c r="J393" s="20">
        <f>Data!J393</f>
        <v>42382</v>
      </c>
      <c r="K393" s="20">
        <f>Data!K393</f>
        <v>43465</v>
      </c>
      <c r="L393" s="5" t="str">
        <f>Data!L393</f>
        <v>Active</v>
      </c>
      <c r="M393" s="5" t="str">
        <f>Data!M393</f>
        <v>Page (Executive Search)</v>
      </c>
      <c r="P393" s="5">
        <f>Data!P393</f>
        <v>0</v>
      </c>
      <c r="U393" s="5" t="str">
        <f>Data!U393</f>
        <v>UNITED STATES</v>
      </c>
      <c r="Y393" s="5" t="str">
        <f>Data!Y393</f>
        <v>United States</v>
      </c>
    </row>
    <row r="394" spans="1:25" x14ac:dyDescent="0.5">
      <c r="A394">
        <f>Data!A394</f>
        <v>20310</v>
      </c>
      <c r="J394" s="20">
        <f>Data!J394</f>
        <v>41751</v>
      </c>
      <c r="K394" s="20">
        <f>Data!K394</f>
        <v>43465</v>
      </c>
      <c r="L394" s="5" t="str">
        <f>Data!L394</f>
        <v>Active</v>
      </c>
      <c r="M394" s="5" t="str">
        <f>Data!M394</f>
        <v>Page (Corporate)</v>
      </c>
      <c r="P394" s="5" t="str">
        <f>Data!P394</f>
        <v>In Staff Review</v>
      </c>
      <c r="U394" s="5" t="str">
        <f>Data!U394</f>
        <v>UNITED STATES</v>
      </c>
      <c r="Y394" s="5" t="str">
        <f>Data!Y394</f>
        <v>United States</v>
      </c>
    </row>
    <row r="395" spans="1:25" x14ac:dyDescent="0.5">
      <c r="A395">
        <f>Data!A395</f>
        <v>20324</v>
      </c>
      <c r="J395" s="20">
        <f>Data!J395</f>
        <v>43279</v>
      </c>
      <c r="K395" s="20">
        <f>Data!K395</f>
        <v>43644</v>
      </c>
      <c r="L395" s="5" t="str">
        <f>Data!L395</f>
        <v>Active</v>
      </c>
      <c r="M395" s="5" t="str">
        <f>Data!M395</f>
        <v>Page (Corporate)</v>
      </c>
      <c r="P395" s="5" t="str">
        <f>Data!P395</f>
        <v>Eligible</v>
      </c>
      <c r="U395" s="5" t="str">
        <f>Data!U395</f>
        <v>UNITED STATES</v>
      </c>
      <c r="Y395" s="5" t="str">
        <f>Data!Y395</f>
        <v>United States</v>
      </c>
    </row>
    <row r="396" spans="1:25" x14ac:dyDescent="0.5">
      <c r="A396">
        <f>Data!A396</f>
        <v>20334</v>
      </c>
      <c r="J396" s="20">
        <f>Data!J396</f>
        <v>41838</v>
      </c>
      <c r="K396" s="20">
        <f>Data!K396</f>
        <v>43465</v>
      </c>
      <c r="L396" s="5" t="str">
        <f>Data!L396</f>
        <v>Active</v>
      </c>
      <c r="M396" s="5" t="str">
        <f>Data!M396</f>
        <v>Page (Corporate)</v>
      </c>
      <c r="P396" s="5" t="str">
        <f>Data!P396</f>
        <v>Eligible</v>
      </c>
      <c r="U396" s="5" t="str">
        <f>Data!U396</f>
        <v>UNITED STATES</v>
      </c>
      <c r="Y396" s="5" t="str">
        <f>Data!Y396</f>
        <v>United States</v>
      </c>
    </row>
    <row r="397" spans="1:25" x14ac:dyDescent="0.5">
      <c r="A397">
        <f>Data!A397</f>
        <v>20337</v>
      </c>
      <c r="J397" s="20">
        <f>Data!J397</f>
        <v>41750</v>
      </c>
      <c r="K397" s="20">
        <f>Data!K397</f>
        <v>43465</v>
      </c>
      <c r="L397" s="5" t="str">
        <f>Data!L397</f>
        <v>Active</v>
      </c>
      <c r="M397" s="5" t="str">
        <f>Data!M397</f>
        <v>Page (Corporate)</v>
      </c>
      <c r="P397" s="5">
        <f>Data!P397</f>
        <v>0</v>
      </c>
      <c r="U397" s="5" t="str">
        <f>Data!U397</f>
        <v>UNITED STATES</v>
      </c>
      <c r="Y397" s="5" t="str">
        <f>Data!Y397</f>
        <v>United States</v>
      </c>
    </row>
    <row r="398" spans="1:25" x14ac:dyDescent="0.5">
      <c r="A398">
        <f>Data!A398</f>
        <v>20338</v>
      </c>
      <c r="J398" s="20">
        <f>Data!J398</f>
        <v>41781</v>
      </c>
      <c r="K398" s="20">
        <f>Data!K398</f>
        <v>43465</v>
      </c>
      <c r="L398" s="5" t="str">
        <f>Data!L398</f>
        <v>Active</v>
      </c>
      <c r="M398" s="5" t="str">
        <f>Data!M398</f>
        <v>Page (Corporate)</v>
      </c>
      <c r="P398" s="5">
        <f>Data!P398</f>
        <v>0</v>
      </c>
      <c r="U398" s="5" t="str">
        <f>Data!U398</f>
        <v>UNITED STATES</v>
      </c>
      <c r="Y398" s="5" t="str">
        <f>Data!Y398</f>
        <v>United States</v>
      </c>
    </row>
    <row r="399" spans="1:25" x14ac:dyDescent="0.5">
      <c r="A399">
        <f>Data!A399</f>
        <v>20339</v>
      </c>
      <c r="J399" s="20">
        <f>Data!J399</f>
        <v>41745</v>
      </c>
      <c r="K399" s="20">
        <f>Data!K399</f>
        <v>43465</v>
      </c>
      <c r="L399" s="5" t="str">
        <f>Data!L399</f>
        <v>Active</v>
      </c>
      <c r="M399" s="5" t="str">
        <f>Data!M399</f>
        <v>Page (Corporate)</v>
      </c>
      <c r="P399" s="5" t="str">
        <f>Data!P399</f>
        <v>Eligible</v>
      </c>
      <c r="U399" s="5" t="str">
        <f>Data!U399</f>
        <v>United Kingdom</v>
      </c>
      <c r="Y399" s="5" t="str">
        <f>Data!Y399</f>
        <v>Europe</v>
      </c>
    </row>
    <row r="400" spans="1:25" x14ac:dyDescent="0.5">
      <c r="A400">
        <f>Data!A400</f>
        <v>20342</v>
      </c>
      <c r="J400" s="20">
        <f>Data!J400</f>
        <v>41751</v>
      </c>
      <c r="K400" s="20">
        <f>Data!K400</f>
        <v>43465</v>
      </c>
      <c r="L400" s="5" t="str">
        <f>Data!L400</f>
        <v>Active</v>
      </c>
      <c r="M400" s="5" t="str">
        <f>Data!M400</f>
        <v>Page (Corporate)</v>
      </c>
      <c r="P400" s="5" t="str">
        <f>Data!P400</f>
        <v>Eligible</v>
      </c>
      <c r="U400" s="5" t="str">
        <f>Data!U400</f>
        <v>United Kingdom</v>
      </c>
      <c r="Y400" s="5" t="str">
        <f>Data!Y400</f>
        <v>Europe</v>
      </c>
    </row>
    <row r="401" spans="1:25" x14ac:dyDescent="0.5">
      <c r="A401">
        <f>Data!A401</f>
        <v>20343</v>
      </c>
      <c r="J401" s="20">
        <f>Data!J401</f>
        <v>41743</v>
      </c>
      <c r="K401" s="20">
        <f>Data!K401</f>
        <v>43465</v>
      </c>
      <c r="L401" s="5" t="str">
        <f>Data!L401</f>
        <v>Active</v>
      </c>
      <c r="M401" s="5" t="str">
        <f>Data!M401</f>
        <v>Page (Agency)</v>
      </c>
      <c r="P401" s="5" t="str">
        <f>Data!P401</f>
        <v>BOT_Grace</v>
      </c>
      <c r="U401" s="5" t="str">
        <f>Data!U401</f>
        <v>UNITED STATES</v>
      </c>
      <c r="Y401" s="5" t="str">
        <f>Data!Y401</f>
        <v>United States</v>
      </c>
    </row>
    <row r="402" spans="1:25" x14ac:dyDescent="0.5">
      <c r="A402">
        <f>Data!A402</f>
        <v>20344</v>
      </c>
      <c r="J402" s="20">
        <f>Data!J402</f>
        <v>41752</v>
      </c>
      <c r="K402" s="20">
        <f>Data!K402</f>
        <v>43465</v>
      </c>
      <c r="L402" s="5" t="str">
        <f>Data!L402</f>
        <v>Active</v>
      </c>
      <c r="M402" s="5" t="str">
        <f>Data!M402</f>
        <v>Page (Corporate)</v>
      </c>
      <c r="P402" s="5" t="str">
        <f>Data!P402</f>
        <v>Eligible</v>
      </c>
      <c r="U402" s="5" t="str">
        <f>Data!U402</f>
        <v>UNITED STATES</v>
      </c>
      <c r="Y402" s="5" t="str">
        <f>Data!Y402</f>
        <v>United States</v>
      </c>
    </row>
    <row r="403" spans="1:25" x14ac:dyDescent="0.5">
      <c r="A403">
        <f>Data!A403</f>
        <v>20345</v>
      </c>
      <c r="J403" s="20">
        <f>Data!J403</f>
        <v>41745</v>
      </c>
      <c r="K403" s="20">
        <f>Data!K403</f>
        <v>43465</v>
      </c>
      <c r="L403" s="5" t="str">
        <f>Data!L403</f>
        <v>Active</v>
      </c>
      <c r="M403" s="5" t="str">
        <f>Data!M403</f>
        <v>Page (Non-Profit)</v>
      </c>
      <c r="P403" s="5" t="str">
        <f>Data!P403</f>
        <v>Eligible</v>
      </c>
      <c r="U403" s="5" t="str">
        <f>Data!U403</f>
        <v>UNITED STATES</v>
      </c>
      <c r="Y403" s="5" t="str">
        <f>Data!Y403</f>
        <v>United States</v>
      </c>
    </row>
    <row r="404" spans="1:25" x14ac:dyDescent="0.5">
      <c r="A404">
        <f>Data!A404</f>
        <v>20403</v>
      </c>
      <c r="J404" s="20">
        <f>Data!J404</f>
        <v>41874</v>
      </c>
      <c r="K404" s="20">
        <f>Data!K404</f>
        <v>43465</v>
      </c>
      <c r="L404" s="5" t="str">
        <f>Data!L404</f>
        <v>Active</v>
      </c>
      <c r="M404" s="5" t="str">
        <f>Data!M404</f>
        <v>Page (Educator)</v>
      </c>
      <c r="P404" s="5" t="str">
        <f>Data!P404</f>
        <v>Eligible</v>
      </c>
      <c r="U404" s="5" t="str">
        <f>Data!U404</f>
        <v>UNITED STATES</v>
      </c>
      <c r="Y404" s="5" t="str">
        <f>Data!Y404</f>
        <v>United States</v>
      </c>
    </row>
    <row r="405" spans="1:25" x14ac:dyDescent="0.5">
      <c r="A405">
        <f>Data!A405</f>
        <v>20404</v>
      </c>
      <c r="J405" s="20">
        <f>Data!J405</f>
        <v>41827</v>
      </c>
      <c r="K405" s="20">
        <f>Data!K405</f>
        <v>43465</v>
      </c>
      <c r="L405" s="5" t="str">
        <f>Data!L405</f>
        <v>Active</v>
      </c>
      <c r="M405" s="5" t="str">
        <f>Data!M405</f>
        <v>Page (Educator)</v>
      </c>
      <c r="P405" s="5" t="str">
        <f>Data!P405</f>
        <v>Eligible</v>
      </c>
      <c r="U405" s="5" t="str">
        <f>Data!U405</f>
        <v>UNITED STATES</v>
      </c>
      <c r="Y405" s="5" t="str">
        <f>Data!Y405</f>
        <v>United States</v>
      </c>
    </row>
    <row r="406" spans="1:25" x14ac:dyDescent="0.5">
      <c r="A406">
        <f>Data!A406</f>
        <v>20405</v>
      </c>
      <c r="J406" s="20">
        <f>Data!J406</f>
        <v>41866</v>
      </c>
      <c r="K406" s="20">
        <f>Data!K406</f>
        <v>43465</v>
      </c>
      <c r="L406" s="5" t="str">
        <f>Data!L406</f>
        <v>Active</v>
      </c>
      <c r="M406" s="5" t="str">
        <f>Data!M406</f>
        <v>Page (Educator)</v>
      </c>
      <c r="P406" s="5" t="str">
        <f>Data!P406</f>
        <v>Eligible</v>
      </c>
      <c r="U406" s="5" t="str">
        <f>Data!U406</f>
        <v>UNITED STATES</v>
      </c>
      <c r="Y406" s="5" t="str">
        <f>Data!Y406</f>
        <v>United States</v>
      </c>
    </row>
    <row r="407" spans="1:25" x14ac:dyDescent="0.5">
      <c r="A407">
        <f>Data!A407</f>
        <v>20406</v>
      </c>
      <c r="J407" s="20">
        <f>Data!J407</f>
        <v>41827</v>
      </c>
      <c r="K407" s="20">
        <f>Data!K407</f>
        <v>43465</v>
      </c>
      <c r="L407" s="5" t="str">
        <f>Data!L407</f>
        <v>Active</v>
      </c>
      <c r="M407" s="5" t="str">
        <f>Data!M407</f>
        <v>Page (Educator)</v>
      </c>
      <c r="P407" s="5" t="str">
        <f>Data!P407</f>
        <v>Eligible</v>
      </c>
      <c r="U407" s="5" t="str">
        <f>Data!U407</f>
        <v>UNITED STATES</v>
      </c>
      <c r="Y407" s="5" t="str">
        <f>Data!Y407</f>
        <v>United States</v>
      </c>
    </row>
    <row r="408" spans="1:25" x14ac:dyDescent="0.5">
      <c r="A408">
        <f>Data!A408</f>
        <v>20413</v>
      </c>
      <c r="J408" s="20">
        <f>Data!J408</f>
        <v>41829</v>
      </c>
      <c r="K408" s="20">
        <f>Data!K408</f>
        <v>43465</v>
      </c>
      <c r="L408" s="5" t="str">
        <f>Data!L408</f>
        <v>Active</v>
      </c>
      <c r="M408" s="5" t="str">
        <f>Data!M408</f>
        <v>Page (Corporate)</v>
      </c>
      <c r="P408" s="5" t="str">
        <f>Data!P408</f>
        <v>Eligible</v>
      </c>
      <c r="U408" s="5" t="str">
        <f>Data!U408</f>
        <v>UNITED STATES</v>
      </c>
      <c r="Y408" s="5" t="str">
        <f>Data!Y408</f>
        <v>United States</v>
      </c>
    </row>
    <row r="409" spans="1:25" x14ac:dyDescent="0.5">
      <c r="A409">
        <f>Data!A409</f>
        <v>20419</v>
      </c>
      <c r="J409" s="20">
        <f>Data!J409</f>
        <v>41821</v>
      </c>
      <c r="K409" s="20">
        <f>Data!K409</f>
        <v>43465</v>
      </c>
      <c r="L409" s="5" t="str">
        <f>Data!L409</f>
        <v>Active</v>
      </c>
      <c r="M409" s="5" t="str">
        <f>Data!M409</f>
        <v>Page (Corporate)</v>
      </c>
      <c r="P409" s="5" t="str">
        <f>Data!P409</f>
        <v>Eligible</v>
      </c>
      <c r="U409" s="5" t="str">
        <f>Data!U409</f>
        <v>Germany</v>
      </c>
      <c r="Y409" s="5" t="str">
        <f>Data!Y409</f>
        <v>Europe</v>
      </c>
    </row>
    <row r="410" spans="1:25" x14ac:dyDescent="0.5">
      <c r="A410">
        <f>Data!A410</f>
        <v>20424</v>
      </c>
      <c r="J410" s="20">
        <f>Data!J410</f>
        <v>41834</v>
      </c>
      <c r="K410" s="20">
        <f>Data!K410</f>
        <v>43465</v>
      </c>
      <c r="L410" s="5" t="str">
        <f>Data!L410</f>
        <v>Active</v>
      </c>
      <c r="M410" s="5" t="str">
        <f>Data!M410</f>
        <v>Page (Corporate)</v>
      </c>
      <c r="P410" s="5" t="str">
        <f>Data!P410</f>
        <v>Eligible</v>
      </c>
      <c r="U410" s="5" t="str">
        <f>Data!U410</f>
        <v>UNITED STATES</v>
      </c>
      <c r="Y410" s="5" t="str">
        <f>Data!Y410</f>
        <v>United States</v>
      </c>
    </row>
    <row r="411" spans="1:25" x14ac:dyDescent="0.5">
      <c r="A411">
        <f>Data!A411</f>
        <v>20426</v>
      </c>
      <c r="J411" s="20">
        <f>Data!J411</f>
        <v>41815</v>
      </c>
      <c r="K411" s="20">
        <f>Data!K411</f>
        <v>43465</v>
      </c>
      <c r="L411" s="5" t="str">
        <f>Data!L411</f>
        <v>Active</v>
      </c>
      <c r="M411" s="5" t="str">
        <f>Data!M411</f>
        <v>Page (Corporate)</v>
      </c>
      <c r="P411" s="5" t="str">
        <f>Data!P411</f>
        <v>Eligible</v>
      </c>
      <c r="U411" s="5" t="str">
        <f>Data!U411</f>
        <v>UNITED STATES</v>
      </c>
      <c r="Y411" s="5" t="str">
        <f>Data!Y411</f>
        <v>United States</v>
      </c>
    </row>
    <row r="412" spans="1:25" x14ac:dyDescent="0.5">
      <c r="A412">
        <f>Data!A412</f>
        <v>20427</v>
      </c>
      <c r="J412" s="20">
        <f>Data!J412</f>
        <v>41877</v>
      </c>
      <c r="K412" s="20">
        <f>Data!K412</f>
        <v>43830</v>
      </c>
      <c r="L412" s="5" t="str">
        <f>Data!L412</f>
        <v>Active</v>
      </c>
      <c r="M412" s="5" t="str">
        <f>Data!M412</f>
        <v>Page (Corporate)</v>
      </c>
      <c r="P412" s="5" t="str">
        <f>Data!P412</f>
        <v>Eligible</v>
      </c>
      <c r="U412" s="5" t="str">
        <f>Data!U412</f>
        <v>United Kingdom</v>
      </c>
      <c r="Y412" s="5" t="str">
        <f>Data!Y412</f>
        <v>Europe</v>
      </c>
    </row>
    <row r="413" spans="1:25" x14ac:dyDescent="0.5">
      <c r="A413">
        <f>Data!A413</f>
        <v>20429</v>
      </c>
      <c r="J413" s="20">
        <f>Data!J413</f>
        <v>41820</v>
      </c>
      <c r="K413" s="20">
        <f>Data!K413</f>
        <v>43465</v>
      </c>
      <c r="L413" s="5" t="str">
        <f>Data!L413</f>
        <v>Active</v>
      </c>
      <c r="M413" s="5" t="str">
        <f>Data!M413</f>
        <v>Page (Corporate)</v>
      </c>
      <c r="P413" s="5" t="str">
        <f>Data!P413</f>
        <v>Eligible</v>
      </c>
      <c r="U413" s="5" t="str">
        <f>Data!U413</f>
        <v>Switzerland</v>
      </c>
      <c r="Y413" s="5" t="str">
        <f>Data!Y413</f>
        <v>Europe</v>
      </c>
    </row>
    <row r="414" spans="1:25" x14ac:dyDescent="0.5">
      <c r="A414">
        <f>Data!A414</f>
        <v>20437</v>
      </c>
      <c r="J414" s="20">
        <f>Data!J414</f>
        <v>41879</v>
      </c>
      <c r="K414" s="20">
        <f>Data!K414</f>
        <v>43465</v>
      </c>
      <c r="L414" s="5" t="str">
        <f>Data!L414</f>
        <v>Active</v>
      </c>
      <c r="M414" s="5" t="str">
        <f>Data!M414</f>
        <v>Page (Corporate)</v>
      </c>
      <c r="P414" s="5" t="str">
        <f>Data!P414</f>
        <v>Eligible</v>
      </c>
      <c r="U414" s="5" t="str">
        <f>Data!U414</f>
        <v>UNITED STATES</v>
      </c>
      <c r="Y414" s="5" t="str">
        <f>Data!Y414</f>
        <v>United States</v>
      </c>
    </row>
    <row r="415" spans="1:25" x14ac:dyDescent="0.5">
      <c r="A415">
        <f>Data!A415</f>
        <v>20441</v>
      </c>
      <c r="J415" s="20">
        <f>Data!J415</f>
        <v>42487</v>
      </c>
      <c r="K415" s="20">
        <f>Data!K415</f>
        <v>43465</v>
      </c>
      <c r="L415" s="5" t="str">
        <f>Data!L415</f>
        <v>Active</v>
      </c>
      <c r="M415" s="5" t="str">
        <f>Data!M415</f>
        <v>Page (Corporate)</v>
      </c>
      <c r="P415" s="5" t="str">
        <f>Data!P415</f>
        <v>Eligible</v>
      </c>
      <c r="U415" s="5" t="str">
        <f>Data!U415</f>
        <v>UNITED STATES</v>
      </c>
      <c r="Y415" s="5" t="str">
        <f>Data!Y415</f>
        <v>United States</v>
      </c>
    </row>
    <row r="416" spans="1:25" x14ac:dyDescent="0.5">
      <c r="A416">
        <f>Data!A416</f>
        <v>20442</v>
      </c>
      <c r="J416" s="20">
        <f>Data!J416</f>
        <v>43185</v>
      </c>
      <c r="K416" s="20">
        <f>Data!K416</f>
        <v>43550</v>
      </c>
      <c r="L416" s="5" t="str">
        <f>Data!L416</f>
        <v>Active</v>
      </c>
      <c r="M416" s="5" t="str">
        <f>Data!M416</f>
        <v>Page (Educator)</v>
      </c>
      <c r="P416" s="5">
        <f>Data!P416</f>
        <v>0</v>
      </c>
      <c r="U416" s="5" t="str">
        <f>Data!U416</f>
        <v>UNITED STATES</v>
      </c>
      <c r="Y416" s="5" t="str">
        <f>Data!Y416</f>
        <v>United States</v>
      </c>
    </row>
    <row r="417" spans="1:25" x14ac:dyDescent="0.5">
      <c r="A417">
        <f>Data!A417</f>
        <v>20455</v>
      </c>
      <c r="J417" s="20">
        <f>Data!J417</f>
        <v>41893</v>
      </c>
      <c r="K417" s="20">
        <f>Data!K417</f>
        <v>43465</v>
      </c>
      <c r="L417" s="5" t="str">
        <f>Data!L417</f>
        <v>Active</v>
      </c>
      <c r="M417" s="5" t="str">
        <f>Data!M417</f>
        <v>Page (Corporate)</v>
      </c>
      <c r="P417" s="5" t="str">
        <f>Data!P417</f>
        <v>Eligible</v>
      </c>
      <c r="U417" s="5" t="str">
        <f>Data!U417</f>
        <v>UNITED STATES</v>
      </c>
      <c r="Y417" s="5" t="str">
        <f>Data!Y417</f>
        <v>United States</v>
      </c>
    </row>
    <row r="418" spans="1:25" x14ac:dyDescent="0.5">
      <c r="A418">
        <f>Data!A418</f>
        <v>20473</v>
      </c>
      <c r="J418" s="20">
        <f>Data!J418</f>
        <v>41958</v>
      </c>
      <c r="K418" s="20">
        <f>Data!K418</f>
        <v>43465</v>
      </c>
      <c r="L418" s="5" t="str">
        <f>Data!L418</f>
        <v>Active</v>
      </c>
      <c r="M418" s="5" t="str">
        <f>Data!M418</f>
        <v>Page (Non-Profit)</v>
      </c>
      <c r="P418" s="5" t="str">
        <f>Data!P418</f>
        <v>Eligible</v>
      </c>
      <c r="U418" s="5" t="str">
        <f>Data!U418</f>
        <v>UNITED STATES</v>
      </c>
      <c r="Y418" s="5" t="str">
        <f>Data!Y418</f>
        <v>United States</v>
      </c>
    </row>
    <row r="419" spans="1:25" x14ac:dyDescent="0.5">
      <c r="A419">
        <f>Data!A419</f>
        <v>20474</v>
      </c>
      <c r="J419" s="20">
        <f>Data!J419</f>
        <v>41957</v>
      </c>
      <c r="K419" s="20">
        <f>Data!K419</f>
        <v>43465</v>
      </c>
      <c r="L419" s="5" t="str">
        <f>Data!L419</f>
        <v>Active</v>
      </c>
      <c r="M419" s="5" t="str">
        <f>Data!M419</f>
        <v>Page (Educator)</v>
      </c>
      <c r="P419" s="5" t="str">
        <f>Data!P419</f>
        <v>Eligible</v>
      </c>
      <c r="U419" s="5" t="str">
        <f>Data!U419</f>
        <v>UNITED STATES</v>
      </c>
      <c r="Y419" s="5" t="str">
        <f>Data!Y419</f>
        <v>United States</v>
      </c>
    </row>
    <row r="420" spans="1:25" x14ac:dyDescent="0.5">
      <c r="A420">
        <f>Data!A420</f>
        <v>20483</v>
      </c>
      <c r="J420" s="20">
        <f>Data!J420</f>
        <v>41870</v>
      </c>
      <c r="K420" s="20">
        <f>Data!K420</f>
        <v>43465</v>
      </c>
      <c r="L420" s="5" t="str">
        <f>Data!L420</f>
        <v>Active</v>
      </c>
      <c r="M420" s="5" t="str">
        <f>Data!M420</f>
        <v>Page (Corporate)</v>
      </c>
      <c r="P420" s="5" t="str">
        <f>Data!P420</f>
        <v>Eligible</v>
      </c>
      <c r="U420" s="5" t="str">
        <f>Data!U420</f>
        <v>UNITED STATES</v>
      </c>
      <c r="Y420" s="5" t="str">
        <f>Data!Y420</f>
        <v>United States</v>
      </c>
    </row>
    <row r="421" spans="1:25" x14ac:dyDescent="0.5">
      <c r="A421">
        <f>Data!A421</f>
        <v>20491</v>
      </c>
      <c r="J421" s="20">
        <f>Data!J421</f>
        <v>41890</v>
      </c>
      <c r="K421" s="20">
        <f>Data!K421</f>
        <v>43465</v>
      </c>
      <c r="L421" s="5" t="str">
        <f>Data!L421</f>
        <v>Active</v>
      </c>
      <c r="M421" s="5" t="str">
        <f>Data!M421</f>
        <v>Page (Corporate)</v>
      </c>
      <c r="P421" s="5">
        <f>Data!P421</f>
        <v>0</v>
      </c>
      <c r="U421" s="5" t="str">
        <f>Data!U421</f>
        <v>UNITED STATES</v>
      </c>
      <c r="Y421" s="5" t="str">
        <f>Data!Y421</f>
        <v>United States</v>
      </c>
    </row>
    <row r="422" spans="1:25" x14ac:dyDescent="0.5">
      <c r="A422">
        <f>Data!A422</f>
        <v>20494</v>
      </c>
      <c r="J422" s="20">
        <f>Data!J422</f>
        <v>41904</v>
      </c>
      <c r="K422" s="20">
        <f>Data!K422</f>
        <v>43465</v>
      </c>
      <c r="L422" s="5" t="str">
        <f>Data!L422</f>
        <v>Active</v>
      </c>
      <c r="M422" s="5" t="str">
        <f>Data!M422</f>
        <v>Page (Corporate)</v>
      </c>
      <c r="P422" s="5" t="str">
        <f>Data!P422</f>
        <v>Eligible</v>
      </c>
      <c r="U422" s="5" t="str">
        <f>Data!U422</f>
        <v>UNITED STATES</v>
      </c>
      <c r="Y422" s="5" t="str">
        <f>Data!Y422</f>
        <v>United States</v>
      </c>
    </row>
    <row r="423" spans="1:25" x14ac:dyDescent="0.5">
      <c r="A423">
        <f>Data!A423</f>
        <v>20496</v>
      </c>
      <c r="J423" s="20">
        <f>Data!J423</f>
        <v>41886</v>
      </c>
      <c r="K423" s="20">
        <f>Data!K423</f>
        <v>43465</v>
      </c>
      <c r="L423" s="5" t="str">
        <f>Data!L423</f>
        <v>Active</v>
      </c>
      <c r="M423" s="5" t="str">
        <f>Data!M423</f>
        <v>Page (Corporate)</v>
      </c>
      <c r="P423" s="5" t="str">
        <f>Data!P423</f>
        <v>Eligible</v>
      </c>
      <c r="U423" s="5" t="str">
        <f>Data!U423</f>
        <v>UNITED STATES</v>
      </c>
      <c r="Y423" s="5" t="str">
        <f>Data!Y423</f>
        <v>United States</v>
      </c>
    </row>
    <row r="424" spans="1:25" x14ac:dyDescent="0.5">
      <c r="A424">
        <f>Data!A424</f>
        <v>20497</v>
      </c>
      <c r="J424" s="20">
        <f>Data!J424</f>
        <v>41960</v>
      </c>
      <c r="K424" s="20">
        <f>Data!K424</f>
        <v>43465</v>
      </c>
      <c r="L424" s="5" t="str">
        <f>Data!L424</f>
        <v>Active</v>
      </c>
      <c r="M424" s="5" t="str">
        <f>Data!M424</f>
        <v>Page (Corporate)</v>
      </c>
      <c r="P424" s="5">
        <f>Data!P424</f>
        <v>0</v>
      </c>
      <c r="U424" s="5" t="str">
        <f>Data!U424</f>
        <v>UNITED STATES</v>
      </c>
      <c r="Y424" s="5" t="str">
        <f>Data!Y424</f>
        <v>United States</v>
      </c>
    </row>
    <row r="425" spans="1:25" x14ac:dyDescent="0.5">
      <c r="A425">
        <f>Data!A425</f>
        <v>20499</v>
      </c>
      <c r="J425" s="20">
        <f>Data!J425</f>
        <v>41879</v>
      </c>
      <c r="K425" s="20">
        <f>Data!K425</f>
        <v>43465</v>
      </c>
      <c r="L425" s="5" t="str">
        <f>Data!L425</f>
        <v>Active</v>
      </c>
      <c r="M425" s="5" t="str">
        <f>Data!M425</f>
        <v>Page (Non-Profit)</v>
      </c>
      <c r="P425" s="5" t="str">
        <f>Data!P425</f>
        <v>Eligible</v>
      </c>
      <c r="U425" s="5" t="str">
        <f>Data!U425</f>
        <v>UNITED STATES</v>
      </c>
      <c r="Y425" s="5" t="str">
        <f>Data!Y425</f>
        <v>United States</v>
      </c>
    </row>
    <row r="426" spans="1:25" x14ac:dyDescent="0.5">
      <c r="A426">
        <f>Data!A426</f>
        <v>20501</v>
      </c>
      <c r="J426" s="20">
        <f>Data!J426</f>
        <v>42488</v>
      </c>
      <c r="K426" s="20">
        <f>Data!K426</f>
        <v>43465</v>
      </c>
      <c r="L426" s="5" t="str">
        <f>Data!L426</f>
        <v>Active</v>
      </c>
      <c r="M426" s="5" t="str">
        <f>Data!M426</f>
        <v>Page (Corporate)</v>
      </c>
      <c r="P426" s="5" t="str">
        <f>Data!P426</f>
        <v>Eligible</v>
      </c>
      <c r="U426" s="5" t="str">
        <f>Data!U426</f>
        <v>UNITED STATES</v>
      </c>
      <c r="Y426" s="5" t="str">
        <f>Data!Y426</f>
        <v>United States</v>
      </c>
    </row>
    <row r="427" spans="1:25" x14ac:dyDescent="0.5">
      <c r="A427">
        <f>Data!A427</f>
        <v>20502</v>
      </c>
      <c r="J427" s="20">
        <f>Data!J427</f>
        <v>41876</v>
      </c>
      <c r="K427" s="20">
        <f>Data!K427</f>
        <v>43465</v>
      </c>
      <c r="L427" s="5" t="str">
        <f>Data!L427</f>
        <v>Active</v>
      </c>
      <c r="M427" s="5" t="str">
        <f>Data!M427</f>
        <v>Page (Agency)</v>
      </c>
      <c r="P427" s="5" t="str">
        <f>Data!P427</f>
        <v>Eligible</v>
      </c>
      <c r="U427" s="5" t="str">
        <f>Data!U427</f>
        <v>UNITED STATES</v>
      </c>
      <c r="Y427" s="5" t="str">
        <f>Data!Y427</f>
        <v>United States</v>
      </c>
    </row>
    <row r="428" spans="1:25" x14ac:dyDescent="0.5">
      <c r="A428">
        <f>Data!A428</f>
        <v>20525</v>
      </c>
      <c r="J428" s="20">
        <f>Data!J428</f>
        <v>41929</v>
      </c>
      <c r="K428" s="20">
        <f>Data!K428</f>
        <v>43465</v>
      </c>
      <c r="L428" s="5" t="str">
        <f>Data!L428</f>
        <v>Active</v>
      </c>
      <c r="M428" s="5" t="str">
        <f>Data!M428</f>
        <v>Page (Corporate)</v>
      </c>
      <c r="P428" s="5" t="str">
        <f>Data!P428</f>
        <v>Eligible</v>
      </c>
      <c r="U428" s="5" t="str">
        <f>Data!U428</f>
        <v>UNITED STATES</v>
      </c>
      <c r="Y428" s="5" t="str">
        <f>Data!Y428</f>
        <v>United States</v>
      </c>
    </row>
    <row r="429" spans="1:25" x14ac:dyDescent="0.5">
      <c r="A429">
        <f>Data!A429</f>
        <v>20555</v>
      </c>
      <c r="J429" s="20">
        <f>Data!J429</f>
        <v>41960</v>
      </c>
      <c r="K429" s="20">
        <f>Data!K429</f>
        <v>43465</v>
      </c>
      <c r="L429" s="5" t="str">
        <f>Data!L429</f>
        <v>Active</v>
      </c>
      <c r="M429" s="5" t="str">
        <f>Data!M429</f>
        <v>Page (Corporate)</v>
      </c>
      <c r="P429" s="5" t="str">
        <f>Data!P429</f>
        <v>Eligible</v>
      </c>
      <c r="U429" s="5" t="str">
        <f>Data!U429</f>
        <v>UNITED STATES</v>
      </c>
      <c r="Y429" s="5" t="str">
        <f>Data!Y429</f>
        <v>United States</v>
      </c>
    </row>
    <row r="430" spans="1:25" x14ac:dyDescent="0.5">
      <c r="A430">
        <f>Data!A430</f>
        <v>20556</v>
      </c>
      <c r="J430" s="20">
        <f>Data!J430</f>
        <v>41975</v>
      </c>
      <c r="K430" s="20">
        <f>Data!K430</f>
        <v>43465</v>
      </c>
      <c r="L430" s="5" t="str">
        <f>Data!L430</f>
        <v>Active</v>
      </c>
      <c r="M430" s="5" t="str">
        <f>Data!M430</f>
        <v>Page (Corporate)</v>
      </c>
      <c r="P430" s="5" t="str">
        <f>Data!P430</f>
        <v>Eligible</v>
      </c>
      <c r="U430" s="5" t="str">
        <f>Data!U430</f>
        <v>Australia</v>
      </c>
      <c r="Y430" s="5" t="str">
        <f>Data!Y430</f>
        <v>Australia/NZ</v>
      </c>
    </row>
    <row r="431" spans="1:25" x14ac:dyDescent="0.5">
      <c r="A431">
        <f>Data!A431</f>
        <v>20558</v>
      </c>
      <c r="J431" s="20">
        <f>Data!J431</f>
        <v>41960</v>
      </c>
      <c r="K431" s="20">
        <f>Data!K431</f>
        <v>43465</v>
      </c>
      <c r="L431" s="5" t="str">
        <f>Data!L431</f>
        <v>Active</v>
      </c>
      <c r="M431" s="5" t="str">
        <f>Data!M431</f>
        <v>Page (Corporate)</v>
      </c>
      <c r="P431" s="5">
        <f>Data!P431</f>
        <v>0</v>
      </c>
      <c r="U431" s="5" t="str">
        <f>Data!U431</f>
        <v>UNITED STATES</v>
      </c>
      <c r="Y431" s="5" t="str">
        <f>Data!Y431</f>
        <v>United States</v>
      </c>
    </row>
    <row r="432" spans="1:25" x14ac:dyDescent="0.5">
      <c r="A432">
        <f>Data!A432</f>
        <v>20559</v>
      </c>
      <c r="J432" s="20">
        <f>Data!J432</f>
        <v>41960</v>
      </c>
      <c r="K432" s="20">
        <f>Data!K432</f>
        <v>43465</v>
      </c>
      <c r="L432" s="5" t="str">
        <f>Data!L432</f>
        <v>Active</v>
      </c>
      <c r="M432" s="5" t="str">
        <f>Data!M432</f>
        <v>Page (Corporate)</v>
      </c>
      <c r="P432" s="5" t="str">
        <f>Data!P432</f>
        <v>Eligible</v>
      </c>
      <c r="U432" s="5" t="str">
        <f>Data!U432</f>
        <v>UNITED STATES</v>
      </c>
      <c r="Y432" s="5" t="str">
        <f>Data!Y432</f>
        <v>United States</v>
      </c>
    </row>
    <row r="433" spans="1:25" x14ac:dyDescent="0.5">
      <c r="A433">
        <f>Data!A433</f>
        <v>20560</v>
      </c>
      <c r="J433" s="20">
        <f>Data!J433</f>
        <v>41962</v>
      </c>
      <c r="K433" s="20">
        <f>Data!K433</f>
        <v>43465</v>
      </c>
      <c r="L433" s="5" t="str">
        <f>Data!L433</f>
        <v>Active</v>
      </c>
      <c r="M433" s="5" t="str">
        <f>Data!M433</f>
        <v>Page (Corporate)</v>
      </c>
      <c r="P433" s="5" t="str">
        <f>Data!P433</f>
        <v>Non-Qualified</v>
      </c>
      <c r="U433" s="5" t="str">
        <f>Data!U433</f>
        <v>UNITED STATES</v>
      </c>
      <c r="Y433" s="5" t="str">
        <f>Data!Y433</f>
        <v>United States</v>
      </c>
    </row>
    <row r="434" spans="1:25" x14ac:dyDescent="0.5">
      <c r="A434">
        <f>Data!A434</f>
        <v>20563</v>
      </c>
      <c r="J434" s="20">
        <f>Data!J434</f>
        <v>42026</v>
      </c>
      <c r="K434" s="20">
        <f>Data!K434</f>
        <v>43465</v>
      </c>
      <c r="L434" s="5" t="str">
        <f>Data!L434</f>
        <v>Active</v>
      </c>
      <c r="M434" s="5" t="str">
        <f>Data!M434</f>
        <v>Page (Corporate)</v>
      </c>
      <c r="P434" s="5" t="str">
        <f>Data!P434</f>
        <v>Eligible</v>
      </c>
      <c r="U434" s="5" t="str">
        <f>Data!U434</f>
        <v>UNITED STATES</v>
      </c>
      <c r="Y434" s="5" t="str">
        <f>Data!Y434</f>
        <v>United States</v>
      </c>
    </row>
    <row r="435" spans="1:25" x14ac:dyDescent="0.5">
      <c r="A435">
        <f>Data!A435</f>
        <v>20565</v>
      </c>
      <c r="J435" s="20">
        <f>Data!J435</f>
        <v>41988</v>
      </c>
      <c r="K435" s="20">
        <f>Data!K435</f>
        <v>43465</v>
      </c>
      <c r="L435" s="5" t="str">
        <f>Data!L435</f>
        <v>Active</v>
      </c>
      <c r="M435" s="5" t="str">
        <f>Data!M435</f>
        <v>Page (Educator)</v>
      </c>
      <c r="P435" s="5" t="str">
        <f>Data!P435</f>
        <v>Eligible</v>
      </c>
      <c r="U435" s="5" t="str">
        <f>Data!U435</f>
        <v>UNITED STATES</v>
      </c>
      <c r="Y435" s="5" t="str">
        <f>Data!Y435</f>
        <v>United States</v>
      </c>
    </row>
    <row r="436" spans="1:25" x14ac:dyDescent="0.5">
      <c r="A436">
        <f>Data!A436</f>
        <v>20566</v>
      </c>
      <c r="J436" s="20">
        <f>Data!J436</f>
        <v>41976</v>
      </c>
      <c r="K436" s="20">
        <f>Data!K436</f>
        <v>43465</v>
      </c>
      <c r="L436" s="5" t="str">
        <f>Data!L436</f>
        <v>Active</v>
      </c>
      <c r="M436" s="5" t="str">
        <f>Data!M436</f>
        <v>Page (Corporate)</v>
      </c>
      <c r="P436" s="5" t="str">
        <f>Data!P436</f>
        <v>Eligible</v>
      </c>
      <c r="U436" s="5" t="str">
        <f>Data!U436</f>
        <v>UNITED STATES</v>
      </c>
      <c r="Y436" s="5" t="str">
        <f>Data!Y436</f>
        <v>United States</v>
      </c>
    </row>
    <row r="437" spans="1:25" x14ac:dyDescent="0.5">
      <c r="A437">
        <f>Data!A437</f>
        <v>20569</v>
      </c>
      <c r="J437" s="20">
        <f>Data!J437</f>
        <v>42047</v>
      </c>
      <c r="K437" s="20">
        <f>Data!K437</f>
        <v>43465</v>
      </c>
      <c r="L437" s="5" t="str">
        <f>Data!L437</f>
        <v>Active</v>
      </c>
      <c r="M437" s="5" t="str">
        <f>Data!M437</f>
        <v>Page (Non-Profit)</v>
      </c>
      <c r="P437" s="5" t="str">
        <f>Data!P437</f>
        <v>Eligible</v>
      </c>
      <c r="U437" s="5" t="str">
        <f>Data!U437</f>
        <v>UNITED STATES</v>
      </c>
      <c r="Y437" s="5" t="str">
        <f>Data!Y437</f>
        <v>United States</v>
      </c>
    </row>
    <row r="438" spans="1:25" x14ac:dyDescent="0.5">
      <c r="A438">
        <f>Data!A438</f>
        <v>20611</v>
      </c>
      <c r="J438" s="20">
        <f>Data!J438</f>
        <v>42842</v>
      </c>
      <c r="K438" s="20">
        <f>Data!K438</f>
        <v>43465</v>
      </c>
      <c r="L438" s="5" t="str">
        <f>Data!L438</f>
        <v>Active</v>
      </c>
      <c r="M438" s="5" t="str">
        <f>Data!M438</f>
        <v>Page (Corporate)</v>
      </c>
      <c r="P438" s="5" t="str">
        <f>Data!P438</f>
        <v>Eligible</v>
      </c>
      <c r="U438" s="5" t="str">
        <f>Data!U438</f>
        <v>UNITED STATES</v>
      </c>
      <c r="Y438" s="5" t="str">
        <f>Data!Y438</f>
        <v>United States</v>
      </c>
    </row>
    <row r="439" spans="1:25" x14ac:dyDescent="0.5">
      <c r="A439">
        <f>Data!A439</f>
        <v>20622</v>
      </c>
      <c r="J439" s="20">
        <f>Data!J439</f>
        <v>42066</v>
      </c>
      <c r="K439" s="20">
        <f>Data!K439</f>
        <v>43465</v>
      </c>
      <c r="L439" s="5" t="str">
        <f>Data!L439</f>
        <v>Active</v>
      </c>
      <c r="M439" s="5" t="str">
        <f>Data!M439</f>
        <v>Page (Corporate)</v>
      </c>
      <c r="P439" s="5" t="str">
        <f>Data!P439</f>
        <v>Eligible</v>
      </c>
      <c r="U439" s="5" t="str">
        <f>Data!U439</f>
        <v>UNITED STATES</v>
      </c>
      <c r="Y439" s="5" t="str">
        <f>Data!Y439</f>
        <v>United States</v>
      </c>
    </row>
    <row r="440" spans="1:25" x14ac:dyDescent="0.5">
      <c r="A440">
        <f>Data!A440</f>
        <v>20631</v>
      </c>
      <c r="J440" s="20">
        <f>Data!J440</f>
        <v>43216</v>
      </c>
      <c r="K440" s="20">
        <f>Data!K440</f>
        <v>43581</v>
      </c>
      <c r="L440" s="5" t="str">
        <f>Data!L440</f>
        <v>Active</v>
      </c>
      <c r="M440" s="5" t="str">
        <f>Data!M440</f>
        <v>Page (Corporate)</v>
      </c>
      <c r="P440" s="5">
        <f>Data!P440</f>
        <v>0</v>
      </c>
      <c r="U440" s="5" t="str">
        <f>Data!U440</f>
        <v>Japan</v>
      </c>
      <c r="Y440" s="5">
        <f>Data!Y440</f>
        <v>0</v>
      </c>
    </row>
    <row r="441" spans="1:25" x14ac:dyDescent="0.5">
      <c r="A441">
        <f>Data!A441</f>
        <v>20634</v>
      </c>
      <c r="J441" s="20">
        <f>Data!J441</f>
        <v>42040</v>
      </c>
      <c r="K441" s="20">
        <f>Data!K441</f>
        <v>43465</v>
      </c>
      <c r="L441" s="5" t="str">
        <f>Data!L441</f>
        <v>Active</v>
      </c>
      <c r="M441" s="5" t="str">
        <f>Data!M441</f>
        <v>Page (Corporate)</v>
      </c>
      <c r="P441" s="5" t="str">
        <f>Data!P441</f>
        <v>Eligible</v>
      </c>
      <c r="U441" s="5" t="str">
        <f>Data!U441</f>
        <v>Japan</v>
      </c>
      <c r="Y441" s="5">
        <f>Data!Y441</f>
        <v>0</v>
      </c>
    </row>
    <row r="442" spans="1:25" x14ac:dyDescent="0.5">
      <c r="A442">
        <f>Data!A442</f>
        <v>20635</v>
      </c>
      <c r="J442" s="20">
        <f>Data!J442</f>
        <v>42067</v>
      </c>
      <c r="K442" s="20">
        <f>Data!K442</f>
        <v>43465</v>
      </c>
      <c r="L442" s="5" t="str">
        <f>Data!L442</f>
        <v>Active</v>
      </c>
      <c r="M442" s="5" t="str">
        <f>Data!M442</f>
        <v>Page (Corporate)</v>
      </c>
      <c r="P442" s="5" t="str">
        <f>Data!P442</f>
        <v>Eligible</v>
      </c>
      <c r="U442" s="5" t="str">
        <f>Data!U442</f>
        <v>Japan</v>
      </c>
      <c r="Y442" s="5" t="str">
        <f>Data!Y442</f>
        <v>Asia:Other</v>
      </c>
    </row>
    <row r="443" spans="1:25" x14ac:dyDescent="0.5">
      <c r="A443">
        <f>Data!A443</f>
        <v>20686</v>
      </c>
      <c r="J443" s="20">
        <f>Data!J443</f>
        <v>42040</v>
      </c>
      <c r="K443" s="20">
        <f>Data!K443</f>
        <v>43465</v>
      </c>
      <c r="L443" s="5" t="str">
        <f>Data!L443</f>
        <v>Active</v>
      </c>
      <c r="M443" s="5" t="str">
        <f>Data!M443</f>
        <v>Page (Educator)</v>
      </c>
      <c r="P443" s="5" t="str">
        <f>Data!P443</f>
        <v>Eligible</v>
      </c>
      <c r="U443" s="5" t="str">
        <f>Data!U443</f>
        <v>UNITED STATES</v>
      </c>
      <c r="Y443" s="5" t="str">
        <f>Data!Y443</f>
        <v>United States</v>
      </c>
    </row>
    <row r="444" spans="1:25" x14ac:dyDescent="0.5">
      <c r="A444">
        <f>Data!A444</f>
        <v>20687</v>
      </c>
      <c r="J444" s="20">
        <f>Data!J444</f>
        <v>42041</v>
      </c>
      <c r="K444" s="20">
        <f>Data!K444</f>
        <v>43465</v>
      </c>
      <c r="L444" s="5" t="str">
        <f>Data!L444</f>
        <v>Active</v>
      </c>
      <c r="M444" s="5" t="str">
        <f>Data!M444</f>
        <v>Page (Educator)</v>
      </c>
      <c r="P444" s="5" t="str">
        <f>Data!P444</f>
        <v>Eligible</v>
      </c>
      <c r="U444" s="5" t="str">
        <f>Data!U444</f>
        <v>Finland</v>
      </c>
      <c r="Y444" s="5" t="str">
        <f>Data!Y444</f>
        <v>Europe</v>
      </c>
    </row>
    <row r="445" spans="1:25" x14ac:dyDescent="0.5">
      <c r="A445">
        <f>Data!A445</f>
        <v>20689</v>
      </c>
      <c r="J445" s="20">
        <f>Data!J445</f>
        <v>42058</v>
      </c>
      <c r="K445" s="20">
        <f>Data!K445</f>
        <v>43465</v>
      </c>
      <c r="L445" s="5" t="str">
        <f>Data!L445</f>
        <v>Active</v>
      </c>
      <c r="M445" s="5" t="str">
        <f>Data!M445</f>
        <v>Page (Non-Profit)</v>
      </c>
      <c r="P445" s="5" t="str">
        <f>Data!P445</f>
        <v>Eligible</v>
      </c>
      <c r="U445" s="5" t="str">
        <f>Data!U445</f>
        <v>Switzerland</v>
      </c>
      <c r="Y445" s="5" t="str">
        <f>Data!Y445</f>
        <v>Europe</v>
      </c>
    </row>
    <row r="446" spans="1:25" x14ac:dyDescent="0.5">
      <c r="A446">
        <f>Data!A446</f>
        <v>20690</v>
      </c>
      <c r="J446" s="20">
        <f>Data!J446</f>
        <v>42060</v>
      </c>
      <c r="K446" s="20">
        <f>Data!K446</f>
        <v>43465</v>
      </c>
      <c r="L446" s="5" t="str">
        <f>Data!L446</f>
        <v>Active</v>
      </c>
      <c r="M446" s="5" t="str">
        <f>Data!M446</f>
        <v>Page (Corporate)</v>
      </c>
      <c r="P446" s="5" t="str">
        <f>Data!P446</f>
        <v>Eligible</v>
      </c>
      <c r="U446" s="5" t="str">
        <f>Data!U446</f>
        <v>UNITED STATES</v>
      </c>
      <c r="Y446" s="5" t="str">
        <f>Data!Y446</f>
        <v>United States</v>
      </c>
    </row>
    <row r="447" spans="1:25" x14ac:dyDescent="0.5">
      <c r="A447">
        <f>Data!A447</f>
        <v>20691</v>
      </c>
      <c r="J447" s="20">
        <f>Data!J447</f>
        <v>42096</v>
      </c>
      <c r="K447" s="20">
        <f>Data!K447</f>
        <v>43465</v>
      </c>
      <c r="L447" s="5" t="str">
        <f>Data!L447</f>
        <v>Active</v>
      </c>
      <c r="M447" s="5" t="str">
        <f>Data!M447</f>
        <v>Page (Non-Profit)</v>
      </c>
      <c r="P447" s="5" t="str">
        <f>Data!P447</f>
        <v>Eligible</v>
      </c>
      <c r="U447" s="5" t="str">
        <f>Data!U447</f>
        <v>UNITED STATES</v>
      </c>
      <c r="Y447" s="5" t="str">
        <f>Data!Y447</f>
        <v>United States</v>
      </c>
    </row>
    <row r="448" spans="1:25" x14ac:dyDescent="0.5">
      <c r="A448">
        <f>Data!A448</f>
        <v>20796</v>
      </c>
      <c r="J448" s="20">
        <f>Data!J448</f>
        <v>42830</v>
      </c>
      <c r="K448" s="20">
        <f>Data!K448</f>
        <v>43465</v>
      </c>
      <c r="L448" s="5" t="str">
        <f>Data!L448</f>
        <v>Active</v>
      </c>
      <c r="M448" s="5" t="str">
        <f>Data!M448</f>
        <v>Page (Corporate)</v>
      </c>
      <c r="P448" s="5" t="str">
        <f>Data!P448</f>
        <v>Eligible</v>
      </c>
      <c r="U448" s="5" t="str">
        <f>Data!U448</f>
        <v>UNITED STATES</v>
      </c>
      <c r="Y448" s="5" t="str">
        <f>Data!Y448</f>
        <v>United States</v>
      </c>
    </row>
    <row r="449" spans="1:25" x14ac:dyDescent="0.5">
      <c r="A449">
        <f>Data!A449</f>
        <v>20801</v>
      </c>
      <c r="J449" s="20">
        <f>Data!J449</f>
        <v>42720</v>
      </c>
      <c r="K449" s="20">
        <f>Data!K449</f>
        <v>43465</v>
      </c>
      <c r="L449" s="5" t="str">
        <f>Data!L449</f>
        <v>Active</v>
      </c>
      <c r="M449" s="5" t="str">
        <f>Data!M449</f>
        <v>Page (Corporate)</v>
      </c>
      <c r="P449" s="5" t="str">
        <f>Data!P449</f>
        <v>Eligible</v>
      </c>
      <c r="U449" s="5" t="str">
        <f>Data!U449</f>
        <v>Canada</v>
      </c>
      <c r="Y449" s="5" t="str">
        <f>Data!Y449</f>
        <v>Canada</v>
      </c>
    </row>
    <row r="450" spans="1:25" x14ac:dyDescent="0.5">
      <c r="A450">
        <f>Data!A450</f>
        <v>20831</v>
      </c>
      <c r="J450" s="20">
        <f>Data!J450</f>
        <v>43228</v>
      </c>
      <c r="K450" s="20">
        <f>Data!K450</f>
        <v>43593</v>
      </c>
      <c r="L450" s="5" t="str">
        <f>Data!L450</f>
        <v>Active</v>
      </c>
      <c r="M450" s="5" t="str">
        <f>Data!M450</f>
        <v>Page (Corporate)</v>
      </c>
      <c r="P450" s="5">
        <f>Data!P450</f>
        <v>0</v>
      </c>
      <c r="U450" s="5" t="str">
        <f>Data!U450</f>
        <v>Canada</v>
      </c>
      <c r="Y450" s="5" t="str">
        <f>Data!Y450</f>
        <v>Canada</v>
      </c>
    </row>
    <row r="451" spans="1:25" x14ac:dyDescent="0.5">
      <c r="A451">
        <f>Data!A451</f>
        <v>20832</v>
      </c>
      <c r="J451" s="20">
        <f>Data!J451</f>
        <v>42286</v>
      </c>
      <c r="K451" s="20">
        <f>Data!K451</f>
        <v>43465</v>
      </c>
      <c r="L451" s="5" t="str">
        <f>Data!L451</f>
        <v>Active</v>
      </c>
      <c r="M451" s="5" t="str">
        <f>Data!M451</f>
        <v>Page (Corporate)</v>
      </c>
      <c r="P451" s="5">
        <f>Data!P451</f>
        <v>0</v>
      </c>
      <c r="U451" s="5" t="str">
        <f>Data!U451</f>
        <v>UNITED STATES</v>
      </c>
      <c r="Y451" s="5" t="str">
        <f>Data!Y451</f>
        <v>United States</v>
      </c>
    </row>
    <row r="452" spans="1:25" x14ac:dyDescent="0.5">
      <c r="A452">
        <f>Data!A452</f>
        <v>20835</v>
      </c>
      <c r="J452" s="20">
        <f>Data!J452</f>
        <v>42118</v>
      </c>
      <c r="K452" s="20">
        <f>Data!K452</f>
        <v>43465</v>
      </c>
      <c r="L452" s="5" t="str">
        <f>Data!L452</f>
        <v>Active</v>
      </c>
      <c r="M452" s="5" t="str">
        <f>Data!M452</f>
        <v>Page (Corporate)</v>
      </c>
      <c r="P452" s="5" t="str">
        <f>Data!P452</f>
        <v>Eligible</v>
      </c>
      <c r="U452" s="5" t="str">
        <f>Data!U452</f>
        <v>UNITED STATES</v>
      </c>
      <c r="Y452" s="5" t="str">
        <f>Data!Y452</f>
        <v>United States</v>
      </c>
    </row>
    <row r="453" spans="1:25" x14ac:dyDescent="0.5">
      <c r="A453">
        <f>Data!A453</f>
        <v>20837</v>
      </c>
      <c r="J453" s="20">
        <f>Data!J453</f>
        <v>42129</v>
      </c>
      <c r="K453" s="20">
        <f>Data!K453</f>
        <v>43465</v>
      </c>
      <c r="L453" s="5" t="str">
        <f>Data!L453</f>
        <v>Active</v>
      </c>
      <c r="M453" s="5" t="str">
        <f>Data!M453</f>
        <v>Page (Corporate)</v>
      </c>
      <c r="P453" s="5" t="str">
        <f>Data!P453</f>
        <v>Eligible</v>
      </c>
      <c r="U453" s="5" t="str">
        <f>Data!U453</f>
        <v>UNITED STATES</v>
      </c>
      <c r="Y453" s="5" t="str">
        <f>Data!Y453</f>
        <v>United States</v>
      </c>
    </row>
    <row r="454" spans="1:25" x14ac:dyDescent="0.5">
      <c r="A454">
        <f>Data!A454</f>
        <v>20838</v>
      </c>
      <c r="J454" s="20">
        <f>Data!J454</f>
        <v>42235</v>
      </c>
      <c r="K454" s="20">
        <f>Data!K454</f>
        <v>43465</v>
      </c>
      <c r="L454" s="5" t="str">
        <f>Data!L454</f>
        <v>Active</v>
      </c>
      <c r="M454" s="5" t="str">
        <f>Data!M454</f>
        <v>Page (Corporate)</v>
      </c>
      <c r="P454" s="5" t="str">
        <f>Data!P454</f>
        <v>Eligible</v>
      </c>
      <c r="U454" s="5" t="str">
        <f>Data!U454</f>
        <v>UNITED STATES</v>
      </c>
      <c r="Y454" s="5" t="str">
        <f>Data!Y454</f>
        <v>United States</v>
      </c>
    </row>
    <row r="455" spans="1:25" x14ac:dyDescent="0.5">
      <c r="A455">
        <f>Data!A455</f>
        <v>20841</v>
      </c>
      <c r="J455" s="20">
        <f>Data!J455</f>
        <v>42237</v>
      </c>
      <c r="K455" s="20">
        <f>Data!K455</f>
        <v>43465</v>
      </c>
      <c r="L455" s="5" t="str">
        <f>Data!L455</f>
        <v>Active</v>
      </c>
      <c r="M455" s="5" t="str">
        <f>Data!M455</f>
        <v>Page (Educator)</v>
      </c>
      <c r="P455" s="5" t="str">
        <f>Data!P455</f>
        <v>Eligible</v>
      </c>
      <c r="U455" s="5" t="str">
        <f>Data!U455</f>
        <v>UNITED STATES</v>
      </c>
      <c r="Y455" s="5" t="str">
        <f>Data!Y455</f>
        <v>United States</v>
      </c>
    </row>
    <row r="456" spans="1:25" x14ac:dyDescent="0.5">
      <c r="A456">
        <f>Data!A456</f>
        <v>20842</v>
      </c>
      <c r="J456" s="20">
        <f>Data!J456</f>
        <v>42139</v>
      </c>
      <c r="K456" s="20">
        <f>Data!K456</f>
        <v>43465</v>
      </c>
      <c r="L456" s="5" t="str">
        <f>Data!L456</f>
        <v>Active</v>
      </c>
      <c r="M456" s="5" t="str">
        <f>Data!M456</f>
        <v>Page (Educator)</v>
      </c>
      <c r="P456" s="5" t="str">
        <f>Data!P456</f>
        <v>Eligible</v>
      </c>
      <c r="U456" s="5" t="str">
        <f>Data!U456</f>
        <v>UNITED STATES</v>
      </c>
      <c r="Y456" s="5" t="str">
        <f>Data!Y456</f>
        <v>United States</v>
      </c>
    </row>
    <row r="457" spans="1:25" x14ac:dyDescent="0.5">
      <c r="A457">
        <f>Data!A457</f>
        <v>20844</v>
      </c>
      <c r="J457" s="20">
        <f>Data!J457</f>
        <v>42122</v>
      </c>
      <c r="K457" s="20">
        <f>Data!K457</f>
        <v>43465</v>
      </c>
      <c r="L457" s="5" t="str">
        <f>Data!L457</f>
        <v>Active</v>
      </c>
      <c r="M457" s="5" t="str">
        <f>Data!M457</f>
        <v>Page (Non-Profit)</v>
      </c>
      <c r="P457" s="5" t="str">
        <f>Data!P457</f>
        <v>Eligible</v>
      </c>
      <c r="U457" s="5" t="str">
        <f>Data!U457</f>
        <v>UNITED STATES</v>
      </c>
      <c r="Y457" s="5" t="str">
        <f>Data!Y457</f>
        <v>United States</v>
      </c>
    </row>
    <row r="458" spans="1:25" x14ac:dyDescent="0.5">
      <c r="A458">
        <f>Data!A458</f>
        <v>20845</v>
      </c>
      <c r="J458" s="20">
        <f>Data!J458</f>
        <v>42118</v>
      </c>
      <c r="K458" s="20">
        <f>Data!K458</f>
        <v>43465</v>
      </c>
      <c r="L458" s="5" t="str">
        <f>Data!L458</f>
        <v>Active</v>
      </c>
      <c r="M458" s="5" t="str">
        <f>Data!M458</f>
        <v>Page (Corporate)</v>
      </c>
      <c r="P458" s="5" t="str">
        <f>Data!P458</f>
        <v>Eligible</v>
      </c>
      <c r="U458" s="5" t="str">
        <f>Data!U458</f>
        <v>United Kingdom</v>
      </c>
      <c r="Y458" s="5" t="str">
        <f>Data!Y458</f>
        <v>Europe</v>
      </c>
    </row>
    <row r="459" spans="1:25" x14ac:dyDescent="0.5">
      <c r="A459">
        <f>Data!A459</f>
        <v>20869</v>
      </c>
      <c r="J459" s="20">
        <f>Data!J459</f>
        <v>42382</v>
      </c>
      <c r="K459" s="20">
        <f>Data!K459</f>
        <v>43465</v>
      </c>
      <c r="L459" s="5" t="str">
        <f>Data!L459</f>
        <v>Active</v>
      </c>
      <c r="M459" s="5" t="str">
        <f>Data!M459</f>
        <v>Page (Corporate)</v>
      </c>
      <c r="P459" s="5" t="str">
        <f>Data!P459</f>
        <v>In Staff Review</v>
      </c>
      <c r="U459" s="5" t="str">
        <f>Data!U459</f>
        <v>Netherlands</v>
      </c>
      <c r="Y459" s="5" t="str">
        <f>Data!Y459</f>
        <v>Europe</v>
      </c>
    </row>
    <row r="460" spans="1:25" x14ac:dyDescent="0.5">
      <c r="A460">
        <f>Data!A460</f>
        <v>20886</v>
      </c>
      <c r="J460" s="20">
        <f>Data!J460</f>
        <v>42916</v>
      </c>
      <c r="K460" s="20">
        <f>Data!K460</f>
        <v>43465</v>
      </c>
      <c r="L460" s="5" t="str">
        <f>Data!L460</f>
        <v>Active</v>
      </c>
      <c r="M460" s="5" t="str">
        <f>Data!M460</f>
        <v>Page (Corporate)</v>
      </c>
      <c r="P460" s="5" t="str">
        <f>Data!P460</f>
        <v>Eligible</v>
      </c>
      <c r="U460" s="5" t="str">
        <f>Data!U460</f>
        <v>UNITED STATES</v>
      </c>
      <c r="Y460" s="5" t="str">
        <f>Data!Y460</f>
        <v>United States</v>
      </c>
    </row>
    <row r="461" spans="1:25" x14ac:dyDescent="0.5">
      <c r="A461">
        <f>Data!A461</f>
        <v>20891</v>
      </c>
      <c r="J461" s="20">
        <f>Data!J461</f>
        <v>42212</v>
      </c>
      <c r="K461" s="20">
        <f>Data!K461</f>
        <v>43465</v>
      </c>
      <c r="L461" s="5" t="str">
        <f>Data!L461</f>
        <v>Active</v>
      </c>
      <c r="M461" s="5" t="str">
        <f>Data!M461</f>
        <v>Page (Corporate)</v>
      </c>
      <c r="P461" s="5" t="str">
        <f>Data!P461</f>
        <v>BOT_Grace</v>
      </c>
      <c r="U461" s="5" t="str">
        <f>Data!U461</f>
        <v>UNITED STATES</v>
      </c>
      <c r="Y461" s="5" t="str">
        <f>Data!Y461</f>
        <v>United States</v>
      </c>
    </row>
    <row r="462" spans="1:25" x14ac:dyDescent="0.5">
      <c r="A462">
        <f>Data!A462</f>
        <v>20893</v>
      </c>
      <c r="J462" s="20">
        <f>Data!J462</f>
        <v>42193</v>
      </c>
      <c r="K462" s="20">
        <f>Data!K462</f>
        <v>43465</v>
      </c>
      <c r="L462" s="5" t="str">
        <f>Data!L462</f>
        <v>Active</v>
      </c>
      <c r="M462" s="5" t="str">
        <f>Data!M462</f>
        <v>Page (Corporate)</v>
      </c>
      <c r="P462" s="5" t="str">
        <f>Data!P462</f>
        <v>Eligible</v>
      </c>
      <c r="U462" s="5" t="str">
        <f>Data!U462</f>
        <v>UNITED STATES</v>
      </c>
      <c r="Y462" s="5" t="str">
        <f>Data!Y462</f>
        <v>United States</v>
      </c>
    </row>
    <row r="463" spans="1:25" x14ac:dyDescent="0.5">
      <c r="A463">
        <f>Data!A463</f>
        <v>20895</v>
      </c>
      <c r="J463" s="20">
        <f>Data!J463</f>
        <v>42184</v>
      </c>
      <c r="K463" s="20">
        <f>Data!K463</f>
        <v>43465</v>
      </c>
      <c r="L463" s="5" t="str">
        <f>Data!L463</f>
        <v>Active</v>
      </c>
      <c r="M463" s="5" t="str">
        <f>Data!M463</f>
        <v>Page (Corporate)</v>
      </c>
      <c r="P463" s="5" t="str">
        <f>Data!P463</f>
        <v>Eligible</v>
      </c>
      <c r="U463" s="5" t="str">
        <f>Data!U463</f>
        <v>UNITED STATES</v>
      </c>
      <c r="Y463" s="5" t="str">
        <f>Data!Y463</f>
        <v>United States</v>
      </c>
    </row>
    <row r="464" spans="1:25" x14ac:dyDescent="0.5">
      <c r="A464">
        <f>Data!A464</f>
        <v>20897</v>
      </c>
      <c r="J464" s="20">
        <f>Data!J464</f>
        <v>42192</v>
      </c>
      <c r="K464" s="20">
        <f>Data!K464</f>
        <v>43465</v>
      </c>
      <c r="L464" s="5" t="str">
        <f>Data!L464</f>
        <v>Active</v>
      </c>
      <c r="M464" s="5" t="str">
        <f>Data!M464</f>
        <v>Page (Corporate)</v>
      </c>
      <c r="P464" s="5" t="str">
        <f>Data!P464</f>
        <v>Eligible</v>
      </c>
      <c r="U464" s="5" t="str">
        <f>Data!U464</f>
        <v>UNITED STATES</v>
      </c>
      <c r="Y464" s="5" t="str">
        <f>Data!Y464</f>
        <v>United States</v>
      </c>
    </row>
    <row r="465" spans="1:25" x14ac:dyDescent="0.5">
      <c r="A465">
        <f>Data!A465</f>
        <v>20899</v>
      </c>
      <c r="J465" s="20">
        <f>Data!J465</f>
        <v>42185</v>
      </c>
      <c r="K465" s="20">
        <f>Data!K465</f>
        <v>43465</v>
      </c>
      <c r="L465" s="5" t="str">
        <f>Data!L465</f>
        <v>Active</v>
      </c>
      <c r="M465" s="5" t="str">
        <f>Data!M465</f>
        <v>Page (Corporate)</v>
      </c>
      <c r="P465" s="5" t="str">
        <f>Data!P465</f>
        <v>Eligible</v>
      </c>
      <c r="U465" s="5" t="str">
        <f>Data!U465</f>
        <v>United Kingdom</v>
      </c>
      <c r="Y465" s="5" t="str">
        <f>Data!Y465</f>
        <v>Europe</v>
      </c>
    </row>
    <row r="466" spans="1:25" x14ac:dyDescent="0.5">
      <c r="A466">
        <f>Data!A466</f>
        <v>20902</v>
      </c>
      <c r="J466" s="20">
        <f>Data!J466</f>
        <v>42185</v>
      </c>
      <c r="K466" s="20">
        <f>Data!K466</f>
        <v>43465</v>
      </c>
      <c r="L466" s="5" t="str">
        <f>Data!L466</f>
        <v>Active</v>
      </c>
      <c r="M466" s="5" t="str">
        <f>Data!M466</f>
        <v>Page (Corporate)</v>
      </c>
      <c r="P466" s="5" t="str">
        <f>Data!P466</f>
        <v>Eligible</v>
      </c>
      <c r="U466" s="5" t="str">
        <f>Data!U466</f>
        <v>UNITED STATES</v>
      </c>
      <c r="Y466" s="5" t="str">
        <f>Data!Y466</f>
        <v>United States</v>
      </c>
    </row>
    <row r="467" spans="1:25" x14ac:dyDescent="0.5">
      <c r="A467">
        <f>Data!A467</f>
        <v>20904</v>
      </c>
      <c r="J467" s="20">
        <f>Data!J467</f>
        <v>42193</v>
      </c>
      <c r="K467" s="20">
        <f>Data!K467</f>
        <v>43465</v>
      </c>
      <c r="L467" s="5" t="str">
        <f>Data!L467</f>
        <v>Active</v>
      </c>
      <c r="M467" s="5" t="str">
        <f>Data!M467</f>
        <v>Page (Corporate)</v>
      </c>
      <c r="P467" s="5" t="str">
        <f>Data!P467</f>
        <v>Eligible</v>
      </c>
      <c r="U467" s="5" t="str">
        <f>Data!U467</f>
        <v>United Kingdom</v>
      </c>
      <c r="Y467" s="5" t="str">
        <f>Data!Y467</f>
        <v>Europe</v>
      </c>
    </row>
    <row r="468" spans="1:25" x14ac:dyDescent="0.5">
      <c r="A468">
        <f>Data!A468</f>
        <v>20906</v>
      </c>
      <c r="J468" s="20">
        <f>Data!J468</f>
        <v>42186</v>
      </c>
      <c r="K468" s="20">
        <f>Data!K468</f>
        <v>43465</v>
      </c>
      <c r="L468" s="5" t="str">
        <f>Data!L468</f>
        <v>Active</v>
      </c>
      <c r="M468" s="5" t="str">
        <f>Data!M468</f>
        <v>Page (Agency)</v>
      </c>
      <c r="P468" s="5" t="str">
        <f>Data!P468</f>
        <v>Eligible</v>
      </c>
      <c r="U468" s="5" t="str">
        <f>Data!U468</f>
        <v>United Kingdom</v>
      </c>
      <c r="Y468" s="5" t="str">
        <f>Data!Y468</f>
        <v>Europe</v>
      </c>
    </row>
    <row r="469" spans="1:25" x14ac:dyDescent="0.5">
      <c r="A469">
        <f>Data!A469</f>
        <v>20908</v>
      </c>
      <c r="J469" s="20">
        <f>Data!J469</f>
        <v>42186</v>
      </c>
      <c r="K469" s="20">
        <f>Data!K469</f>
        <v>43465</v>
      </c>
      <c r="L469" s="5" t="str">
        <f>Data!L469</f>
        <v>Active</v>
      </c>
      <c r="M469" s="5" t="str">
        <f>Data!M469</f>
        <v>Page (Agency)</v>
      </c>
      <c r="P469" s="5" t="str">
        <f>Data!P469</f>
        <v>Eligible</v>
      </c>
      <c r="U469" s="5" t="str">
        <f>Data!U469</f>
        <v>UNITED STATES</v>
      </c>
      <c r="Y469" s="5" t="str">
        <f>Data!Y469</f>
        <v>United States</v>
      </c>
    </row>
    <row r="470" spans="1:25" x14ac:dyDescent="0.5">
      <c r="A470">
        <f>Data!A470</f>
        <v>20910</v>
      </c>
      <c r="J470" s="20">
        <f>Data!J470</f>
        <v>42186</v>
      </c>
      <c r="K470" s="20">
        <f>Data!K470</f>
        <v>43465</v>
      </c>
      <c r="L470" s="5" t="str">
        <f>Data!L470</f>
        <v>Active</v>
      </c>
      <c r="M470" s="5" t="str">
        <f>Data!M470</f>
        <v>Page (Non-Profit)</v>
      </c>
      <c r="P470" s="5" t="str">
        <f>Data!P470</f>
        <v>Eligible</v>
      </c>
      <c r="U470" s="5" t="str">
        <f>Data!U470</f>
        <v>UNITED STATES</v>
      </c>
      <c r="Y470" s="5" t="str">
        <f>Data!Y470</f>
        <v>United States</v>
      </c>
    </row>
    <row r="471" spans="1:25" x14ac:dyDescent="0.5">
      <c r="A471">
        <f>Data!A471</f>
        <v>20912</v>
      </c>
      <c r="J471" s="20">
        <f>Data!J471</f>
        <v>42641</v>
      </c>
      <c r="K471" s="20">
        <f>Data!K471</f>
        <v>43465</v>
      </c>
      <c r="L471" s="5" t="str">
        <f>Data!L471</f>
        <v>Active</v>
      </c>
      <c r="M471" s="5" t="str">
        <f>Data!M471</f>
        <v>Page (Agency)</v>
      </c>
      <c r="P471" s="5" t="str">
        <f>Data!P471</f>
        <v>Eligible</v>
      </c>
      <c r="U471" s="5" t="str">
        <f>Data!U471</f>
        <v>UNITED STATES</v>
      </c>
      <c r="Y471" s="5" t="str">
        <f>Data!Y471</f>
        <v>United States</v>
      </c>
    </row>
    <row r="472" spans="1:25" x14ac:dyDescent="0.5">
      <c r="A472">
        <f>Data!A472</f>
        <v>20952</v>
      </c>
      <c r="J472" s="20">
        <f>Data!J472</f>
        <v>42242</v>
      </c>
      <c r="K472" s="20">
        <f>Data!K472</f>
        <v>43465</v>
      </c>
      <c r="L472" s="5" t="str">
        <f>Data!L472</f>
        <v>Active</v>
      </c>
      <c r="M472" s="5" t="str">
        <f>Data!M472</f>
        <v>Page (Corporate)</v>
      </c>
      <c r="P472" s="5" t="str">
        <f>Data!P472</f>
        <v>Eligible</v>
      </c>
      <c r="U472" s="5" t="str">
        <f>Data!U472</f>
        <v>UNITED STATES</v>
      </c>
      <c r="Y472" s="5" t="str">
        <f>Data!Y472</f>
        <v>United States</v>
      </c>
    </row>
    <row r="473" spans="1:25" x14ac:dyDescent="0.5">
      <c r="A473">
        <f>Data!A473</f>
        <v>20955</v>
      </c>
      <c r="J473" s="20">
        <f>Data!J473</f>
        <v>42248</v>
      </c>
      <c r="K473" s="20">
        <f>Data!K473</f>
        <v>43465</v>
      </c>
      <c r="L473" s="5" t="str">
        <f>Data!L473</f>
        <v>Active</v>
      </c>
      <c r="M473" s="5" t="str">
        <f>Data!M473</f>
        <v>Page (Corporate)</v>
      </c>
      <c r="P473" s="5" t="str">
        <f>Data!P473</f>
        <v>Eligible</v>
      </c>
      <c r="U473" s="5" t="str">
        <f>Data!U473</f>
        <v>UNITED STATES</v>
      </c>
      <c r="Y473" s="5" t="str">
        <f>Data!Y473</f>
        <v>United States</v>
      </c>
    </row>
    <row r="474" spans="1:25" x14ac:dyDescent="0.5">
      <c r="A474">
        <f>Data!A474</f>
        <v>20957</v>
      </c>
      <c r="J474" s="20">
        <f>Data!J474</f>
        <v>42836</v>
      </c>
      <c r="K474" s="20">
        <f>Data!K474</f>
        <v>43465</v>
      </c>
      <c r="L474" s="5" t="str">
        <f>Data!L474</f>
        <v>Active</v>
      </c>
      <c r="M474" s="5" t="str">
        <f>Data!M474</f>
        <v>Page (Corporate)</v>
      </c>
      <c r="P474" s="5" t="str">
        <f>Data!P474</f>
        <v>Eligible</v>
      </c>
      <c r="U474" s="5" t="str">
        <f>Data!U474</f>
        <v>UNITED STATES</v>
      </c>
      <c r="Y474" s="5" t="str">
        <f>Data!Y474</f>
        <v>United States</v>
      </c>
    </row>
    <row r="475" spans="1:25" x14ac:dyDescent="0.5">
      <c r="A475">
        <f>Data!A475</f>
        <v>20958</v>
      </c>
      <c r="J475" s="20">
        <f>Data!J475</f>
        <v>42250</v>
      </c>
      <c r="K475" s="20">
        <f>Data!K475</f>
        <v>43465</v>
      </c>
      <c r="L475" s="5" t="str">
        <f>Data!L475</f>
        <v>Active</v>
      </c>
      <c r="M475" s="5" t="str">
        <f>Data!M475</f>
        <v>Page (Corporate)</v>
      </c>
      <c r="P475" s="5" t="str">
        <f>Data!P475</f>
        <v>Non-Qualified</v>
      </c>
      <c r="U475" s="5" t="str">
        <f>Data!U475</f>
        <v>UNITED STATES</v>
      </c>
      <c r="Y475" s="5" t="str">
        <f>Data!Y475</f>
        <v>United States</v>
      </c>
    </row>
    <row r="476" spans="1:25" x14ac:dyDescent="0.5">
      <c r="A476">
        <f>Data!A476</f>
        <v>20962</v>
      </c>
      <c r="J476" s="20">
        <f>Data!J476</f>
        <v>42250</v>
      </c>
      <c r="K476" s="20">
        <f>Data!K476</f>
        <v>43465</v>
      </c>
      <c r="L476" s="5" t="str">
        <f>Data!L476</f>
        <v>Active</v>
      </c>
      <c r="M476" s="5" t="str">
        <f>Data!M476</f>
        <v>Page (Corporate)</v>
      </c>
      <c r="P476" s="5" t="str">
        <f>Data!P476</f>
        <v>Eligible</v>
      </c>
      <c r="U476" s="5" t="str">
        <f>Data!U476</f>
        <v>UNITED STATES</v>
      </c>
      <c r="Y476" s="5" t="str">
        <f>Data!Y476</f>
        <v>United States</v>
      </c>
    </row>
    <row r="477" spans="1:25" x14ac:dyDescent="0.5">
      <c r="A477">
        <f>Data!A477</f>
        <v>20964</v>
      </c>
      <c r="J477" s="20">
        <f>Data!J477</f>
        <v>42251</v>
      </c>
      <c r="K477" s="20">
        <f>Data!K477</f>
        <v>43465</v>
      </c>
      <c r="L477" s="5" t="str">
        <f>Data!L477</f>
        <v>Active</v>
      </c>
      <c r="M477" s="5" t="str">
        <f>Data!M477</f>
        <v>Page (Corporate)</v>
      </c>
      <c r="P477" s="5" t="str">
        <f>Data!P477</f>
        <v>Eligible</v>
      </c>
      <c r="U477" s="5" t="str">
        <f>Data!U477</f>
        <v>Netherlands</v>
      </c>
      <c r="Y477" s="5" t="str">
        <f>Data!Y477</f>
        <v>Europe</v>
      </c>
    </row>
    <row r="478" spans="1:25" x14ac:dyDescent="0.5">
      <c r="A478">
        <f>Data!A478</f>
        <v>20967</v>
      </c>
      <c r="J478" s="20">
        <f>Data!J478</f>
        <v>42258</v>
      </c>
      <c r="K478" s="20">
        <f>Data!K478</f>
        <v>43465</v>
      </c>
      <c r="L478" s="5" t="str">
        <f>Data!L478</f>
        <v>Active</v>
      </c>
      <c r="M478" s="5" t="str">
        <f>Data!M478</f>
        <v>Page (Corporate)</v>
      </c>
      <c r="P478" s="5" t="str">
        <f>Data!P478</f>
        <v>Eligible</v>
      </c>
      <c r="U478" s="5" t="str">
        <f>Data!U478</f>
        <v>Germany</v>
      </c>
      <c r="Y478" s="5" t="str">
        <f>Data!Y478</f>
        <v>Europe</v>
      </c>
    </row>
    <row r="479" spans="1:25" x14ac:dyDescent="0.5">
      <c r="A479">
        <f>Data!A479</f>
        <v>20968</v>
      </c>
      <c r="J479" s="20">
        <f>Data!J479</f>
        <v>42256</v>
      </c>
      <c r="K479" s="20">
        <f>Data!K479</f>
        <v>43465</v>
      </c>
      <c r="L479" s="5" t="str">
        <f>Data!L479</f>
        <v>Active</v>
      </c>
      <c r="M479" s="5" t="str">
        <f>Data!M479</f>
        <v>Page (Corporate)</v>
      </c>
      <c r="P479" s="5" t="str">
        <f>Data!P479</f>
        <v>Eligible</v>
      </c>
      <c r="U479" s="5" t="str">
        <f>Data!U479</f>
        <v>UNITED STATES</v>
      </c>
      <c r="Y479" s="5" t="str">
        <f>Data!Y479</f>
        <v>United States</v>
      </c>
    </row>
    <row r="480" spans="1:25" x14ac:dyDescent="0.5">
      <c r="A480">
        <f>Data!A480</f>
        <v>20969</v>
      </c>
      <c r="J480" s="20">
        <f>Data!J480</f>
        <v>42296</v>
      </c>
      <c r="K480" s="20">
        <f>Data!K480</f>
        <v>43465</v>
      </c>
      <c r="L480" s="5" t="str">
        <f>Data!L480</f>
        <v>Active</v>
      </c>
      <c r="M480" s="5" t="str">
        <f>Data!M480</f>
        <v>Page (Corporate)</v>
      </c>
      <c r="P480" s="5" t="str">
        <f>Data!P480</f>
        <v>Eligible</v>
      </c>
      <c r="U480" s="5" t="str">
        <f>Data!U480</f>
        <v>UNITED STATES</v>
      </c>
      <c r="Y480" s="5" t="str">
        <f>Data!Y480</f>
        <v>United States</v>
      </c>
    </row>
    <row r="481" spans="1:25" x14ac:dyDescent="0.5">
      <c r="A481">
        <f>Data!A481</f>
        <v>20970</v>
      </c>
      <c r="J481" s="20">
        <f>Data!J481</f>
        <v>42248</v>
      </c>
      <c r="K481" s="20">
        <f>Data!K481</f>
        <v>43465</v>
      </c>
      <c r="L481" s="5" t="str">
        <f>Data!L481</f>
        <v>Active</v>
      </c>
      <c r="M481" s="5" t="str">
        <f>Data!M481</f>
        <v>Page (Agency)</v>
      </c>
      <c r="P481" s="5" t="str">
        <f>Data!P481</f>
        <v>Eligible</v>
      </c>
      <c r="U481" s="5" t="str">
        <f>Data!U481</f>
        <v>India</v>
      </c>
      <c r="Y481" s="5" t="str">
        <f>Data!Y481</f>
        <v>Asia:India</v>
      </c>
    </row>
    <row r="482" spans="1:25" x14ac:dyDescent="0.5">
      <c r="A482">
        <f>Data!A482</f>
        <v>20971</v>
      </c>
      <c r="J482" s="20">
        <f>Data!J482</f>
        <v>42251</v>
      </c>
      <c r="K482" s="20">
        <f>Data!K482</f>
        <v>43465</v>
      </c>
      <c r="L482" s="5" t="str">
        <f>Data!L482</f>
        <v>Active</v>
      </c>
      <c r="M482" s="5" t="str">
        <f>Data!M482</f>
        <v>Page (Non-Profit)</v>
      </c>
      <c r="P482" s="5">
        <f>Data!P482</f>
        <v>0</v>
      </c>
      <c r="U482" s="5" t="str">
        <f>Data!U482</f>
        <v>United Kingdom</v>
      </c>
      <c r="Y482" s="5" t="str">
        <f>Data!Y482</f>
        <v>Europe</v>
      </c>
    </row>
    <row r="483" spans="1:25" x14ac:dyDescent="0.5">
      <c r="A483">
        <f>Data!A483</f>
        <v>20972</v>
      </c>
      <c r="J483" s="20">
        <f>Data!J483</f>
        <v>42254</v>
      </c>
      <c r="K483" s="20">
        <f>Data!K483</f>
        <v>43465</v>
      </c>
      <c r="L483" s="5" t="str">
        <f>Data!L483</f>
        <v>Active</v>
      </c>
      <c r="M483" s="5" t="str">
        <f>Data!M483</f>
        <v>Page (Educator)</v>
      </c>
      <c r="P483" s="5" t="str">
        <f>Data!P483</f>
        <v>Eligible</v>
      </c>
      <c r="U483" s="5" t="str">
        <f>Data!U483</f>
        <v>Denmark</v>
      </c>
      <c r="Y483" s="5" t="str">
        <f>Data!Y483</f>
        <v>Europe</v>
      </c>
    </row>
    <row r="484" spans="1:25" x14ac:dyDescent="0.5">
      <c r="A484">
        <f>Data!A484</f>
        <v>20973</v>
      </c>
      <c r="J484" s="20">
        <f>Data!J484</f>
        <v>42248</v>
      </c>
      <c r="K484" s="20">
        <f>Data!K484</f>
        <v>43465</v>
      </c>
      <c r="L484" s="5" t="str">
        <f>Data!L484</f>
        <v>Active</v>
      </c>
      <c r="M484" s="5" t="str">
        <f>Data!M484</f>
        <v>Page (Educator)</v>
      </c>
      <c r="P484" s="5" t="str">
        <f>Data!P484</f>
        <v>Eligible</v>
      </c>
      <c r="U484" s="5" t="str">
        <f>Data!U484</f>
        <v>Netherlands</v>
      </c>
      <c r="Y484" s="5" t="str">
        <f>Data!Y484</f>
        <v>Europe</v>
      </c>
    </row>
    <row r="485" spans="1:25" x14ac:dyDescent="0.5">
      <c r="A485">
        <f>Data!A485</f>
        <v>20974</v>
      </c>
      <c r="J485" s="20">
        <f>Data!J485</f>
        <v>42249</v>
      </c>
      <c r="K485" s="20">
        <f>Data!K485</f>
        <v>43465</v>
      </c>
      <c r="L485" s="5" t="str">
        <f>Data!L485</f>
        <v>Active</v>
      </c>
      <c r="M485" s="5" t="str">
        <f>Data!M485</f>
        <v>Page (Educator)</v>
      </c>
      <c r="P485" s="5" t="str">
        <f>Data!P485</f>
        <v>Eligible</v>
      </c>
      <c r="U485" s="5" t="str">
        <f>Data!U485</f>
        <v>Austria</v>
      </c>
      <c r="Y485" s="5" t="str">
        <f>Data!Y485</f>
        <v>Europe</v>
      </c>
    </row>
    <row r="486" spans="1:25" x14ac:dyDescent="0.5">
      <c r="A486">
        <f>Data!A486</f>
        <v>20976</v>
      </c>
      <c r="J486" s="20">
        <f>Data!J486</f>
        <v>42249</v>
      </c>
      <c r="K486" s="20">
        <f>Data!K486</f>
        <v>43465</v>
      </c>
      <c r="L486" s="5" t="str">
        <f>Data!L486</f>
        <v>Active</v>
      </c>
      <c r="M486" s="5" t="str">
        <f>Data!M486</f>
        <v>Page (Educator)</v>
      </c>
      <c r="P486" s="5" t="str">
        <f>Data!P486</f>
        <v>Eligible</v>
      </c>
      <c r="U486" s="5" t="str">
        <f>Data!U486</f>
        <v>Singapore</v>
      </c>
      <c r="Y486" s="5" t="str">
        <f>Data!Y486</f>
        <v>Asia:Other</v>
      </c>
    </row>
    <row r="487" spans="1:25" x14ac:dyDescent="0.5">
      <c r="A487">
        <f>Data!A487</f>
        <v>21017</v>
      </c>
      <c r="J487" s="20">
        <f>Data!J487</f>
        <v>42376</v>
      </c>
      <c r="K487" s="20">
        <f>Data!K487</f>
        <v>43465</v>
      </c>
      <c r="L487" s="5" t="str">
        <f>Data!L487</f>
        <v>Active</v>
      </c>
      <c r="M487" s="5" t="str">
        <f>Data!M487</f>
        <v>Page (Corporate)</v>
      </c>
      <c r="P487" s="5" t="str">
        <f>Data!P487</f>
        <v>Eligible</v>
      </c>
      <c r="U487" s="5" t="str">
        <f>Data!U487</f>
        <v>UNITED STATES</v>
      </c>
      <c r="Y487" s="5" t="str">
        <f>Data!Y487</f>
        <v>United States</v>
      </c>
    </row>
    <row r="488" spans="1:25" x14ac:dyDescent="0.5">
      <c r="A488">
        <f>Data!A488</f>
        <v>21025</v>
      </c>
      <c r="J488" s="20">
        <f>Data!J488</f>
        <v>42298</v>
      </c>
      <c r="K488" s="20">
        <f>Data!K488</f>
        <v>43465</v>
      </c>
      <c r="L488" s="5" t="str">
        <f>Data!L488</f>
        <v>Active</v>
      </c>
      <c r="M488" s="5" t="str">
        <f>Data!M488</f>
        <v>Page (Corporate)</v>
      </c>
      <c r="P488" s="5" t="str">
        <f>Data!P488</f>
        <v>Eligible</v>
      </c>
      <c r="U488" s="5" t="str">
        <f>Data!U488</f>
        <v>UNITED STATES</v>
      </c>
      <c r="Y488" s="5" t="str">
        <f>Data!Y488</f>
        <v>United States</v>
      </c>
    </row>
    <row r="489" spans="1:25" x14ac:dyDescent="0.5">
      <c r="A489">
        <f>Data!A489</f>
        <v>21030</v>
      </c>
      <c r="J489" s="20">
        <f>Data!J489</f>
        <v>42347</v>
      </c>
      <c r="K489" s="20">
        <f>Data!K489</f>
        <v>43465</v>
      </c>
      <c r="L489" s="5" t="str">
        <f>Data!L489</f>
        <v>Active</v>
      </c>
      <c r="M489" s="5" t="str">
        <f>Data!M489</f>
        <v>Page (Corporate)</v>
      </c>
      <c r="P489" s="5" t="str">
        <f>Data!P489</f>
        <v>Eligible</v>
      </c>
      <c r="U489" s="5" t="str">
        <f>Data!U489</f>
        <v>Norway</v>
      </c>
      <c r="Y489" s="5" t="str">
        <f>Data!Y489</f>
        <v>Europe</v>
      </c>
    </row>
    <row r="490" spans="1:25" x14ac:dyDescent="0.5">
      <c r="A490">
        <f>Data!A490</f>
        <v>21035</v>
      </c>
      <c r="J490" s="20">
        <f>Data!J490</f>
        <v>42475</v>
      </c>
      <c r="K490" s="20">
        <f>Data!K490</f>
        <v>43465</v>
      </c>
      <c r="L490" s="5" t="str">
        <f>Data!L490</f>
        <v>Active</v>
      </c>
      <c r="M490" s="5" t="str">
        <f>Data!M490</f>
        <v>Page (Government)</v>
      </c>
      <c r="P490" s="5" t="str">
        <f>Data!P490</f>
        <v>Eligible</v>
      </c>
      <c r="U490" s="5" t="str">
        <f>Data!U490</f>
        <v>France</v>
      </c>
      <c r="Y490" s="5" t="str">
        <f>Data!Y490</f>
        <v>Europe</v>
      </c>
    </row>
    <row r="491" spans="1:25" x14ac:dyDescent="0.5">
      <c r="A491">
        <f>Data!A491</f>
        <v>21094</v>
      </c>
      <c r="J491" s="20">
        <f>Data!J491</f>
        <v>42370</v>
      </c>
      <c r="K491" s="20">
        <f>Data!K491</f>
        <v>43465</v>
      </c>
      <c r="L491" s="5" t="str">
        <f>Data!L491</f>
        <v>Active</v>
      </c>
      <c r="M491" s="5" t="str">
        <f>Data!M491</f>
        <v>Page (Corporate)</v>
      </c>
      <c r="P491" s="5" t="str">
        <f>Data!P491</f>
        <v>Eligible</v>
      </c>
      <c r="U491" s="5" t="str">
        <f>Data!U491</f>
        <v>UNITED STATES</v>
      </c>
      <c r="Y491" s="5" t="str">
        <f>Data!Y491</f>
        <v>United States</v>
      </c>
    </row>
    <row r="492" spans="1:25" x14ac:dyDescent="0.5">
      <c r="A492">
        <f>Data!A492</f>
        <v>21095</v>
      </c>
      <c r="J492" s="20">
        <f>Data!J492</f>
        <v>42340</v>
      </c>
      <c r="K492" s="20">
        <f>Data!K492</f>
        <v>43465</v>
      </c>
      <c r="L492" s="5" t="str">
        <f>Data!L492</f>
        <v>Active</v>
      </c>
      <c r="M492" s="5" t="str">
        <f>Data!M492</f>
        <v>Page (Corporate)</v>
      </c>
      <c r="P492" s="5" t="str">
        <f>Data!P492</f>
        <v>Eligible</v>
      </c>
      <c r="U492" s="5" t="str">
        <f>Data!U492</f>
        <v>UNITED STATES</v>
      </c>
      <c r="Y492" s="5" t="str">
        <f>Data!Y492</f>
        <v>United States</v>
      </c>
    </row>
    <row r="493" spans="1:25" x14ac:dyDescent="0.5">
      <c r="A493">
        <f>Data!A493</f>
        <v>21097</v>
      </c>
      <c r="J493" s="20">
        <f>Data!J493</f>
        <v>42338</v>
      </c>
      <c r="K493" s="20">
        <f>Data!K493</f>
        <v>43465</v>
      </c>
      <c r="L493" s="5" t="str">
        <f>Data!L493</f>
        <v>Active</v>
      </c>
      <c r="M493" s="5" t="str">
        <f>Data!M493</f>
        <v>Page (Corporate)</v>
      </c>
      <c r="P493" s="5" t="str">
        <f>Data!P493</f>
        <v>Eligible</v>
      </c>
      <c r="U493" s="5" t="str">
        <f>Data!U493</f>
        <v>UNITED STATES</v>
      </c>
      <c r="Y493" s="5" t="str">
        <f>Data!Y493</f>
        <v>United States</v>
      </c>
    </row>
    <row r="494" spans="1:25" x14ac:dyDescent="0.5">
      <c r="A494">
        <f>Data!A494</f>
        <v>21098</v>
      </c>
      <c r="J494" s="20">
        <f>Data!J494</f>
        <v>42340</v>
      </c>
      <c r="K494" s="20">
        <f>Data!K494</f>
        <v>43465</v>
      </c>
      <c r="L494" s="5" t="str">
        <f>Data!L494</f>
        <v>Active</v>
      </c>
      <c r="M494" s="5" t="str">
        <f>Data!M494</f>
        <v>Page (Corporate)</v>
      </c>
      <c r="P494" s="5" t="str">
        <f>Data!P494</f>
        <v>Eligible</v>
      </c>
      <c r="U494" s="5" t="str">
        <f>Data!U494</f>
        <v>UNITED STATES</v>
      </c>
      <c r="Y494" s="5" t="str">
        <f>Data!Y494</f>
        <v>United States</v>
      </c>
    </row>
    <row r="495" spans="1:25" x14ac:dyDescent="0.5">
      <c r="A495">
        <f>Data!A495</f>
        <v>21100</v>
      </c>
      <c r="J495" s="20">
        <f>Data!J495</f>
        <v>42346</v>
      </c>
      <c r="K495" s="20">
        <f>Data!K495</f>
        <v>43465</v>
      </c>
      <c r="L495" s="5" t="str">
        <f>Data!L495</f>
        <v>Active</v>
      </c>
      <c r="M495" s="5" t="str">
        <f>Data!M495</f>
        <v>Page (Corporate)</v>
      </c>
      <c r="P495" s="5">
        <f>Data!P495</f>
        <v>0</v>
      </c>
      <c r="U495" s="5" t="str">
        <f>Data!U495</f>
        <v>UNITED STATES</v>
      </c>
      <c r="Y495" s="5" t="str">
        <f>Data!Y495</f>
        <v>United States</v>
      </c>
    </row>
    <row r="496" spans="1:25" x14ac:dyDescent="0.5">
      <c r="A496">
        <f>Data!A496</f>
        <v>21101</v>
      </c>
      <c r="J496" s="20">
        <f>Data!J496</f>
        <v>42341</v>
      </c>
      <c r="K496" s="20">
        <f>Data!K496</f>
        <v>43465</v>
      </c>
      <c r="L496" s="5" t="str">
        <f>Data!L496</f>
        <v>Active</v>
      </c>
      <c r="M496" s="5" t="str">
        <f>Data!M496</f>
        <v>Page (Corporate)</v>
      </c>
      <c r="P496" s="5" t="str">
        <f>Data!P496</f>
        <v>Eligible</v>
      </c>
      <c r="U496" s="5" t="str">
        <f>Data!U496</f>
        <v>UNITED STATES</v>
      </c>
      <c r="Y496" s="5" t="str">
        <f>Data!Y496</f>
        <v>United States</v>
      </c>
    </row>
    <row r="497" spans="1:25" x14ac:dyDescent="0.5">
      <c r="A497">
        <f>Data!A497</f>
        <v>21102</v>
      </c>
      <c r="J497" s="20">
        <f>Data!J497</f>
        <v>43131</v>
      </c>
      <c r="K497" s="20">
        <f>Data!K497</f>
        <v>43465</v>
      </c>
      <c r="L497" s="5" t="str">
        <f>Data!L497</f>
        <v>Active</v>
      </c>
      <c r="M497" s="5" t="str">
        <f>Data!M497</f>
        <v>Page (Non-Profit)</v>
      </c>
      <c r="P497" s="5">
        <f>Data!P497</f>
        <v>0</v>
      </c>
      <c r="U497" s="5" t="str">
        <f>Data!U497</f>
        <v>UNITED STATES</v>
      </c>
      <c r="Y497" s="5" t="str">
        <f>Data!Y497</f>
        <v>United States</v>
      </c>
    </row>
    <row r="498" spans="1:25" x14ac:dyDescent="0.5">
      <c r="A498">
        <f>Data!A498</f>
        <v>21103</v>
      </c>
      <c r="J498" s="20">
        <f>Data!J498</f>
        <v>42345</v>
      </c>
      <c r="K498" s="20">
        <f>Data!K498</f>
        <v>43465</v>
      </c>
      <c r="L498" s="5" t="str">
        <f>Data!L498</f>
        <v>Active</v>
      </c>
      <c r="M498" s="5" t="str">
        <f>Data!M498</f>
        <v>Page (Corporate)</v>
      </c>
      <c r="P498" s="5" t="str">
        <f>Data!P498</f>
        <v>Eligible</v>
      </c>
      <c r="U498" s="5" t="str">
        <f>Data!U498</f>
        <v>UNITED STATES</v>
      </c>
      <c r="Y498" s="5" t="str">
        <f>Data!Y498</f>
        <v>United States</v>
      </c>
    </row>
    <row r="499" spans="1:25" x14ac:dyDescent="0.5">
      <c r="A499">
        <f>Data!A499</f>
        <v>21104</v>
      </c>
      <c r="J499" s="20">
        <f>Data!J499</f>
        <v>42824</v>
      </c>
      <c r="K499" s="20">
        <f>Data!K499</f>
        <v>43465</v>
      </c>
      <c r="L499" s="5" t="str">
        <f>Data!L499</f>
        <v>Active</v>
      </c>
      <c r="M499" s="5" t="str">
        <f>Data!M499</f>
        <v>Page (Corporate)</v>
      </c>
      <c r="P499" s="5" t="str">
        <f>Data!P499</f>
        <v>Eligible</v>
      </c>
      <c r="U499" s="5" t="str">
        <f>Data!U499</f>
        <v>Germany</v>
      </c>
      <c r="Y499" s="5" t="str">
        <f>Data!Y499</f>
        <v>Europe</v>
      </c>
    </row>
    <row r="500" spans="1:25" x14ac:dyDescent="0.5">
      <c r="A500">
        <f>Data!A500</f>
        <v>21106</v>
      </c>
      <c r="J500" s="20">
        <f>Data!J500</f>
        <v>42402</v>
      </c>
      <c r="K500" s="20">
        <f>Data!K500</f>
        <v>43465</v>
      </c>
      <c r="L500" s="5" t="str">
        <f>Data!L500</f>
        <v>Active</v>
      </c>
      <c r="M500" s="5" t="str">
        <f>Data!M500</f>
        <v>Page (Non-Profit)</v>
      </c>
      <c r="P500" s="5" t="str">
        <f>Data!P500</f>
        <v>Eligible</v>
      </c>
      <c r="U500" s="5" t="str">
        <f>Data!U500</f>
        <v>UNITED STATES</v>
      </c>
      <c r="Y500" s="5" t="str">
        <f>Data!Y500</f>
        <v>United States</v>
      </c>
    </row>
    <row r="501" spans="1:25" x14ac:dyDescent="0.5">
      <c r="A501">
        <f>Data!A501</f>
        <v>21107</v>
      </c>
      <c r="J501" s="20">
        <f>Data!J501</f>
        <v>42382</v>
      </c>
      <c r="K501" s="20">
        <f>Data!K501</f>
        <v>43465</v>
      </c>
      <c r="L501" s="5" t="str">
        <f>Data!L501</f>
        <v>Active</v>
      </c>
      <c r="M501" s="5" t="str">
        <f>Data!M501</f>
        <v>Page (Non-Profit)</v>
      </c>
      <c r="P501" s="5" t="str">
        <f>Data!P501</f>
        <v>Non-Qualified</v>
      </c>
      <c r="U501" s="5" t="str">
        <f>Data!U501</f>
        <v>UNITED STATES</v>
      </c>
      <c r="Y501" s="5" t="str">
        <f>Data!Y501</f>
        <v>United States</v>
      </c>
    </row>
    <row r="502" spans="1:25" x14ac:dyDescent="0.5">
      <c r="A502">
        <f>Data!A502</f>
        <v>21109</v>
      </c>
      <c r="J502" s="20">
        <f>Data!J502</f>
        <v>42342</v>
      </c>
      <c r="K502" s="20">
        <f>Data!K502</f>
        <v>43465</v>
      </c>
      <c r="L502" s="5" t="str">
        <f>Data!L502</f>
        <v>Active</v>
      </c>
      <c r="M502" s="5" t="str">
        <f>Data!M502</f>
        <v>Page (Non-Profit)</v>
      </c>
      <c r="P502" s="5" t="str">
        <f>Data!P502</f>
        <v>Eligible</v>
      </c>
      <c r="U502" s="5" t="str">
        <f>Data!U502</f>
        <v>UNITED STATES</v>
      </c>
      <c r="Y502" s="5" t="str">
        <f>Data!Y502</f>
        <v>United States</v>
      </c>
    </row>
    <row r="503" spans="1:25" x14ac:dyDescent="0.5">
      <c r="A503">
        <f>Data!A503</f>
        <v>21110</v>
      </c>
      <c r="J503" s="20">
        <f>Data!J503</f>
        <v>42373</v>
      </c>
      <c r="K503" s="20">
        <f>Data!K503</f>
        <v>43465</v>
      </c>
      <c r="L503" s="5" t="str">
        <f>Data!L503</f>
        <v>Active</v>
      </c>
      <c r="M503" s="5" t="str">
        <f>Data!M503</f>
        <v>Page (Educator)</v>
      </c>
      <c r="P503" s="5" t="str">
        <f>Data!P503</f>
        <v>Eligible</v>
      </c>
      <c r="U503" s="5" t="str">
        <f>Data!U503</f>
        <v>UNITED STATES</v>
      </c>
      <c r="Y503" s="5" t="str">
        <f>Data!Y503</f>
        <v>United States</v>
      </c>
    </row>
    <row r="504" spans="1:25" x14ac:dyDescent="0.5">
      <c r="A504">
        <f>Data!A504</f>
        <v>21111</v>
      </c>
      <c r="J504" s="20">
        <f>Data!J504</f>
        <v>42376</v>
      </c>
      <c r="K504" s="20">
        <f>Data!K504</f>
        <v>43465</v>
      </c>
      <c r="L504" s="5" t="str">
        <f>Data!L504</f>
        <v>Active</v>
      </c>
      <c r="M504" s="5" t="str">
        <f>Data!M504</f>
        <v>Page (Educator)</v>
      </c>
      <c r="P504" s="5" t="str">
        <f>Data!P504</f>
        <v>Eligible</v>
      </c>
      <c r="U504" s="5" t="str">
        <f>Data!U504</f>
        <v>Slovenia</v>
      </c>
      <c r="Y504" s="5" t="str">
        <f>Data!Y504</f>
        <v>Europe</v>
      </c>
    </row>
    <row r="505" spans="1:25" x14ac:dyDescent="0.5">
      <c r="A505">
        <f>Data!A505</f>
        <v>21113</v>
      </c>
      <c r="J505" s="20">
        <f>Data!J505</f>
        <v>42401</v>
      </c>
      <c r="K505" s="20">
        <f>Data!K505</f>
        <v>43465</v>
      </c>
      <c r="L505" s="5" t="str">
        <f>Data!L505</f>
        <v>Active</v>
      </c>
      <c r="M505" s="5" t="str">
        <f>Data!M505</f>
        <v>Page (Corporate)</v>
      </c>
      <c r="P505" s="5" t="str">
        <f>Data!P505</f>
        <v>Eligible</v>
      </c>
      <c r="U505" s="5" t="str">
        <f>Data!U505</f>
        <v>UNITED STATES</v>
      </c>
      <c r="Y505" s="5" t="str">
        <f>Data!Y505</f>
        <v>United States</v>
      </c>
    </row>
    <row r="506" spans="1:25" x14ac:dyDescent="0.5">
      <c r="A506">
        <f>Data!A506</f>
        <v>21118</v>
      </c>
      <c r="J506" s="20">
        <f>Data!J506</f>
        <v>43334</v>
      </c>
      <c r="K506" s="20">
        <f>Data!K506</f>
        <v>43699</v>
      </c>
      <c r="L506" s="5" t="str">
        <f>Data!L506</f>
        <v>Active</v>
      </c>
      <c r="M506" s="5" t="str">
        <f>Data!M506</f>
        <v>Page (Agency)</v>
      </c>
      <c r="P506" s="5" t="str">
        <f>Data!P506</f>
        <v>Eligible</v>
      </c>
      <c r="U506" s="5" t="str">
        <f>Data!U506</f>
        <v>UNITED STATES</v>
      </c>
      <c r="Y506" s="5" t="str">
        <f>Data!Y506</f>
        <v>United States</v>
      </c>
    </row>
    <row r="507" spans="1:25" x14ac:dyDescent="0.5">
      <c r="A507">
        <f>Data!A507</f>
        <v>21167</v>
      </c>
      <c r="J507" s="20">
        <f>Data!J507</f>
        <v>42411</v>
      </c>
      <c r="K507" s="20">
        <f>Data!K507</f>
        <v>43465</v>
      </c>
      <c r="L507" s="5" t="str">
        <f>Data!L507</f>
        <v>Active</v>
      </c>
      <c r="M507" s="5" t="str">
        <f>Data!M507</f>
        <v>Page (Corporate)</v>
      </c>
      <c r="P507" s="5" t="str">
        <f>Data!P507</f>
        <v>Non-Qualified</v>
      </c>
      <c r="U507" s="5" t="str">
        <f>Data!U507</f>
        <v>UNITED STATES</v>
      </c>
      <c r="Y507" s="5" t="str">
        <f>Data!Y507</f>
        <v>United States</v>
      </c>
    </row>
    <row r="508" spans="1:25" x14ac:dyDescent="0.5">
      <c r="A508">
        <f>Data!A508</f>
        <v>21168</v>
      </c>
      <c r="J508" s="20">
        <f>Data!J508</f>
        <v>42500</v>
      </c>
      <c r="K508" s="20">
        <f>Data!K508</f>
        <v>43465</v>
      </c>
      <c r="L508" s="5" t="str">
        <f>Data!L508</f>
        <v>Active</v>
      </c>
      <c r="M508" s="5" t="str">
        <f>Data!M508</f>
        <v>Page (Corporate)</v>
      </c>
      <c r="P508" s="5" t="str">
        <f>Data!P508</f>
        <v>Eligible</v>
      </c>
      <c r="U508" s="5" t="str">
        <f>Data!U508</f>
        <v>UNITED STATES</v>
      </c>
      <c r="Y508" s="5" t="str">
        <f>Data!Y508</f>
        <v>United States</v>
      </c>
    </row>
    <row r="509" spans="1:25" x14ac:dyDescent="0.5">
      <c r="A509">
        <f>Data!A509</f>
        <v>21169</v>
      </c>
      <c r="J509" s="20">
        <f>Data!J509</f>
        <v>42402</v>
      </c>
      <c r="K509" s="20">
        <f>Data!K509</f>
        <v>43100</v>
      </c>
      <c r="L509" s="5" t="str">
        <f>Data!L509</f>
        <v>Active</v>
      </c>
      <c r="M509" s="5" t="str">
        <f>Data!M509</f>
        <v>Page (Corporate)</v>
      </c>
      <c r="P509" s="5" t="str">
        <f>Data!P509</f>
        <v>In Staff Review</v>
      </c>
      <c r="U509" s="5" t="str">
        <f>Data!U509</f>
        <v>United Kingdom</v>
      </c>
      <c r="Y509" s="5" t="str">
        <f>Data!Y509</f>
        <v>Europe</v>
      </c>
    </row>
    <row r="510" spans="1:25" x14ac:dyDescent="0.5">
      <c r="A510">
        <f>Data!A510</f>
        <v>21172</v>
      </c>
      <c r="J510" s="20">
        <f>Data!J510</f>
        <v>42401</v>
      </c>
      <c r="K510" s="20">
        <f>Data!K510</f>
        <v>43465</v>
      </c>
      <c r="L510" s="5" t="str">
        <f>Data!L510</f>
        <v>Active</v>
      </c>
      <c r="M510" s="5" t="str">
        <f>Data!M510</f>
        <v>Page (Corporate)</v>
      </c>
      <c r="P510" s="5" t="str">
        <f>Data!P510</f>
        <v>Eligible</v>
      </c>
      <c r="U510" s="5" t="str">
        <f>Data!U510</f>
        <v>UNITED STATES</v>
      </c>
      <c r="Y510" s="5" t="str">
        <f>Data!Y510</f>
        <v>United States</v>
      </c>
    </row>
    <row r="511" spans="1:25" x14ac:dyDescent="0.5">
      <c r="A511">
        <f>Data!A511</f>
        <v>21176</v>
      </c>
      <c r="J511" s="20">
        <f>Data!J511</f>
        <v>42417</v>
      </c>
      <c r="K511" s="20">
        <f>Data!K511</f>
        <v>43465</v>
      </c>
      <c r="L511" s="5" t="str">
        <f>Data!L511</f>
        <v>Active</v>
      </c>
      <c r="M511" s="5" t="str">
        <f>Data!M511</f>
        <v>Page (Corporate)</v>
      </c>
      <c r="P511" s="5" t="str">
        <f>Data!P511</f>
        <v>Eligible</v>
      </c>
      <c r="U511" s="5" t="str">
        <f>Data!U511</f>
        <v>UNITED STATES</v>
      </c>
      <c r="Y511" s="5" t="str">
        <f>Data!Y511</f>
        <v>United States</v>
      </c>
    </row>
    <row r="512" spans="1:25" x14ac:dyDescent="0.5">
      <c r="A512">
        <f>Data!A512</f>
        <v>21180</v>
      </c>
      <c r="J512" s="20">
        <f>Data!J512</f>
        <v>42402</v>
      </c>
      <c r="K512" s="20">
        <f>Data!K512</f>
        <v>43465</v>
      </c>
      <c r="L512" s="5" t="str">
        <f>Data!L512</f>
        <v>Active</v>
      </c>
      <c r="M512" s="5" t="str">
        <f>Data!M512</f>
        <v>Page (Agency)</v>
      </c>
      <c r="P512" s="5" t="str">
        <f>Data!P512</f>
        <v>Eligible</v>
      </c>
      <c r="U512" s="5" t="str">
        <f>Data!U512</f>
        <v>UNITED STATES</v>
      </c>
      <c r="Y512" s="5" t="str">
        <f>Data!Y512</f>
        <v>United States</v>
      </c>
    </row>
    <row r="513" spans="1:25" x14ac:dyDescent="0.5">
      <c r="A513">
        <f>Data!A513</f>
        <v>21181</v>
      </c>
      <c r="J513" s="20">
        <f>Data!J513</f>
        <v>42436</v>
      </c>
      <c r="K513" s="20">
        <f>Data!K513</f>
        <v>43465</v>
      </c>
      <c r="L513" s="5" t="str">
        <f>Data!L513</f>
        <v>Active</v>
      </c>
      <c r="M513" s="5" t="str">
        <f>Data!M513</f>
        <v>Page (Agency)</v>
      </c>
      <c r="P513" s="5" t="str">
        <f>Data!P513</f>
        <v>Eligible</v>
      </c>
      <c r="U513" s="5" t="str">
        <f>Data!U513</f>
        <v>Canada</v>
      </c>
      <c r="Y513" s="5" t="str">
        <f>Data!Y513</f>
        <v>Canada</v>
      </c>
    </row>
    <row r="514" spans="1:25" x14ac:dyDescent="0.5">
      <c r="A514">
        <f>Data!A514</f>
        <v>21182</v>
      </c>
      <c r="J514" s="20">
        <f>Data!J514</f>
        <v>42590</v>
      </c>
      <c r="K514" s="20">
        <f>Data!K514</f>
        <v>43465</v>
      </c>
      <c r="L514" s="5" t="str">
        <f>Data!L514</f>
        <v>Active</v>
      </c>
      <c r="M514" s="5" t="str">
        <f>Data!M514</f>
        <v>Page (Government)</v>
      </c>
      <c r="P514" s="5">
        <f>Data!P514</f>
        <v>0</v>
      </c>
      <c r="U514" s="5" t="str">
        <f>Data!U514</f>
        <v>UNITED STATES</v>
      </c>
      <c r="Y514" s="5" t="str">
        <f>Data!Y514</f>
        <v>United States</v>
      </c>
    </row>
    <row r="515" spans="1:25" x14ac:dyDescent="0.5">
      <c r="A515">
        <f>Data!A515</f>
        <v>21183</v>
      </c>
      <c r="J515" s="20">
        <f>Data!J515</f>
        <v>42506</v>
      </c>
      <c r="K515" s="20">
        <f>Data!K515</f>
        <v>43465</v>
      </c>
      <c r="L515" s="5" t="str">
        <f>Data!L515</f>
        <v>Active</v>
      </c>
      <c r="M515" s="5" t="str">
        <f>Data!M515</f>
        <v>Page (Educator)</v>
      </c>
      <c r="P515" s="5" t="str">
        <f>Data!P515</f>
        <v>Eligible</v>
      </c>
      <c r="U515" s="5" t="str">
        <f>Data!U515</f>
        <v>United Kingdom</v>
      </c>
      <c r="Y515" s="5" t="str">
        <f>Data!Y515</f>
        <v>Europe</v>
      </c>
    </row>
    <row r="516" spans="1:25" x14ac:dyDescent="0.5">
      <c r="A516">
        <f>Data!A516</f>
        <v>21184</v>
      </c>
      <c r="J516" s="20">
        <f>Data!J516</f>
        <v>42526</v>
      </c>
      <c r="K516" s="20">
        <f>Data!K516</f>
        <v>43465</v>
      </c>
      <c r="L516" s="5" t="str">
        <f>Data!L516</f>
        <v>Active</v>
      </c>
      <c r="M516" s="5" t="str">
        <f>Data!M516</f>
        <v>Page (Educator)</v>
      </c>
      <c r="P516" s="5" t="str">
        <f>Data!P516</f>
        <v>Eligible</v>
      </c>
      <c r="U516" s="5" t="str">
        <f>Data!U516</f>
        <v>UNITED STATES</v>
      </c>
      <c r="Y516" s="5" t="str">
        <f>Data!Y516</f>
        <v>United States</v>
      </c>
    </row>
    <row r="517" spans="1:25" x14ac:dyDescent="0.5">
      <c r="A517">
        <f>Data!A517</f>
        <v>21236</v>
      </c>
      <c r="J517" s="20">
        <f>Data!J517</f>
        <v>43334</v>
      </c>
      <c r="K517" s="20">
        <f>Data!K517</f>
        <v>43699</v>
      </c>
      <c r="L517" s="5" t="str">
        <f>Data!L517</f>
        <v>Active</v>
      </c>
      <c r="M517" s="5" t="str">
        <f>Data!M517</f>
        <v>Page (Corporate)</v>
      </c>
      <c r="P517" s="5" t="str">
        <f>Data!P517</f>
        <v>Eligible</v>
      </c>
      <c r="U517" s="5" t="str">
        <f>Data!U517</f>
        <v>UNITED STATES</v>
      </c>
      <c r="Y517" s="5" t="str">
        <f>Data!Y517</f>
        <v>United States</v>
      </c>
    </row>
    <row r="518" spans="1:25" x14ac:dyDescent="0.5">
      <c r="A518">
        <f>Data!A518</f>
        <v>21258</v>
      </c>
      <c r="J518" s="20">
        <f>Data!J518</f>
        <v>42557</v>
      </c>
      <c r="K518" s="20">
        <f>Data!K518</f>
        <v>43465</v>
      </c>
      <c r="L518" s="5" t="str">
        <f>Data!L518</f>
        <v>Active</v>
      </c>
      <c r="M518" s="5" t="str">
        <f>Data!M518</f>
        <v>Page (Corporate)</v>
      </c>
      <c r="P518" s="5" t="str">
        <f>Data!P518</f>
        <v>Eligible</v>
      </c>
      <c r="U518" s="5" t="str">
        <f>Data!U518</f>
        <v>UNITED STATES</v>
      </c>
      <c r="Y518" s="5" t="str">
        <f>Data!Y518</f>
        <v>United States</v>
      </c>
    </row>
    <row r="519" spans="1:25" x14ac:dyDescent="0.5">
      <c r="A519">
        <f>Data!A519</f>
        <v>21269</v>
      </c>
      <c r="J519" s="20">
        <f>Data!J519</f>
        <v>42466</v>
      </c>
      <c r="K519" s="20">
        <f>Data!K519</f>
        <v>43465</v>
      </c>
      <c r="L519" s="5" t="str">
        <f>Data!L519</f>
        <v>Active</v>
      </c>
      <c r="M519" s="5" t="str">
        <f>Data!M519</f>
        <v>Page (Corporate)</v>
      </c>
      <c r="P519" s="5" t="str">
        <f>Data!P519</f>
        <v>Non-Qualified</v>
      </c>
      <c r="U519" s="5" t="str">
        <f>Data!U519</f>
        <v>Japan</v>
      </c>
      <c r="Y519" s="5" t="str">
        <f>Data!Y519</f>
        <v>Asia:Other</v>
      </c>
    </row>
    <row r="520" spans="1:25" x14ac:dyDescent="0.5">
      <c r="A520">
        <f>Data!A520</f>
        <v>21310</v>
      </c>
      <c r="J520" s="20">
        <f>Data!J520</f>
        <v>43204</v>
      </c>
      <c r="K520" s="20">
        <f>Data!K520</f>
        <v>43569</v>
      </c>
      <c r="L520" s="5" t="str">
        <f>Data!L520</f>
        <v>Active</v>
      </c>
      <c r="M520" s="5" t="str">
        <f>Data!M520</f>
        <v>Page (Corporate)</v>
      </c>
      <c r="P520" s="5">
        <f>Data!P520</f>
        <v>0</v>
      </c>
      <c r="U520" s="5" t="str">
        <f>Data!U520</f>
        <v>UNITED STATES</v>
      </c>
      <c r="Y520" s="5" t="str">
        <f>Data!Y520</f>
        <v>United States</v>
      </c>
    </row>
    <row r="521" spans="1:25" x14ac:dyDescent="0.5">
      <c r="A521">
        <f>Data!A521</f>
        <v>21314</v>
      </c>
      <c r="J521" s="20">
        <f>Data!J521</f>
        <v>43284</v>
      </c>
      <c r="K521" s="20">
        <f>Data!K521</f>
        <v>43649</v>
      </c>
      <c r="L521" s="5" t="str">
        <f>Data!L521</f>
        <v>Active</v>
      </c>
      <c r="M521" s="5" t="str">
        <f>Data!M521</f>
        <v>Page (Corporate)</v>
      </c>
      <c r="P521" s="5">
        <f>Data!P521</f>
        <v>0</v>
      </c>
      <c r="U521" s="5" t="str">
        <f>Data!U521</f>
        <v>UNITED STATES</v>
      </c>
      <c r="Y521" s="5">
        <f>Data!Y521</f>
        <v>0</v>
      </c>
    </row>
    <row r="522" spans="1:25" x14ac:dyDescent="0.5">
      <c r="A522">
        <f>Data!A522</f>
        <v>21359</v>
      </c>
      <c r="J522" s="20">
        <f>Data!J522</f>
        <v>42499</v>
      </c>
      <c r="K522" s="20">
        <f>Data!K522</f>
        <v>43465</v>
      </c>
      <c r="L522" s="5" t="str">
        <f>Data!L522</f>
        <v>Active</v>
      </c>
      <c r="M522" s="5" t="str">
        <f>Data!M522</f>
        <v>Page (Corporate)</v>
      </c>
      <c r="P522" s="5" t="str">
        <f>Data!P522</f>
        <v>Eligible</v>
      </c>
      <c r="U522" s="5" t="str">
        <f>Data!U522</f>
        <v>United Kingdom</v>
      </c>
      <c r="Y522" s="5" t="str">
        <f>Data!Y522</f>
        <v>Europe</v>
      </c>
    </row>
    <row r="523" spans="1:25" x14ac:dyDescent="0.5">
      <c r="A523">
        <f>Data!A523</f>
        <v>21361</v>
      </c>
      <c r="J523" s="20">
        <f>Data!J523</f>
        <v>42528</v>
      </c>
      <c r="K523" s="20">
        <f>Data!K523</f>
        <v>43465</v>
      </c>
      <c r="L523" s="5" t="str">
        <f>Data!L523</f>
        <v>Active</v>
      </c>
      <c r="M523" s="5" t="str">
        <f>Data!M523</f>
        <v>Page (Corporate)</v>
      </c>
      <c r="P523" s="5" t="str">
        <f>Data!P523</f>
        <v>Eligible</v>
      </c>
      <c r="U523" s="5" t="str">
        <f>Data!U523</f>
        <v>UNITED STATES</v>
      </c>
      <c r="Y523" s="5" t="str">
        <f>Data!Y523</f>
        <v>United States</v>
      </c>
    </row>
    <row r="524" spans="1:25" x14ac:dyDescent="0.5">
      <c r="A524">
        <f>Data!A524</f>
        <v>21364</v>
      </c>
      <c r="J524" s="20">
        <f>Data!J524</f>
        <v>42478</v>
      </c>
      <c r="K524" s="20">
        <f>Data!K524</f>
        <v>43465</v>
      </c>
      <c r="L524" s="5" t="str">
        <f>Data!L524</f>
        <v>Active</v>
      </c>
      <c r="M524" s="5" t="str">
        <f>Data!M524</f>
        <v>Page (Corporate)</v>
      </c>
      <c r="P524" s="5" t="str">
        <f>Data!P524</f>
        <v>In Staff Review</v>
      </c>
      <c r="U524" s="5" t="str">
        <f>Data!U524</f>
        <v>UNITED STATES</v>
      </c>
      <c r="Y524" s="5" t="str">
        <f>Data!Y524</f>
        <v>United States</v>
      </c>
    </row>
    <row r="525" spans="1:25" x14ac:dyDescent="0.5">
      <c r="A525">
        <f>Data!A525</f>
        <v>21365</v>
      </c>
      <c r="J525" s="20">
        <f>Data!J525</f>
        <v>42475</v>
      </c>
      <c r="K525" s="20">
        <f>Data!K525</f>
        <v>43465</v>
      </c>
      <c r="L525" s="5" t="str">
        <f>Data!L525</f>
        <v>Active</v>
      </c>
      <c r="M525" s="5" t="str">
        <f>Data!M525</f>
        <v>Page (Corporate)</v>
      </c>
      <c r="P525" s="5" t="str">
        <f>Data!P525</f>
        <v>Non-Qualified</v>
      </c>
      <c r="U525" s="5" t="str">
        <f>Data!U525</f>
        <v>UNITED STATES</v>
      </c>
      <c r="Y525" s="5" t="str">
        <f>Data!Y525</f>
        <v>United States</v>
      </c>
    </row>
    <row r="526" spans="1:25" x14ac:dyDescent="0.5">
      <c r="A526">
        <f>Data!A526</f>
        <v>21366</v>
      </c>
      <c r="J526" s="20">
        <f>Data!J526</f>
        <v>42486</v>
      </c>
      <c r="K526" s="20">
        <f>Data!K526</f>
        <v>43465</v>
      </c>
      <c r="L526" s="5" t="str">
        <f>Data!L526</f>
        <v>Active</v>
      </c>
      <c r="M526" s="5" t="str">
        <f>Data!M526</f>
        <v>Page (Corporate)</v>
      </c>
      <c r="P526" s="5" t="str">
        <f>Data!P526</f>
        <v>Eligible</v>
      </c>
      <c r="U526" s="5" t="str">
        <f>Data!U526</f>
        <v>Sweden</v>
      </c>
      <c r="Y526" s="5" t="str">
        <f>Data!Y526</f>
        <v>Europe</v>
      </c>
    </row>
    <row r="527" spans="1:25" x14ac:dyDescent="0.5">
      <c r="A527">
        <f>Data!A527</f>
        <v>21367</v>
      </c>
      <c r="J527" s="20">
        <f>Data!J527</f>
        <v>42479</v>
      </c>
      <c r="K527" s="20">
        <f>Data!K527</f>
        <v>43465</v>
      </c>
      <c r="L527" s="5" t="str">
        <f>Data!L527</f>
        <v>Active</v>
      </c>
      <c r="M527" s="5" t="str">
        <f>Data!M527</f>
        <v>Page (Corporate)</v>
      </c>
      <c r="P527" s="5" t="str">
        <f>Data!P527</f>
        <v>Eligible</v>
      </c>
      <c r="U527" s="5" t="str">
        <f>Data!U527</f>
        <v>UNITED STATES</v>
      </c>
      <c r="Y527" s="5" t="str">
        <f>Data!Y527</f>
        <v>United States</v>
      </c>
    </row>
    <row r="528" spans="1:25" x14ac:dyDescent="0.5">
      <c r="A528">
        <f>Data!A528</f>
        <v>21369</v>
      </c>
      <c r="J528" s="20">
        <f>Data!J528</f>
        <v>42589</v>
      </c>
      <c r="K528" s="20">
        <f>Data!K528</f>
        <v>43465</v>
      </c>
      <c r="L528" s="5" t="str">
        <f>Data!L528</f>
        <v>Active</v>
      </c>
      <c r="M528" s="5" t="str">
        <f>Data!M528</f>
        <v>Page (Corporate)</v>
      </c>
      <c r="P528" s="5" t="str">
        <f>Data!P528</f>
        <v>Eligible</v>
      </c>
      <c r="U528" s="5" t="str">
        <f>Data!U528</f>
        <v>UNITED STATES</v>
      </c>
      <c r="Y528" s="5" t="str">
        <f>Data!Y528</f>
        <v>United States</v>
      </c>
    </row>
    <row r="529" spans="1:25" x14ac:dyDescent="0.5">
      <c r="A529">
        <f>Data!A529</f>
        <v>21371</v>
      </c>
      <c r="J529" s="20">
        <f>Data!J529</f>
        <v>42481</v>
      </c>
      <c r="K529" s="20">
        <f>Data!K529</f>
        <v>43465</v>
      </c>
      <c r="L529" s="5" t="str">
        <f>Data!L529</f>
        <v>Active</v>
      </c>
      <c r="M529" s="5" t="str">
        <f>Data!M529</f>
        <v>Page (Corporate)</v>
      </c>
      <c r="P529" s="5" t="str">
        <f>Data!P529</f>
        <v>Eligible</v>
      </c>
      <c r="U529" s="5" t="str">
        <f>Data!U529</f>
        <v>UNITED STATES</v>
      </c>
      <c r="Y529" s="5" t="str">
        <f>Data!Y529</f>
        <v>United States</v>
      </c>
    </row>
    <row r="530" spans="1:25" x14ac:dyDescent="0.5">
      <c r="A530">
        <f>Data!A530</f>
        <v>21373</v>
      </c>
      <c r="J530" s="20">
        <f>Data!J530</f>
        <v>42478</v>
      </c>
      <c r="K530" s="20">
        <f>Data!K530</f>
        <v>43465</v>
      </c>
      <c r="L530" s="5" t="str">
        <f>Data!L530</f>
        <v>Active</v>
      </c>
      <c r="M530" s="5" t="str">
        <f>Data!M530</f>
        <v>Page (Agency)</v>
      </c>
      <c r="P530" s="5">
        <f>Data!P530</f>
        <v>0</v>
      </c>
      <c r="U530" s="5" t="str">
        <f>Data!U530</f>
        <v>UNITED STATES</v>
      </c>
      <c r="Y530" s="5" t="str">
        <f>Data!Y530</f>
        <v>United States</v>
      </c>
    </row>
    <row r="531" spans="1:25" x14ac:dyDescent="0.5">
      <c r="A531">
        <f>Data!A531</f>
        <v>21375</v>
      </c>
      <c r="J531" s="20">
        <f>Data!J531</f>
        <v>42481</v>
      </c>
      <c r="K531" s="20">
        <f>Data!K531</f>
        <v>43465</v>
      </c>
      <c r="L531" s="5" t="str">
        <f>Data!L531</f>
        <v>Active</v>
      </c>
      <c r="M531" s="5" t="str">
        <f>Data!M531</f>
        <v>Page (Agency)</v>
      </c>
      <c r="P531" s="5" t="str">
        <f>Data!P531</f>
        <v>Eligible</v>
      </c>
      <c r="U531" s="5" t="str">
        <f>Data!U531</f>
        <v>Spain</v>
      </c>
      <c r="Y531" s="5" t="str">
        <f>Data!Y531</f>
        <v>Europe</v>
      </c>
    </row>
    <row r="532" spans="1:25" x14ac:dyDescent="0.5">
      <c r="A532">
        <f>Data!A532</f>
        <v>21376</v>
      </c>
      <c r="J532" s="20">
        <f>Data!J532</f>
        <v>42538</v>
      </c>
      <c r="K532" s="20">
        <f>Data!K532</f>
        <v>43465</v>
      </c>
      <c r="L532" s="5" t="str">
        <f>Data!L532</f>
        <v>Active</v>
      </c>
      <c r="M532" s="5" t="str">
        <f>Data!M532</f>
        <v>Page (Agency)</v>
      </c>
      <c r="P532" s="5" t="str">
        <f>Data!P532</f>
        <v>Eligible</v>
      </c>
      <c r="U532" s="5" t="str">
        <f>Data!U532</f>
        <v>UNITED STATES</v>
      </c>
      <c r="Y532" s="5" t="str">
        <f>Data!Y532</f>
        <v>United States</v>
      </c>
    </row>
    <row r="533" spans="1:25" x14ac:dyDescent="0.5">
      <c r="A533">
        <f>Data!A533</f>
        <v>21378</v>
      </c>
      <c r="J533" s="20">
        <f>Data!J533</f>
        <v>42475</v>
      </c>
      <c r="K533" s="20">
        <f>Data!K533</f>
        <v>43465</v>
      </c>
      <c r="L533" s="5" t="str">
        <f>Data!L533</f>
        <v>Active</v>
      </c>
      <c r="M533" s="5" t="str">
        <f>Data!M533</f>
        <v>Page (Agency)</v>
      </c>
      <c r="P533" s="5" t="str">
        <f>Data!P533</f>
        <v>Eligible</v>
      </c>
      <c r="U533" s="5" t="str">
        <f>Data!U533</f>
        <v>UNITED STATES</v>
      </c>
      <c r="Y533" s="5" t="str">
        <f>Data!Y533</f>
        <v>United States</v>
      </c>
    </row>
    <row r="534" spans="1:25" x14ac:dyDescent="0.5">
      <c r="A534">
        <f>Data!A534</f>
        <v>21379</v>
      </c>
      <c r="J534" s="20">
        <f>Data!J534</f>
        <v>42475</v>
      </c>
      <c r="K534" s="20">
        <f>Data!K534</f>
        <v>43465</v>
      </c>
      <c r="L534" s="5" t="str">
        <f>Data!L534</f>
        <v>Active</v>
      </c>
      <c r="M534" s="5" t="str">
        <f>Data!M534</f>
        <v>Page (Non-Profit)</v>
      </c>
      <c r="P534" s="5" t="str">
        <f>Data!P534</f>
        <v>Eligible</v>
      </c>
      <c r="U534" s="5" t="str">
        <f>Data!U534</f>
        <v>UNITED STATES</v>
      </c>
      <c r="Y534" s="5" t="str">
        <f>Data!Y534</f>
        <v>United States</v>
      </c>
    </row>
    <row r="535" spans="1:25" x14ac:dyDescent="0.5">
      <c r="A535">
        <f>Data!A535</f>
        <v>21380</v>
      </c>
      <c r="J535" s="20">
        <f>Data!J535</f>
        <v>42478</v>
      </c>
      <c r="K535" s="20">
        <f>Data!K535</f>
        <v>43465</v>
      </c>
      <c r="L535" s="5" t="str">
        <f>Data!L535</f>
        <v>Active</v>
      </c>
      <c r="M535" s="5" t="str">
        <f>Data!M535</f>
        <v>Page (Corporate)</v>
      </c>
      <c r="P535" s="5">
        <f>Data!P535</f>
        <v>0</v>
      </c>
      <c r="U535" s="5" t="str">
        <f>Data!U535</f>
        <v>UNITED STATES</v>
      </c>
      <c r="Y535" s="5" t="str">
        <f>Data!Y535</f>
        <v>United States</v>
      </c>
    </row>
    <row r="536" spans="1:25" x14ac:dyDescent="0.5">
      <c r="A536">
        <f>Data!A536</f>
        <v>21381</v>
      </c>
      <c r="J536" s="20">
        <f>Data!J536</f>
        <v>42478</v>
      </c>
      <c r="K536" s="20">
        <f>Data!K536</f>
        <v>43465</v>
      </c>
      <c r="L536" s="5" t="str">
        <f>Data!L536</f>
        <v>Active</v>
      </c>
      <c r="M536" s="5" t="str">
        <f>Data!M536</f>
        <v>Page (Non-Profit)</v>
      </c>
      <c r="P536" s="5" t="str">
        <f>Data!P536</f>
        <v>Eligible</v>
      </c>
      <c r="U536" s="5" t="str">
        <f>Data!U536</f>
        <v>UNITED STATES</v>
      </c>
      <c r="Y536" s="5" t="str">
        <f>Data!Y536</f>
        <v>United States</v>
      </c>
    </row>
    <row r="537" spans="1:25" x14ac:dyDescent="0.5">
      <c r="A537">
        <f>Data!A537</f>
        <v>21382</v>
      </c>
      <c r="J537" s="20">
        <f>Data!J537</f>
        <v>42480</v>
      </c>
      <c r="K537" s="20">
        <f>Data!K537</f>
        <v>43465</v>
      </c>
      <c r="L537" s="5" t="str">
        <f>Data!L537</f>
        <v>Active</v>
      </c>
      <c r="M537" s="5" t="str">
        <f>Data!M537</f>
        <v>Page (Non-Profit)</v>
      </c>
      <c r="P537" s="5" t="str">
        <f>Data!P537</f>
        <v>Eligible</v>
      </c>
      <c r="U537" s="5" t="str">
        <f>Data!U537</f>
        <v>UNITED STATES</v>
      </c>
      <c r="Y537" s="5" t="str">
        <f>Data!Y537</f>
        <v>United States</v>
      </c>
    </row>
    <row r="538" spans="1:25" x14ac:dyDescent="0.5">
      <c r="A538">
        <f>Data!A538</f>
        <v>21383</v>
      </c>
      <c r="J538" s="20">
        <f>Data!J538</f>
        <v>42478</v>
      </c>
      <c r="K538" s="20">
        <f>Data!K538</f>
        <v>43465</v>
      </c>
      <c r="L538" s="5" t="str">
        <f>Data!L538</f>
        <v>Active</v>
      </c>
      <c r="M538" s="5" t="str">
        <f>Data!M538</f>
        <v>Page (Non-Profit)</v>
      </c>
      <c r="P538" s="5" t="str">
        <f>Data!P538</f>
        <v>Eligible</v>
      </c>
      <c r="U538" s="5" t="str">
        <f>Data!U538</f>
        <v>UNITED STATES</v>
      </c>
      <c r="Y538" s="5" t="str">
        <f>Data!Y538</f>
        <v>United States</v>
      </c>
    </row>
    <row r="539" spans="1:25" x14ac:dyDescent="0.5">
      <c r="A539">
        <f>Data!A539</f>
        <v>21409</v>
      </c>
      <c r="J539" s="20">
        <f>Data!J539</f>
        <v>43185</v>
      </c>
      <c r="K539" s="20">
        <f>Data!K539</f>
        <v>43550</v>
      </c>
      <c r="L539" s="5" t="str">
        <f>Data!L539</f>
        <v>Active</v>
      </c>
      <c r="M539" s="5" t="str">
        <f>Data!M539</f>
        <v>Page (Corporate)</v>
      </c>
      <c r="P539" s="5">
        <f>Data!P539</f>
        <v>0</v>
      </c>
      <c r="U539" s="5" t="str">
        <f>Data!U539</f>
        <v>UNITED STATES</v>
      </c>
      <c r="Y539" s="5" t="str">
        <f>Data!Y539</f>
        <v>United States</v>
      </c>
    </row>
    <row r="540" spans="1:25" x14ac:dyDescent="0.5">
      <c r="A540">
        <f>Data!A540</f>
        <v>21423</v>
      </c>
      <c r="J540" s="20">
        <f>Data!J540</f>
        <v>42486</v>
      </c>
      <c r="K540" s="20">
        <f>Data!K540</f>
        <v>43465</v>
      </c>
      <c r="L540" s="5" t="str">
        <f>Data!L540</f>
        <v>Active</v>
      </c>
      <c r="M540" s="5" t="str">
        <f>Data!M540</f>
        <v>Page (Corporate)</v>
      </c>
      <c r="P540" s="5" t="str">
        <f>Data!P540</f>
        <v>Eligible</v>
      </c>
      <c r="U540" s="5" t="str">
        <f>Data!U540</f>
        <v>UNITED STATES</v>
      </c>
      <c r="Y540" s="5" t="str">
        <f>Data!Y540</f>
        <v>United States</v>
      </c>
    </row>
    <row r="541" spans="1:25" x14ac:dyDescent="0.5">
      <c r="A541">
        <f>Data!A541</f>
        <v>21433</v>
      </c>
      <c r="J541" s="20">
        <f>Data!J541</f>
        <v>42556</v>
      </c>
      <c r="K541" s="20">
        <f>Data!K541</f>
        <v>43465</v>
      </c>
      <c r="L541" s="5" t="str">
        <f>Data!L541</f>
        <v>Active</v>
      </c>
      <c r="M541" s="5" t="str">
        <f>Data!M541</f>
        <v>Page (Corporate)</v>
      </c>
      <c r="P541" s="5" t="str">
        <f>Data!P541</f>
        <v>Eligible</v>
      </c>
      <c r="U541" s="5" t="str">
        <f>Data!U541</f>
        <v>UNITED STATES</v>
      </c>
      <c r="Y541" s="5" t="str">
        <f>Data!Y541</f>
        <v>United States</v>
      </c>
    </row>
    <row r="542" spans="1:25" x14ac:dyDescent="0.5">
      <c r="A542">
        <f>Data!A542</f>
        <v>21434</v>
      </c>
      <c r="J542" s="20">
        <f>Data!J542</f>
        <v>42562</v>
      </c>
      <c r="K542" s="20">
        <f>Data!K542</f>
        <v>43465</v>
      </c>
      <c r="L542" s="5" t="str">
        <f>Data!L542</f>
        <v>Active</v>
      </c>
      <c r="M542" s="5" t="str">
        <f>Data!M542</f>
        <v>Page (Corporate)</v>
      </c>
      <c r="P542" s="5" t="str">
        <f>Data!P542</f>
        <v>Non-Qualified</v>
      </c>
      <c r="U542" s="5" t="str">
        <f>Data!U542</f>
        <v>UNITED STATES</v>
      </c>
      <c r="Y542" s="5">
        <f>Data!Y542</f>
        <v>0</v>
      </c>
    </row>
    <row r="543" spans="1:25" x14ac:dyDescent="0.5">
      <c r="A543">
        <f>Data!A543</f>
        <v>21435</v>
      </c>
      <c r="J543" s="20">
        <f>Data!J543</f>
        <v>42639</v>
      </c>
      <c r="K543" s="20">
        <f>Data!K543</f>
        <v>43100</v>
      </c>
      <c r="L543" s="5" t="str">
        <f>Data!L543</f>
        <v>Active</v>
      </c>
      <c r="M543" s="5" t="str">
        <f>Data!M543</f>
        <v>Page (Executive Search)</v>
      </c>
      <c r="P543" s="5" t="str">
        <f>Data!P543</f>
        <v>Eligible</v>
      </c>
      <c r="U543" s="5" t="str">
        <f>Data!U543</f>
        <v>United Kingdom</v>
      </c>
      <c r="Y543" s="5" t="str">
        <f>Data!Y543</f>
        <v>Europe</v>
      </c>
    </row>
    <row r="544" spans="1:25" x14ac:dyDescent="0.5">
      <c r="A544">
        <f>Data!A544</f>
        <v>21437</v>
      </c>
      <c r="J544" s="20">
        <f>Data!J544</f>
        <v>42578</v>
      </c>
      <c r="K544" s="20">
        <f>Data!K544</f>
        <v>43465</v>
      </c>
      <c r="L544" s="5" t="str">
        <f>Data!L544</f>
        <v>Active</v>
      </c>
      <c r="M544" s="5" t="str">
        <f>Data!M544</f>
        <v>Page (Agency)</v>
      </c>
      <c r="P544" s="5" t="str">
        <f>Data!P544</f>
        <v>Eligible</v>
      </c>
      <c r="U544" s="5" t="str">
        <f>Data!U544</f>
        <v>UNITED STATES</v>
      </c>
      <c r="Y544" s="5" t="str">
        <f>Data!Y544</f>
        <v>United States</v>
      </c>
    </row>
    <row r="545" spans="1:25" x14ac:dyDescent="0.5">
      <c r="A545">
        <f>Data!A545</f>
        <v>21438</v>
      </c>
      <c r="J545" s="20">
        <f>Data!J545</f>
        <v>42612</v>
      </c>
      <c r="K545" s="20">
        <f>Data!K545</f>
        <v>43465</v>
      </c>
      <c r="L545" s="5" t="str">
        <f>Data!L545</f>
        <v>Active</v>
      </c>
      <c r="M545" s="5" t="str">
        <f>Data!M545</f>
        <v>Page (Agency)</v>
      </c>
      <c r="P545" s="5" t="str">
        <f>Data!P545</f>
        <v>Eligible</v>
      </c>
      <c r="U545" s="5" t="str">
        <f>Data!U545</f>
        <v>UNITED STATES</v>
      </c>
      <c r="Y545" s="5" t="str">
        <f>Data!Y545</f>
        <v>United States</v>
      </c>
    </row>
    <row r="546" spans="1:25" x14ac:dyDescent="0.5">
      <c r="A546">
        <f>Data!A546</f>
        <v>21439</v>
      </c>
      <c r="J546" s="20">
        <f>Data!J546</f>
        <v>42578</v>
      </c>
      <c r="K546" s="20">
        <f>Data!K546</f>
        <v>43465</v>
      </c>
      <c r="L546" s="5" t="str">
        <f>Data!L546</f>
        <v>Active</v>
      </c>
      <c r="M546" s="5" t="str">
        <f>Data!M546</f>
        <v>Page (Agency)</v>
      </c>
      <c r="P546" s="5" t="str">
        <f>Data!P546</f>
        <v>Eligible</v>
      </c>
      <c r="U546" s="5" t="str">
        <f>Data!U546</f>
        <v>UNITED STATES</v>
      </c>
      <c r="Y546" s="5" t="str">
        <f>Data!Y546</f>
        <v>United States</v>
      </c>
    </row>
    <row r="547" spans="1:25" x14ac:dyDescent="0.5">
      <c r="A547">
        <f>Data!A547</f>
        <v>21440</v>
      </c>
      <c r="J547" s="20">
        <f>Data!J547</f>
        <v>42590</v>
      </c>
      <c r="K547" s="20">
        <f>Data!K547</f>
        <v>43465</v>
      </c>
      <c r="L547" s="5" t="str">
        <f>Data!L547</f>
        <v>Active</v>
      </c>
      <c r="M547" s="5" t="str">
        <f>Data!M547</f>
        <v>Page (Non-Profit)</v>
      </c>
      <c r="P547" s="5" t="str">
        <f>Data!P547</f>
        <v>Eligible</v>
      </c>
      <c r="U547" s="5" t="str">
        <f>Data!U547</f>
        <v>UNITED STATES</v>
      </c>
      <c r="Y547" s="5" t="str">
        <f>Data!Y547</f>
        <v>United States</v>
      </c>
    </row>
    <row r="548" spans="1:25" x14ac:dyDescent="0.5">
      <c r="A548">
        <f>Data!A548</f>
        <v>21441</v>
      </c>
      <c r="J548" s="20">
        <f>Data!J548</f>
        <v>42563</v>
      </c>
      <c r="K548" s="20">
        <f>Data!K548</f>
        <v>43465</v>
      </c>
      <c r="L548" s="5" t="str">
        <f>Data!L548</f>
        <v>Active</v>
      </c>
      <c r="M548" s="5" t="str">
        <f>Data!M548</f>
        <v>Page (Corporate)</v>
      </c>
      <c r="P548" s="5" t="str">
        <f>Data!P548</f>
        <v>Eligible</v>
      </c>
      <c r="U548" s="5" t="str">
        <f>Data!U548</f>
        <v>UNITED STATES</v>
      </c>
      <c r="Y548" s="5" t="str">
        <f>Data!Y548</f>
        <v>United States</v>
      </c>
    </row>
    <row r="549" spans="1:25" x14ac:dyDescent="0.5">
      <c r="A549">
        <f>Data!A549</f>
        <v>21444</v>
      </c>
      <c r="J549" s="20">
        <f>Data!J549</f>
        <v>42572</v>
      </c>
      <c r="K549" s="20">
        <f>Data!K549</f>
        <v>43465</v>
      </c>
      <c r="L549" s="5" t="str">
        <f>Data!L549</f>
        <v>Active</v>
      </c>
      <c r="M549" s="5" t="str">
        <f>Data!M549</f>
        <v>Page (Agency)</v>
      </c>
      <c r="P549" s="5" t="str">
        <f>Data!P549</f>
        <v>Eligible</v>
      </c>
      <c r="U549" s="5" t="str">
        <f>Data!U549</f>
        <v>Switzerland</v>
      </c>
      <c r="Y549" s="5" t="str">
        <f>Data!Y549</f>
        <v>Europe</v>
      </c>
    </row>
    <row r="550" spans="1:25" x14ac:dyDescent="0.5">
      <c r="A550">
        <f>Data!A550</f>
        <v>21452</v>
      </c>
      <c r="J550" s="20">
        <f>Data!J550</f>
        <v>43220</v>
      </c>
      <c r="K550" s="20">
        <f>Data!K550</f>
        <v>43585</v>
      </c>
      <c r="L550" s="5" t="str">
        <f>Data!L550</f>
        <v>Active</v>
      </c>
      <c r="M550" s="5" t="str">
        <f>Data!M550</f>
        <v>Page (Corporate)</v>
      </c>
      <c r="P550" s="5">
        <f>Data!P550</f>
        <v>0</v>
      </c>
      <c r="U550" s="5" t="str">
        <f>Data!U550</f>
        <v>UNITED STATES</v>
      </c>
      <c r="Y550" s="5" t="str">
        <f>Data!Y550</f>
        <v>United States</v>
      </c>
    </row>
    <row r="551" spans="1:25" x14ac:dyDescent="0.5">
      <c r="A551">
        <f>Data!A551</f>
        <v>21453</v>
      </c>
      <c r="J551" s="20">
        <f>Data!J551</f>
        <v>42639</v>
      </c>
      <c r="K551" s="20">
        <f>Data!K551</f>
        <v>43465</v>
      </c>
      <c r="L551" s="5" t="str">
        <f>Data!L551</f>
        <v>Active</v>
      </c>
      <c r="M551" s="5" t="str">
        <f>Data!M551</f>
        <v>Page (Corporate)</v>
      </c>
      <c r="P551" s="5" t="str">
        <f>Data!P551</f>
        <v>Eligible</v>
      </c>
      <c r="U551" s="5" t="str">
        <f>Data!U551</f>
        <v>UNITED STATES</v>
      </c>
      <c r="Y551" s="5" t="str">
        <f>Data!Y551</f>
        <v>United States</v>
      </c>
    </row>
    <row r="552" spans="1:25" x14ac:dyDescent="0.5">
      <c r="A552">
        <f>Data!A552</f>
        <v>21456</v>
      </c>
      <c r="J552" s="20">
        <f>Data!J552</f>
        <v>42488</v>
      </c>
      <c r="K552" s="20">
        <f>Data!K552</f>
        <v>43465</v>
      </c>
      <c r="L552" s="5" t="str">
        <f>Data!L552</f>
        <v>Active</v>
      </c>
      <c r="M552" s="5" t="str">
        <f>Data!M552</f>
        <v>Page (Agency)</v>
      </c>
      <c r="P552" s="5" t="str">
        <f>Data!P552</f>
        <v>Eligible</v>
      </c>
      <c r="U552" s="5" t="str">
        <f>Data!U552</f>
        <v>UNITED STATES</v>
      </c>
      <c r="Y552" s="5" t="str">
        <f>Data!Y552</f>
        <v>United States</v>
      </c>
    </row>
    <row r="553" spans="1:25" x14ac:dyDescent="0.5">
      <c r="A553">
        <f>Data!A553</f>
        <v>21469</v>
      </c>
      <c r="J553" s="20">
        <f>Data!J553</f>
        <v>42989</v>
      </c>
      <c r="K553" s="20">
        <f>Data!K553</f>
        <v>43354</v>
      </c>
      <c r="L553" s="5" t="str">
        <f>Data!L553</f>
        <v>Active</v>
      </c>
      <c r="M553" s="5" t="str">
        <f>Data!M553</f>
        <v>Page (Corporate)</v>
      </c>
      <c r="P553" s="5" t="str">
        <f>Data!P553</f>
        <v>Eligible</v>
      </c>
      <c r="U553" s="5" t="str">
        <f>Data!U553</f>
        <v>UNITED STATES</v>
      </c>
      <c r="Y553" s="5" t="str">
        <f>Data!Y553</f>
        <v>United States</v>
      </c>
    </row>
    <row r="554" spans="1:25" x14ac:dyDescent="0.5">
      <c r="A554">
        <f>Data!A554</f>
        <v>21471</v>
      </c>
      <c r="J554" s="20">
        <f>Data!J554</f>
        <v>42571</v>
      </c>
      <c r="K554" s="20">
        <f>Data!K554</f>
        <v>43465</v>
      </c>
      <c r="L554" s="5" t="str">
        <f>Data!L554</f>
        <v>Active</v>
      </c>
      <c r="M554" s="5" t="str">
        <f>Data!M554</f>
        <v>Page (Corporate)</v>
      </c>
      <c r="P554" s="5" t="str">
        <f>Data!P554</f>
        <v>Eligible</v>
      </c>
      <c r="U554" s="5" t="str">
        <f>Data!U554</f>
        <v>Germany</v>
      </c>
      <c r="Y554" s="5" t="str">
        <f>Data!Y554</f>
        <v>Europe</v>
      </c>
    </row>
    <row r="555" spans="1:25" x14ac:dyDescent="0.5">
      <c r="A555">
        <f>Data!A555</f>
        <v>21475</v>
      </c>
      <c r="J555" s="20">
        <f>Data!J555</f>
        <v>42565</v>
      </c>
      <c r="K555" s="20">
        <f>Data!K555</f>
        <v>43465</v>
      </c>
      <c r="L555" s="5" t="str">
        <f>Data!L555</f>
        <v>Active</v>
      </c>
      <c r="M555" s="5" t="str">
        <f>Data!M555</f>
        <v>Page (Corporate)</v>
      </c>
      <c r="P555" s="5" t="str">
        <f>Data!P555</f>
        <v>Eligible</v>
      </c>
      <c r="U555" s="5" t="str">
        <f>Data!U555</f>
        <v>UNITED STATES</v>
      </c>
      <c r="Y555" s="5" t="str">
        <f>Data!Y555</f>
        <v>United States</v>
      </c>
    </row>
    <row r="556" spans="1:25" x14ac:dyDescent="0.5">
      <c r="A556">
        <f>Data!A556</f>
        <v>21477</v>
      </c>
      <c r="J556" s="20">
        <f>Data!J556</f>
        <v>42556</v>
      </c>
      <c r="K556" s="20">
        <f>Data!K556</f>
        <v>43465</v>
      </c>
      <c r="L556" s="5" t="str">
        <f>Data!L556</f>
        <v>Active</v>
      </c>
      <c r="M556" s="5" t="str">
        <f>Data!M556</f>
        <v>Page (Corporate)</v>
      </c>
      <c r="P556" s="5" t="str">
        <f>Data!P556</f>
        <v>In Staff Review</v>
      </c>
      <c r="U556" s="5" t="str">
        <f>Data!U556</f>
        <v>UNITED STATES</v>
      </c>
      <c r="Y556" s="5" t="str">
        <f>Data!Y556</f>
        <v>United States</v>
      </c>
    </row>
    <row r="557" spans="1:25" x14ac:dyDescent="0.5">
      <c r="A557">
        <f>Data!A557</f>
        <v>21478</v>
      </c>
      <c r="J557" s="20">
        <f>Data!J557</f>
        <v>42572</v>
      </c>
      <c r="K557" s="20">
        <f>Data!K557</f>
        <v>43465</v>
      </c>
      <c r="L557" s="5" t="str">
        <f>Data!L557</f>
        <v>Active</v>
      </c>
      <c r="M557" s="5" t="str">
        <f>Data!M557</f>
        <v>Page (Corporate)</v>
      </c>
      <c r="P557" s="5">
        <f>Data!P557</f>
        <v>0</v>
      </c>
      <c r="U557" s="5" t="str">
        <f>Data!U557</f>
        <v>UNITED STATES</v>
      </c>
      <c r="Y557" s="5" t="str">
        <f>Data!Y557</f>
        <v>United States</v>
      </c>
    </row>
    <row r="558" spans="1:25" x14ac:dyDescent="0.5">
      <c r="A558">
        <f>Data!A558</f>
        <v>21481</v>
      </c>
      <c r="J558" s="20">
        <f>Data!J558</f>
        <v>42570</v>
      </c>
      <c r="K558" s="20">
        <f>Data!K558</f>
        <v>43465</v>
      </c>
      <c r="L558" s="5" t="str">
        <f>Data!L558</f>
        <v>Active</v>
      </c>
      <c r="M558" s="5" t="str">
        <f>Data!M558</f>
        <v>Page (Agency)</v>
      </c>
      <c r="P558" s="5" t="str">
        <f>Data!P558</f>
        <v>Eligible</v>
      </c>
      <c r="U558" s="5" t="str">
        <f>Data!U558</f>
        <v>United Kingdom</v>
      </c>
      <c r="Y558" s="5" t="str">
        <f>Data!Y558</f>
        <v>Europe</v>
      </c>
    </row>
    <row r="559" spans="1:25" x14ac:dyDescent="0.5">
      <c r="A559">
        <f>Data!A559</f>
        <v>21482</v>
      </c>
      <c r="J559" s="20">
        <f>Data!J559</f>
        <v>42557</v>
      </c>
      <c r="K559" s="20">
        <f>Data!K559</f>
        <v>43465</v>
      </c>
      <c r="L559" s="5" t="str">
        <f>Data!L559</f>
        <v>Active</v>
      </c>
      <c r="M559" s="5" t="str">
        <f>Data!M559</f>
        <v>Page (Agency)</v>
      </c>
      <c r="P559" s="5" t="str">
        <f>Data!P559</f>
        <v>Eligible</v>
      </c>
      <c r="U559" s="5" t="str">
        <f>Data!U559</f>
        <v>UNITED STATES</v>
      </c>
      <c r="Y559" s="5" t="str">
        <f>Data!Y559</f>
        <v>United States</v>
      </c>
    </row>
    <row r="560" spans="1:25" x14ac:dyDescent="0.5">
      <c r="A560">
        <f>Data!A560</f>
        <v>21484</v>
      </c>
      <c r="J560" s="20">
        <f>Data!J560</f>
        <v>42557</v>
      </c>
      <c r="K560" s="20">
        <f>Data!K560</f>
        <v>43465</v>
      </c>
      <c r="L560" s="5" t="str">
        <f>Data!L560</f>
        <v>Active</v>
      </c>
      <c r="M560" s="5" t="str">
        <f>Data!M560</f>
        <v>Page (Agency)</v>
      </c>
      <c r="P560" s="5" t="str">
        <f>Data!P560</f>
        <v>Eligible</v>
      </c>
      <c r="U560" s="5" t="str">
        <f>Data!U560</f>
        <v>UNITED STATES</v>
      </c>
      <c r="Y560" s="5" t="str">
        <f>Data!Y560</f>
        <v>United States</v>
      </c>
    </row>
    <row r="561" spans="1:25" x14ac:dyDescent="0.5">
      <c r="A561">
        <f>Data!A561</f>
        <v>21486</v>
      </c>
      <c r="J561" s="20">
        <f>Data!J561</f>
        <v>42556</v>
      </c>
      <c r="K561" s="20">
        <f>Data!K561</f>
        <v>43465</v>
      </c>
      <c r="L561" s="5" t="str">
        <f>Data!L561</f>
        <v>Active</v>
      </c>
      <c r="M561" s="5" t="str">
        <f>Data!M561</f>
        <v>Page (Educator)</v>
      </c>
      <c r="P561" s="5" t="str">
        <f>Data!P561</f>
        <v>Eligible</v>
      </c>
      <c r="U561" s="5" t="str">
        <f>Data!U561</f>
        <v>UNITED STATES</v>
      </c>
      <c r="Y561" s="5" t="str">
        <f>Data!Y561</f>
        <v>United States</v>
      </c>
    </row>
    <row r="562" spans="1:25" x14ac:dyDescent="0.5">
      <c r="A562">
        <f>Data!A562</f>
        <v>21488</v>
      </c>
      <c r="J562" s="20">
        <f>Data!J562</f>
        <v>42585</v>
      </c>
      <c r="K562" s="20">
        <f>Data!K562</f>
        <v>43465</v>
      </c>
      <c r="L562" s="5" t="str">
        <f>Data!L562</f>
        <v>Active</v>
      </c>
      <c r="M562" s="5" t="str">
        <f>Data!M562</f>
        <v>Page (Non-Profit)</v>
      </c>
      <c r="P562" s="5" t="str">
        <f>Data!P562</f>
        <v>Eligible</v>
      </c>
      <c r="U562" s="5" t="str">
        <f>Data!U562</f>
        <v>UNITED STATES</v>
      </c>
      <c r="Y562" s="5" t="str">
        <f>Data!Y562</f>
        <v>United States</v>
      </c>
    </row>
    <row r="563" spans="1:25" x14ac:dyDescent="0.5">
      <c r="A563">
        <f>Data!A563</f>
        <v>21516</v>
      </c>
      <c r="J563" s="20">
        <f>Data!J563</f>
        <v>42612</v>
      </c>
      <c r="K563" s="20">
        <f>Data!K563</f>
        <v>43465</v>
      </c>
      <c r="L563" s="5" t="str">
        <f>Data!L563</f>
        <v>Active</v>
      </c>
      <c r="M563" s="5" t="str">
        <f>Data!M563</f>
        <v>Page (Corporate)</v>
      </c>
      <c r="P563" s="5" t="str">
        <f>Data!P563</f>
        <v>Eligible</v>
      </c>
      <c r="U563" s="5" t="str">
        <f>Data!U563</f>
        <v>Switzerland</v>
      </c>
      <c r="Y563" s="5" t="str">
        <f>Data!Y563</f>
        <v>Europe</v>
      </c>
    </row>
    <row r="564" spans="1:25" x14ac:dyDescent="0.5">
      <c r="A564">
        <f>Data!A564</f>
        <v>21517</v>
      </c>
      <c r="J564" s="20">
        <f>Data!J564</f>
        <v>42640</v>
      </c>
      <c r="K564" s="20">
        <f>Data!K564</f>
        <v>43100</v>
      </c>
      <c r="L564" s="5" t="str">
        <f>Data!L564</f>
        <v>Active</v>
      </c>
      <c r="M564" s="5" t="str">
        <f>Data!M564</f>
        <v>Page (Corporate)</v>
      </c>
      <c r="P564" s="5" t="str">
        <f>Data!P564</f>
        <v>In Staff Review</v>
      </c>
      <c r="U564" s="5" t="str">
        <f>Data!U564</f>
        <v>Spain</v>
      </c>
      <c r="Y564" s="5" t="str">
        <f>Data!Y564</f>
        <v>Europe</v>
      </c>
    </row>
    <row r="565" spans="1:25" x14ac:dyDescent="0.5">
      <c r="A565">
        <f>Data!A565</f>
        <v>21520</v>
      </c>
      <c r="J565" s="20">
        <f>Data!J565</f>
        <v>42640</v>
      </c>
      <c r="K565" s="20">
        <f>Data!K565</f>
        <v>43465</v>
      </c>
      <c r="L565" s="5" t="str">
        <f>Data!L565</f>
        <v>Active</v>
      </c>
      <c r="M565" s="5" t="str">
        <f>Data!M565</f>
        <v>Page (Educator)</v>
      </c>
      <c r="P565" s="5" t="str">
        <f>Data!P565</f>
        <v>Eligible</v>
      </c>
      <c r="U565" s="5" t="str">
        <f>Data!U565</f>
        <v>Australia</v>
      </c>
      <c r="Y565" s="5" t="str">
        <f>Data!Y565</f>
        <v>Australia/NZ</v>
      </c>
    </row>
    <row r="566" spans="1:25" x14ac:dyDescent="0.5">
      <c r="A566">
        <f>Data!A566</f>
        <v>21521</v>
      </c>
      <c r="J566" s="20">
        <f>Data!J566</f>
        <v>42640</v>
      </c>
      <c r="K566" s="20">
        <f>Data!K566</f>
        <v>43465</v>
      </c>
      <c r="L566" s="5" t="str">
        <f>Data!L566</f>
        <v>Active</v>
      </c>
      <c r="M566" s="5" t="str">
        <f>Data!M566</f>
        <v>Page (Non-Profit)</v>
      </c>
      <c r="P566" s="5" t="str">
        <f>Data!P566</f>
        <v>Eligible</v>
      </c>
      <c r="U566" s="5" t="str">
        <f>Data!U566</f>
        <v>United Kingdom</v>
      </c>
      <c r="Y566" s="5" t="str">
        <f>Data!Y566</f>
        <v>Europe</v>
      </c>
    </row>
    <row r="567" spans="1:25" x14ac:dyDescent="0.5">
      <c r="A567">
        <f>Data!A567</f>
        <v>21523</v>
      </c>
      <c r="J567" s="20">
        <f>Data!J567</f>
        <v>42640</v>
      </c>
      <c r="K567" s="20">
        <f>Data!K567</f>
        <v>43465</v>
      </c>
      <c r="L567" s="5" t="str">
        <f>Data!L567</f>
        <v>Active</v>
      </c>
      <c r="M567" s="5" t="str">
        <f>Data!M567</f>
        <v>Page (Corporate)</v>
      </c>
      <c r="P567" s="5" t="str">
        <f>Data!P567</f>
        <v>Eligible</v>
      </c>
      <c r="U567" s="5" t="str">
        <f>Data!U567</f>
        <v>UNITED STATES</v>
      </c>
      <c r="Y567" s="5" t="str">
        <f>Data!Y567</f>
        <v>United States</v>
      </c>
    </row>
    <row r="568" spans="1:25" x14ac:dyDescent="0.5">
      <c r="A568">
        <f>Data!A568</f>
        <v>21525</v>
      </c>
      <c r="J568" s="20">
        <f>Data!J568</f>
        <v>42641</v>
      </c>
      <c r="K568" s="20">
        <f>Data!K568</f>
        <v>43465</v>
      </c>
      <c r="L568" s="5" t="str">
        <f>Data!L568</f>
        <v>Active</v>
      </c>
      <c r="M568" s="5" t="str">
        <f>Data!M568</f>
        <v>Page (Corporate)</v>
      </c>
      <c r="P568" s="5" t="str">
        <f>Data!P568</f>
        <v>Eligible</v>
      </c>
      <c r="U568" s="5" t="str">
        <f>Data!U568</f>
        <v>UNITED STATES</v>
      </c>
      <c r="Y568" s="5" t="str">
        <f>Data!Y568</f>
        <v>United States</v>
      </c>
    </row>
    <row r="569" spans="1:25" x14ac:dyDescent="0.5">
      <c r="A569">
        <f>Data!A569</f>
        <v>21529</v>
      </c>
      <c r="J569" s="20">
        <f>Data!J569</f>
        <v>42640</v>
      </c>
      <c r="K569" s="20">
        <f>Data!K569</f>
        <v>43465</v>
      </c>
      <c r="L569" s="5" t="str">
        <f>Data!L569</f>
        <v>Active</v>
      </c>
      <c r="M569" s="5" t="str">
        <f>Data!M569</f>
        <v>Page (Educator)</v>
      </c>
      <c r="P569" s="5" t="str">
        <f>Data!P569</f>
        <v>Eligible</v>
      </c>
      <c r="U569" s="5" t="str">
        <f>Data!U569</f>
        <v>UNITED STATES</v>
      </c>
      <c r="Y569" s="5" t="str">
        <f>Data!Y569</f>
        <v>United States</v>
      </c>
    </row>
    <row r="570" spans="1:25" x14ac:dyDescent="0.5">
      <c r="A570">
        <f>Data!A570</f>
        <v>21530</v>
      </c>
      <c r="J570" s="20">
        <f>Data!J570</f>
        <v>42716</v>
      </c>
      <c r="K570" s="20">
        <f>Data!K570</f>
        <v>43465</v>
      </c>
      <c r="L570" s="5" t="str">
        <f>Data!L570</f>
        <v>Active</v>
      </c>
      <c r="M570" s="5" t="str">
        <f>Data!M570</f>
        <v>Page (Educator)</v>
      </c>
      <c r="P570" s="5" t="str">
        <f>Data!P570</f>
        <v>Eligible</v>
      </c>
      <c r="U570" s="5" t="str">
        <f>Data!U570</f>
        <v>UNITED STATES</v>
      </c>
      <c r="Y570" s="5" t="str">
        <f>Data!Y570</f>
        <v>United States</v>
      </c>
    </row>
    <row r="571" spans="1:25" x14ac:dyDescent="0.5">
      <c r="A571">
        <f>Data!A571</f>
        <v>21545</v>
      </c>
      <c r="J571" s="20">
        <f>Data!J571</f>
        <v>43131</v>
      </c>
      <c r="K571" s="20">
        <f>Data!K571</f>
        <v>43496</v>
      </c>
      <c r="L571" s="5" t="str">
        <f>Data!L571</f>
        <v>Active</v>
      </c>
      <c r="M571" s="5" t="str">
        <f>Data!M571</f>
        <v>Page (Corporate)</v>
      </c>
      <c r="P571" s="5">
        <f>Data!P571</f>
        <v>0</v>
      </c>
      <c r="U571" s="5" t="str">
        <f>Data!U571</f>
        <v>Denmark</v>
      </c>
      <c r="Y571" s="5" t="str">
        <f>Data!Y571</f>
        <v>Europe</v>
      </c>
    </row>
    <row r="572" spans="1:25" x14ac:dyDescent="0.5">
      <c r="A572">
        <f>Data!A572</f>
        <v>21551</v>
      </c>
      <c r="J572" s="20">
        <f>Data!J572</f>
        <v>42640</v>
      </c>
      <c r="K572" s="20">
        <f>Data!K572</f>
        <v>43465</v>
      </c>
      <c r="L572" s="5" t="str">
        <f>Data!L572</f>
        <v>Active</v>
      </c>
      <c r="M572" s="5" t="str">
        <f>Data!M572</f>
        <v>Page (Corporate)</v>
      </c>
      <c r="P572" s="5" t="str">
        <f>Data!P572</f>
        <v>Eligible</v>
      </c>
      <c r="U572" s="5" t="str">
        <f>Data!U572</f>
        <v>UNITED STATES</v>
      </c>
      <c r="Y572" s="5" t="str">
        <f>Data!Y572</f>
        <v>United States</v>
      </c>
    </row>
    <row r="573" spans="1:25" x14ac:dyDescent="0.5">
      <c r="A573">
        <f>Data!A573</f>
        <v>21552</v>
      </c>
      <c r="J573" s="20">
        <f>Data!J573</f>
        <v>42647</v>
      </c>
      <c r="K573" s="20">
        <f>Data!K573</f>
        <v>43465</v>
      </c>
      <c r="L573" s="5" t="str">
        <f>Data!L573</f>
        <v>Active</v>
      </c>
      <c r="M573" s="5" t="str">
        <f>Data!M573</f>
        <v>Page (Corporate)</v>
      </c>
      <c r="P573" s="5" t="str">
        <f>Data!P573</f>
        <v>Eligible</v>
      </c>
      <c r="U573" s="5" t="str">
        <f>Data!U573</f>
        <v>Switzerland</v>
      </c>
      <c r="Y573" s="5" t="str">
        <f>Data!Y573</f>
        <v>Europe</v>
      </c>
    </row>
    <row r="574" spans="1:25" x14ac:dyDescent="0.5">
      <c r="A574">
        <f>Data!A574</f>
        <v>21555</v>
      </c>
      <c r="J574" s="20">
        <f>Data!J574</f>
        <v>42670</v>
      </c>
      <c r="K574" s="20">
        <f>Data!K574</f>
        <v>43465</v>
      </c>
      <c r="L574" s="5" t="str">
        <f>Data!L574</f>
        <v>Active</v>
      </c>
      <c r="M574" s="5" t="str">
        <f>Data!M574</f>
        <v>Page (Government)</v>
      </c>
      <c r="P574" s="5" t="str">
        <f>Data!P574</f>
        <v>Eligible</v>
      </c>
      <c r="U574" s="5" t="str">
        <f>Data!U574</f>
        <v>Germany</v>
      </c>
      <c r="Y574" s="5" t="str">
        <f>Data!Y574</f>
        <v>Europe</v>
      </c>
    </row>
    <row r="575" spans="1:25" x14ac:dyDescent="0.5">
      <c r="A575">
        <f>Data!A575</f>
        <v>21576</v>
      </c>
      <c r="J575" s="20">
        <f>Data!J575</f>
        <v>42717</v>
      </c>
      <c r="K575" s="20">
        <f>Data!K575</f>
        <v>43465</v>
      </c>
      <c r="L575" s="5" t="str">
        <f>Data!L575</f>
        <v>Active</v>
      </c>
      <c r="M575" s="5" t="str">
        <f>Data!M575</f>
        <v>Page (Corporate)</v>
      </c>
      <c r="P575" s="5" t="str">
        <f>Data!P575</f>
        <v>Eligible</v>
      </c>
      <c r="U575" s="5" t="str">
        <f>Data!U575</f>
        <v>UNITED STATES</v>
      </c>
      <c r="Y575" s="5" t="str">
        <f>Data!Y575</f>
        <v>United States</v>
      </c>
    </row>
    <row r="576" spans="1:25" x14ac:dyDescent="0.5">
      <c r="A576">
        <f>Data!A576</f>
        <v>21577</v>
      </c>
      <c r="J576" s="20">
        <f>Data!J576</f>
        <v>42712</v>
      </c>
      <c r="K576" s="20">
        <f>Data!K576</f>
        <v>43465</v>
      </c>
      <c r="L576" s="5" t="str">
        <f>Data!L576</f>
        <v>Active</v>
      </c>
      <c r="M576" s="5" t="str">
        <f>Data!M576</f>
        <v>Page (Corporate)</v>
      </c>
      <c r="P576" s="5" t="str">
        <f>Data!P576</f>
        <v>Eligible</v>
      </c>
      <c r="U576" s="5" t="str">
        <f>Data!U576</f>
        <v>UNITED STATES</v>
      </c>
      <c r="Y576" s="5" t="str">
        <f>Data!Y576</f>
        <v>United States</v>
      </c>
    </row>
    <row r="577" spans="1:25" x14ac:dyDescent="0.5">
      <c r="A577">
        <f>Data!A577</f>
        <v>21580</v>
      </c>
      <c r="J577" s="20">
        <f>Data!J577</f>
        <v>42712</v>
      </c>
      <c r="K577" s="20">
        <f>Data!K577</f>
        <v>43465</v>
      </c>
      <c r="L577" s="5" t="str">
        <f>Data!L577</f>
        <v>Active</v>
      </c>
      <c r="M577" s="5" t="str">
        <f>Data!M577</f>
        <v>Page (Corporate)</v>
      </c>
      <c r="P577" s="5" t="str">
        <f>Data!P577</f>
        <v>Eligible</v>
      </c>
      <c r="U577" s="5" t="str">
        <f>Data!U577</f>
        <v>UNITED STATES</v>
      </c>
      <c r="Y577" s="5" t="str">
        <f>Data!Y577</f>
        <v>United States</v>
      </c>
    </row>
    <row r="578" spans="1:25" x14ac:dyDescent="0.5">
      <c r="A578">
        <f>Data!A578</f>
        <v>21581</v>
      </c>
      <c r="J578" s="20">
        <f>Data!J578</f>
        <v>42745</v>
      </c>
      <c r="K578" s="20">
        <f>Data!K578</f>
        <v>43465</v>
      </c>
      <c r="L578" s="5" t="str">
        <f>Data!L578</f>
        <v>Active</v>
      </c>
      <c r="M578" s="5" t="str">
        <f>Data!M578</f>
        <v>Page (Non-Profit)</v>
      </c>
      <c r="P578" s="5" t="str">
        <f>Data!P578</f>
        <v>Eligible</v>
      </c>
      <c r="U578" s="5" t="str">
        <f>Data!U578</f>
        <v>UNITED STATES</v>
      </c>
      <c r="Y578" s="5" t="str">
        <f>Data!Y578</f>
        <v>United States</v>
      </c>
    </row>
    <row r="579" spans="1:25" x14ac:dyDescent="0.5">
      <c r="A579">
        <f>Data!A579</f>
        <v>21582</v>
      </c>
      <c r="J579" s="20">
        <f>Data!J579</f>
        <v>42712</v>
      </c>
      <c r="K579" s="20">
        <f>Data!K579</f>
        <v>43465</v>
      </c>
      <c r="L579" s="5" t="str">
        <f>Data!L579</f>
        <v>Active</v>
      </c>
      <c r="M579" s="5" t="str">
        <f>Data!M579</f>
        <v>Page (Educator)</v>
      </c>
      <c r="P579" s="5" t="str">
        <f>Data!P579</f>
        <v>Eligible</v>
      </c>
      <c r="U579" s="5" t="str">
        <f>Data!U579</f>
        <v>UNITED STATES</v>
      </c>
      <c r="Y579" s="5" t="str">
        <f>Data!Y579</f>
        <v>United States</v>
      </c>
    </row>
    <row r="580" spans="1:25" x14ac:dyDescent="0.5">
      <c r="A580">
        <f>Data!A580</f>
        <v>21583</v>
      </c>
      <c r="J580" s="20">
        <f>Data!J580</f>
        <v>42713</v>
      </c>
      <c r="K580" s="20">
        <f>Data!K580</f>
        <v>43465</v>
      </c>
      <c r="L580" s="5" t="str">
        <f>Data!L580</f>
        <v>Active</v>
      </c>
      <c r="M580" s="5" t="str">
        <f>Data!M580</f>
        <v>Page (Executive Search)</v>
      </c>
      <c r="P580" s="5" t="str">
        <f>Data!P580</f>
        <v>Eligible</v>
      </c>
      <c r="U580" s="5" t="str">
        <f>Data!U580</f>
        <v>United Kingdom</v>
      </c>
      <c r="Y580" s="5" t="str">
        <f>Data!Y580</f>
        <v>Europe</v>
      </c>
    </row>
    <row r="581" spans="1:25" x14ac:dyDescent="0.5">
      <c r="A581">
        <f>Data!A581</f>
        <v>21589</v>
      </c>
      <c r="J581" s="20">
        <f>Data!J581</f>
        <v>42908</v>
      </c>
      <c r="K581" s="20">
        <f>Data!K581</f>
        <v>43465</v>
      </c>
      <c r="L581" s="5" t="str">
        <f>Data!L581</f>
        <v>Active</v>
      </c>
      <c r="M581" s="5" t="str">
        <f>Data!M581</f>
        <v>Page (Corporate)</v>
      </c>
      <c r="P581" s="5" t="str">
        <f>Data!P581</f>
        <v>Eligible</v>
      </c>
      <c r="U581" s="5" t="str">
        <f>Data!U581</f>
        <v>UNITED STATES</v>
      </c>
      <c r="Y581" s="5" t="str">
        <f>Data!Y581</f>
        <v>United States</v>
      </c>
    </row>
    <row r="582" spans="1:25" x14ac:dyDescent="0.5">
      <c r="A582">
        <f>Data!A582</f>
        <v>21631</v>
      </c>
      <c r="J582" s="20">
        <f>Data!J582</f>
        <v>39570</v>
      </c>
      <c r="K582" s="20">
        <f>Data!K582</f>
        <v>43465</v>
      </c>
      <c r="L582" s="5" t="str">
        <f>Data!L582</f>
        <v>Active</v>
      </c>
      <c r="M582" s="5" t="str">
        <f>Data!M582</f>
        <v>Page (Agency)</v>
      </c>
      <c r="P582" s="5" t="str">
        <f>Data!P582</f>
        <v>Grandfathered</v>
      </c>
      <c r="U582" s="5" t="str">
        <f>Data!U582</f>
        <v>UNITED STATES</v>
      </c>
      <c r="Y582" s="5">
        <f>Data!Y582</f>
        <v>0</v>
      </c>
    </row>
    <row r="583" spans="1:25" x14ac:dyDescent="0.5">
      <c r="A583">
        <f>Data!A583</f>
        <v>21632</v>
      </c>
      <c r="J583" s="20">
        <f>Data!J583</f>
        <v>40476</v>
      </c>
      <c r="K583" s="20">
        <f>Data!K583</f>
        <v>43465</v>
      </c>
      <c r="L583" s="5" t="str">
        <f>Data!L583</f>
        <v>Active</v>
      </c>
      <c r="M583" s="5" t="str">
        <f>Data!M583</f>
        <v>Page (Corporate)</v>
      </c>
      <c r="P583" s="5" t="str">
        <f>Data!P583</f>
        <v>Grandfathered</v>
      </c>
      <c r="U583" s="5" t="str">
        <f>Data!U583</f>
        <v>UNITED STATES</v>
      </c>
      <c r="Y583" s="5" t="str">
        <f>Data!Y583</f>
        <v>United States</v>
      </c>
    </row>
    <row r="584" spans="1:25" x14ac:dyDescent="0.5">
      <c r="A584">
        <f>Data!A584</f>
        <v>21633</v>
      </c>
      <c r="J584" s="20">
        <f>Data!J584</f>
        <v>38594</v>
      </c>
      <c r="K584" s="20">
        <f>Data!K584</f>
        <v>43465</v>
      </c>
      <c r="L584" s="5" t="str">
        <f>Data!L584</f>
        <v>Active</v>
      </c>
      <c r="M584" s="5" t="str">
        <f>Data!M584</f>
        <v>Page (Agency)</v>
      </c>
      <c r="P584" s="5" t="str">
        <f>Data!P584</f>
        <v>Grandfathered</v>
      </c>
      <c r="U584" s="5" t="str">
        <f>Data!U584</f>
        <v>UNITED STATES</v>
      </c>
      <c r="Y584" s="5" t="str">
        <f>Data!Y584</f>
        <v>United States</v>
      </c>
    </row>
    <row r="585" spans="1:25" x14ac:dyDescent="0.5">
      <c r="A585">
        <f>Data!A585</f>
        <v>21650</v>
      </c>
      <c r="J585" s="20">
        <f>Data!J585</f>
        <v>42775</v>
      </c>
      <c r="K585" s="20">
        <f>Data!K585</f>
        <v>43465</v>
      </c>
      <c r="L585" s="5" t="str">
        <f>Data!L585</f>
        <v>Active</v>
      </c>
      <c r="M585" s="5" t="str">
        <f>Data!M585</f>
        <v>Page (Corporate)</v>
      </c>
      <c r="P585" s="5" t="str">
        <f>Data!P585</f>
        <v>Eligible</v>
      </c>
      <c r="U585" s="5" t="str">
        <f>Data!U585</f>
        <v>UNITED STATES</v>
      </c>
      <c r="Y585" s="5" t="str">
        <f>Data!Y585</f>
        <v>United States</v>
      </c>
    </row>
    <row r="586" spans="1:25" x14ac:dyDescent="0.5">
      <c r="A586">
        <f>Data!A586</f>
        <v>21658</v>
      </c>
      <c r="J586" s="20">
        <f>Data!J586</f>
        <v>41257</v>
      </c>
      <c r="K586" s="20">
        <f>Data!K586</f>
        <v>43465</v>
      </c>
      <c r="L586" s="5" t="str">
        <f>Data!L586</f>
        <v>Active</v>
      </c>
      <c r="M586" s="5" t="str">
        <f>Data!M586</f>
        <v>Page (Corporate)</v>
      </c>
      <c r="P586" s="5" t="str">
        <f>Data!P586</f>
        <v>Eligible</v>
      </c>
      <c r="U586" s="5" t="str">
        <f>Data!U586</f>
        <v>UNITED STATES</v>
      </c>
      <c r="Y586" s="5" t="str">
        <f>Data!Y586</f>
        <v>United States</v>
      </c>
    </row>
    <row r="587" spans="1:25" x14ac:dyDescent="0.5">
      <c r="A587">
        <f>Data!A587</f>
        <v>21728</v>
      </c>
      <c r="J587" s="20">
        <f>Data!J587</f>
        <v>41874</v>
      </c>
      <c r="K587" s="20">
        <f>Data!K587</f>
        <v>43465</v>
      </c>
      <c r="L587" s="5" t="str">
        <f>Data!L587</f>
        <v>Active</v>
      </c>
      <c r="M587" s="5" t="str">
        <f>Data!M587</f>
        <v>Page (Educator)</v>
      </c>
      <c r="P587" s="5" t="str">
        <f>Data!P587</f>
        <v>Eligible</v>
      </c>
      <c r="U587" s="5" t="str">
        <f>Data!U587</f>
        <v>UNITED STATES</v>
      </c>
      <c r="Y587" s="5" t="str">
        <f>Data!Y587</f>
        <v>United States</v>
      </c>
    </row>
    <row r="588" spans="1:25" x14ac:dyDescent="0.5">
      <c r="A588">
        <f>Data!A588</f>
        <v>21729</v>
      </c>
      <c r="J588" s="20">
        <f>Data!J588</f>
        <v>38056</v>
      </c>
      <c r="K588" s="20">
        <f>Data!K588</f>
        <v>43465</v>
      </c>
      <c r="L588" s="5" t="str">
        <f>Data!L588</f>
        <v>Active</v>
      </c>
      <c r="M588" s="5" t="str">
        <f>Data!M588</f>
        <v>Page (Corporate)</v>
      </c>
      <c r="P588" s="5" t="str">
        <f>Data!P588</f>
        <v>Grandfathered</v>
      </c>
      <c r="U588" s="5" t="str">
        <f>Data!U588</f>
        <v>UNITED STATES</v>
      </c>
      <c r="Y588" s="5" t="str">
        <f>Data!Y588</f>
        <v>United States</v>
      </c>
    </row>
    <row r="589" spans="1:25" x14ac:dyDescent="0.5">
      <c r="A589">
        <f>Data!A589</f>
        <v>21732</v>
      </c>
      <c r="J589" s="20">
        <f>Data!J589</f>
        <v>43080</v>
      </c>
      <c r="K589" s="20">
        <f>Data!K589</f>
        <v>43445</v>
      </c>
      <c r="L589" s="5" t="str">
        <f>Data!L589</f>
        <v>Active</v>
      </c>
      <c r="M589" s="5" t="str">
        <f>Data!M589</f>
        <v>Page (Educator)</v>
      </c>
      <c r="P589" s="5">
        <f>Data!P589</f>
        <v>0</v>
      </c>
      <c r="U589" s="5" t="str">
        <f>Data!U589</f>
        <v>UNITED STATES</v>
      </c>
      <c r="Y589" s="5" t="str">
        <f>Data!Y589</f>
        <v>United States</v>
      </c>
    </row>
    <row r="590" spans="1:25" x14ac:dyDescent="0.5">
      <c r="A590">
        <f>Data!A590</f>
        <v>21743</v>
      </c>
      <c r="J590" s="20">
        <f>Data!J590</f>
        <v>42783</v>
      </c>
      <c r="K590" s="20">
        <f>Data!K590</f>
        <v>43465</v>
      </c>
      <c r="L590" s="5" t="str">
        <f>Data!L590</f>
        <v>Active</v>
      </c>
      <c r="M590" s="5" t="str">
        <f>Data!M590</f>
        <v>Page (Educator)</v>
      </c>
      <c r="P590" s="5" t="str">
        <f>Data!P590</f>
        <v>Eligible</v>
      </c>
      <c r="U590" s="5" t="str">
        <f>Data!U590</f>
        <v>Netherlands</v>
      </c>
      <c r="Y590" s="5" t="str">
        <f>Data!Y590</f>
        <v>Europe</v>
      </c>
    </row>
    <row r="591" spans="1:25" x14ac:dyDescent="0.5">
      <c r="A591">
        <f>Data!A591</f>
        <v>21744</v>
      </c>
      <c r="J591" s="20">
        <f>Data!J591</f>
        <v>42837</v>
      </c>
      <c r="K591" s="20">
        <f>Data!K591</f>
        <v>43465</v>
      </c>
      <c r="L591" s="5" t="str">
        <f>Data!L591</f>
        <v>Active</v>
      </c>
      <c r="M591" s="5" t="str">
        <f>Data!M591</f>
        <v>Page (Corporate)</v>
      </c>
      <c r="P591" s="5" t="str">
        <f>Data!P591</f>
        <v>Eligible</v>
      </c>
      <c r="U591" s="5" t="str">
        <f>Data!U591</f>
        <v>India</v>
      </c>
      <c r="Y591" s="5" t="str">
        <f>Data!Y591</f>
        <v>Asia:India</v>
      </c>
    </row>
    <row r="592" spans="1:25" x14ac:dyDescent="0.5">
      <c r="A592">
        <f>Data!A592</f>
        <v>21745</v>
      </c>
      <c r="J592" s="20">
        <f>Data!J592</f>
        <v>42809</v>
      </c>
      <c r="K592" s="20">
        <f>Data!K592</f>
        <v>43465</v>
      </c>
      <c r="L592" s="5" t="str">
        <f>Data!L592</f>
        <v>Active</v>
      </c>
      <c r="M592" s="5" t="str">
        <f>Data!M592</f>
        <v>Page (Corporate)</v>
      </c>
      <c r="P592" s="5" t="str">
        <f>Data!P592</f>
        <v>Eligible</v>
      </c>
      <c r="U592" s="5" t="str">
        <f>Data!U592</f>
        <v>United Kingdom</v>
      </c>
      <c r="Y592" s="5" t="str">
        <f>Data!Y592</f>
        <v>Europe</v>
      </c>
    </row>
    <row r="593" spans="1:25" x14ac:dyDescent="0.5">
      <c r="A593">
        <f>Data!A593</f>
        <v>21748</v>
      </c>
      <c r="J593" s="20">
        <f>Data!J593</f>
        <v>42800</v>
      </c>
      <c r="K593" s="20">
        <f>Data!K593</f>
        <v>43465</v>
      </c>
      <c r="L593" s="5" t="str">
        <f>Data!L593</f>
        <v>Active</v>
      </c>
      <c r="M593" s="5" t="str">
        <f>Data!M593</f>
        <v>Page (Corporate)</v>
      </c>
      <c r="P593" s="5" t="str">
        <f>Data!P593</f>
        <v>Eligible</v>
      </c>
      <c r="U593" s="5" t="str">
        <f>Data!U593</f>
        <v>UNITED STATES</v>
      </c>
      <c r="Y593" s="5" t="str">
        <f>Data!Y593</f>
        <v>United States</v>
      </c>
    </row>
    <row r="594" spans="1:25" x14ac:dyDescent="0.5">
      <c r="A594">
        <f>Data!A594</f>
        <v>21750</v>
      </c>
      <c r="J594" s="20">
        <f>Data!J594</f>
        <v>42905</v>
      </c>
      <c r="K594" s="20">
        <f>Data!K594</f>
        <v>43465</v>
      </c>
      <c r="L594" s="5" t="str">
        <f>Data!L594</f>
        <v>Active</v>
      </c>
      <c r="M594" s="5" t="str">
        <f>Data!M594</f>
        <v>Page (Corporate)</v>
      </c>
      <c r="P594" s="5" t="str">
        <f>Data!P594</f>
        <v>Eligible</v>
      </c>
      <c r="U594" s="5" t="str">
        <f>Data!U594</f>
        <v>UNITED STATES</v>
      </c>
      <c r="Y594" s="5" t="str">
        <f>Data!Y594</f>
        <v>United States</v>
      </c>
    </row>
    <row r="595" spans="1:25" x14ac:dyDescent="0.5">
      <c r="A595">
        <f>Data!A595</f>
        <v>21751</v>
      </c>
      <c r="J595" s="20">
        <f>Data!J595</f>
        <v>42822</v>
      </c>
      <c r="K595" s="20">
        <f>Data!K595</f>
        <v>43465</v>
      </c>
      <c r="L595" s="5" t="str">
        <f>Data!L595</f>
        <v>Active</v>
      </c>
      <c r="M595" s="5" t="str">
        <f>Data!M595</f>
        <v>Page (Corporate)</v>
      </c>
      <c r="P595" s="5" t="str">
        <f>Data!P595</f>
        <v>Eligible</v>
      </c>
      <c r="U595" s="5" t="str">
        <f>Data!U595</f>
        <v>India</v>
      </c>
      <c r="Y595" s="5" t="str">
        <f>Data!Y595</f>
        <v>Asia:India</v>
      </c>
    </row>
    <row r="596" spans="1:25" x14ac:dyDescent="0.5">
      <c r="A596">
        <f>Data!A596</f>
        <v>21753</v>
      </c>
      <c r="J596" s="20">
        <f>Data!J596</f>
        <v>42804</v>
      </c>
      <c r="K596" s="20">
        <f>Data!K596</f>
        <v>43465</v>
      </c>
      <c r="L596" s="5" t="str">
        <f>Data!L596</f>
        <v>Active</v>
      </c>
      <c r="M596" s="5" t="str">
        <f>Data!M596</f>
        <v>Page (Corporate)</v>
      </c>
      <c r="P596" s="5" t="str">
        <f>Data!P596</f>
        <v>Eligible</v>
      </c>
      <c r="U596" s="5" t="str">
        <f>Data!U596</f>
        <v>UNITED STATES</v>
      </c>
      <c r="Y596" s="5" t="str">
        <f>Data!Y596</f>
        <v>United States</v>
      </c>
    </row>
    <row r="597" spans="1:25" x14ac:dyDescent="0.5">
      <c r="A597">
        <f>Data!A597</f>
        <v>21754</v>
      </c>
      <c r="J597" s="20">
        <f>Data!J597</f>
        <v>42789</v>
      </c>
      <c r="K597" s="20">
        <f>Data!K597</f>
        <v>43465</v>
      </c>
      <c r="L597" s="5" t="str">
        <f>Data!L597</f>
        <v>Active</v>
      </c>
      <c r="M597" s="5" t="str">
        <f>Data!M597</f>
        <v>Page (Corporate)</v>
      </c>
      <c r="P597" s="5" t="str">
        <f>Data!P597</f>
        <v>Eligible</v>
      </c>
      <c r="U597" s="5" t="str">
        <f>Data!U597</f>
        <v>UNITED STATES</v>
      </c>
      <c r="Y597" s="5" t="str">
        <f>Data!Y597</f>
        <v>United States</v>
      </c>
    </row>
    <row r="598" spans="1:25" x14ac:dyDescent="0.5">
      <c r="A598">
        <f>Data!A598</f>
        <v>21756</v>
      </c>
      <c r="J598" s="20">
        <f>Data!J598</f>
        <v>42809</v>
      </c>
      <c r="K598" s="20">
        <f>Data!K598</f>
        <v>43465</v>
      </c>
      <c r="L598" s="5" t="str">
        <f>Data!L598</f>
        <v>Active</v>
      </c>
      <c r="M598" s="5" t="str">
        <f>Data!M598</f>
        <v>Page (Non-Profit)</v>
      </c>
      <c r="P598" s="5" t="str">
        <f>Data!P598</f>
        <v>Eligible</v>
      </c>
      <c r="U598" s="5" t="str">
        <f>Data!U598</f>
        <v>UNITED STATES</v>
      </c>
      <c r="Y598" s="5" t="str">
        <f>Data!Y598</f>
        <v>United States</v>
      </c>
    </row>
    <row r="599" spans="1:25" x14ac:dyDescent="0.5">
      <c r="A599">
        <f>Data!A599</f>
        <v>21757</v>
      </c>
      <c r="J599" s="20">
        <f>Data!J599</f>
        <v>42873</v>
      </c>
      <c r="K599" s="20">
        <f>Data!K599</f>
        <v>43465</v>
      </c>
      <c r="L599" s="5" t="str">
        <f>Data!L599</f>
        <v>Active</v>
      </c>
      <c r="M599" s="5" t="str">
        <f>Data!M599</f>
        <v>Page (Non-Profit)</v>
      </c>
      <c r="P599" s="5" t="str">
        <f>Data!P599</f>
        <v>Eligible</v>
      </c>
      <c r="U599" s="5" t="str">
        <f>Data!U599</f>
        <v>UNITED STATES</v>
      </c>
      <c r="Y599" s="5" t="str">
        <f>Data!Y599</f>
        <v>United States</v>
      </c>
    </row>
    <row r="600" spans="1:25" x14ac:dyDescent="0.5">
      <c r="A600">
        <f>Data!A600</f>
        <v>21773</v>
      </c>
      <c r="J600" s="20">
        <f>Data!J600</f>
        <v>43325</v>
      </c>
      <c r="K600" s="20">
        <f>Data!K600</f>
        <v>43690</v>
      </c>
      <c r="L600" s="5" t="str">
        <f>Data!L600</f>
        <v>Active</v>
      </c>
      <c r="M600" s="5" t="str">
        <f>Data!M600</f>
        <v>Page (Corporate)</v>
      </c>
      <c r="P600" s="5" t="str">
        <f>Data!P600</f>
        <v>Eligible</v>
      </c>
      <c r="U600" s="5" t="str">
        <f>Data!U600</f>
        <v>UNITED STATES</v>
      </c>
      <c r="Y600" s="5" t="str">
        <f>Data!Y600</f>
        <v>United States</v>
      </c>
    </row>
    <row r="601" spans="1:25" x14ac:dyDescent="0.5">
      <c r="A601">
        <f>Data!A601</f>
        <v>21780</v>
      </c>
      <c r="J601" s="20">
        <f>Data!J601</f>
        <v>42837</v>
      </c>
      <c r="K601" s="20">
        <f>Data!K601</f>
        <v>43465</v>
      </c>
      <c r="L601" s="5" t="str">
        <f>Data!L601</f>
        <v>Active</v>
      </c>
      <c r="M601" s="5" t="str">
        <f>Data!M601</f>
        <v>Page (Corporate)</v>
      </c>
      <c r="P601" s="5" t="str">
        <f>Data!P601</f>
        <v>In Staff Review</v>
      </c>
      <c r="U601" s="5" t="str">
        <f>Data!U601</f>
        <v>UNITED STATES</v>
      </c>
      <c r="Y601" s="5" t="str">
        <f>Data!Y601</f>
        <v>United States</v>
      </c>
    </row>
    <row r="602" spans="1:25" x14ac:dyDescent="0.5">
      <c r="A602">
        <f>Data!A602</f>
        <v>21781</v>
      </c>
      <c r="J602" s="20">
        <f>Data!J602</f>
        <v>42849</v>
      </c>
      <c r="K602" s="20">
        <f>Data!K602</f>
        <v>43465</v>
      </c>
      <c r="L602" s="5" t="str">
        <f>Data!L602</f>
        <v>Active</v>
      </c>
      <c r="M602" s="5" t="str">
        <f>Data!M602</f>
        <v>Page (Corporate)</v>
      </c>
      <c r="P602" s="5" t="str">
        <f>Data!P602</f>
        <v>Eligible</v>
      </c>
      <c r="U602" s="5" t="str">
        <f>Data!U602</f>
        <v>Australia</v>
      </c>
      <c r="Y602" s="5" t="str">
        <f>Data!Y602</f>
        <v>Australia/NZ</v>
      </c>
    </row>
    <row r="603" spans="1:25" x14ac:dyDescent="0.5">
      <c r="A603">
        <f>Data!A603</f>
        <v>21783</v>
      </c>
      <c r="J603" s="20">
        <f>Data!J603</f>
        <v>42838</v>
      </c>
      <c r="K603" s="20">
        <f>Data!K603</f>
        <v>43465</v>
      </c>
      <c r="L603" s="5" t="str">
        <f>Data!L603</f>
        <v>Active</v>
      </c>
      <c r="M603" s="5" t="str">
        <f>Data!M603</f>
        <v>Page (Corporate)</v>
      </c>
      <c r="P603" s="5" t="str">
        <f>Data!P603</f>
        <v>Eligible</v>
      </c>
      <c r="U603" s="5" t="str">
        <f>Data!U603</f>
        <v>UNITED STATES</v>
      </c>
      <c r="Y603" s="5" t="str">
        <f>Data!Y603</f>
        <v>United States</v>
      </c>
    </row>
    <row r="604" spans="1:25" x14ac:dyDescent="0.5">
      <c r="A604">
        <f>Data!A604</f>
        <v>21786</v>
      </c>
      <c r="J604" s="20">
        <f>Data!J604</f>
        <v>42856</v>
      </c>
      <c r="K604" s="20">
        <f>Data!K604</f>
        <v>43465</v>
      </c>
      <c r="L604" s="5" t="str">
        <f>Data!L604</f>
        <v>Active</v>
      </c>
      <c r="M604" s="5" t="str">
        <f>Data!M604</f>
        <v>Page (Corporate)</v>
      </c>
      <c r="P604" s="5" t="str">
        <f>Data!P604</f>
        <v>Eligible</v>
      </c>
      <c r="U604" s="5" t="str">
        <f>Data!U604</f>
        <v>UNITED STATES</v>
      </c>
      <c r="Y604" s="5" t="str">
        <f>Data!Y604</f>
        <v>United States</v>
      </c>
    </row>
    <row r="605" spans="1:25" x14ac:dyDescent="0.5">
      <c r="A605">
        <f>Data!A605</f>
        <v>21787</v>
      </c>
      <c r="J605" s="20">
        <f>Data!J605</f>
        <v>42915</v>
      </c>
      <c r="K605" s="20">
        <f>Data!K605</f>
        <v>43465</v>
      </c>
      <c r="L605" s="5" t="str">
        <f>Data!L605</f>
        <v>Active</v>
      </c>
      <c r="M605" s="5" t="str">
        <f>Data!M605</f>
        <v>Page (Corporate)</v>
      </c>
      <c r="P605" s="5" t="str">
        <f>Data!P605</f>
        <v>Eligible</v>
      </c>
      <c r="U605" s="5" t="str">
        <f>Data!U605</f>
        <v>UNITED STATES</v>
      </c>
      <c r="Y605" s="5" t="str">
        <f>Data!Y605</f>
        <v>United States</v>
      </c>
    </row>
    <row r="606" spans="1:25" x14ac:dyDescent="0.5">
      <c r="A606">
        <f>Data!A606</f>
        <v>21788</v>
      </c>
      <c r="J606" s="20">
        <f>Data!J606</f>
        <v>42837</v>
      </c>
      <c r="K606" s="20">
        <f>Data!K606</f>
        <v>43465</v>
      </c>
      <c r="L606" s="5" t="str">
        <f>Data!L606</f>
        <v>Active</v>
      </c>
      <c r="M606" s="5" t="str">
        <f>Data!M606</f>
        <v>Page (Educator)</v>
      </c>
      <c r="P606" s="5" t="str">
        <f>Data!P606</f>
        <v>Eligible</v>
      </c>
      <c r="U606" s="5" t="str">
        <f>Data!U606</f>
        <v>UNITED STATES</v>
      </c>
      <c r="Y606" s="5" t="str">
        <f>Data!Y606</f>
        <v>United States</v>
      </c>
    </row>
    <row r="607" spans="1:25" x14ac:dyDescent="0.5">
      <c r="A607">
        <f>Data!A607</f>
        <v>21789</v>
      </c>
      <c r="J607" s="20">
        <f>Data!J607</f>
        <v>42921</v>
      </c>
      <c r="K607" s="20">
        <f>Data!K607</f>
        <v>43465</v>
      </c>
      <c r="L607" s="5" t="str">
        <f>Data!L607</f>
        <v>Active</v>
      </c>
      <c r="M607" s="5" t="str">
        <f>Data!M607</f>
        <v>Page (Non-Profit)</v>
      </c>
      <c r="P607" s="5" t="str">
        <f>Data!P607</f>
        <v>Eligible</v>
      </c>
      <c r="U607" s="5" t="str">
        <f>Data!U607</f>
        <v>Canada</v>
      </c>
      <c r="Y607" s="5" t="str">
        <f>Data!Y607</f>
        <v>Canada</v>
      </c>
    </row>
    <row r="608" spans="1:25" x14ac:dyDescent="0.5">
      <c r="A608">
        <f>Data!A608</f>
        <v>21803</v>
      </c>
      <c r="J608" s="20">
        <f>Data!J608</f>
        <v>43354</v>
      </c>
      <c r="K608" s="20">
        <f>Data!K608</f>
        <v>43719</v>
      </c>
      <c r="L608" s="5" t="str">
        <f>Data!L608</f>
        <v>Active</v>
      </c>
      <c r="M608" s="5" t="str">
        <f>Data!M608</f>
        <v>Page (Agency)</v>
      </c>
      <c r="P608" s="5" t="str">
        <f>Data!P608</f>
        <v>Eligible</v>
      </c>
      <c r="U608" s="5" t="str">
        <f>Data!U608</f>
        <v>UNITED STATES</v>
      </c>
      <c r="Y608" s="5" t="str">
        <f>Data!Y608</f>
        <v>United States</v>
      </c>
    </row>
    <row r="609" spans="1:25" x14ac:dyDescent="0.5">
      <c r="A609">
        <f>Data!A609</f>
        <v>21806</v>
      </c>
      <c r="J609" s="20">
        <f>Data!J609</f>
        <v>42837</v>
      </c>
      <c r="K609" s="20">
        <f>Data!K609</f>
        <v>43465</v>
      </c>
      <c r="L609" s="5" t="str">
        <f>Data!L609</f>
        <v>Active</v>
      </c>
      <c r="M609" s="5" t="str">
        <f>Data!M609</f>
        <v>Page (Corporate)</v>
      </c>
      <c r="P609" s="5" t="str">
        <f>Data!P609</f>
        <v>Eligible</v>
      </c>
      <c r="U609" s="5" t="str">
        <f>Data!U609</f>
        <v>UNITED STATES</v>
      </c>
      <c r="Y609" s="5" t="str">
        <f>Data!Y609</f>
        <v>United States</v>
      </c>
    </row>
    <row r="610" spans="1:25" x14ac:dyDescent="0.5">
      <c r="A610">
        <f>Data!A610</f>
        <v>21807</v>
      </c>
      <c r="J610" s="20">
        <f>Data!J610</f>
        <v>42873</v>
      </c>
      <c r="K610" s="20">
        <f>Data!K610</f>
        <v>43465</v>
      </c>
      <c r="L610" s="5" t="str">
        <f>Data!L610</f>
        <v>Active</v>
      </c>
      <c r="M610" s="5" t="str">
        <f>Data!M610</f>
        <v>Page (Non-Profit)</v>
      </c>
      <c r="P610" s="5" t="str">
        <f>Data!P610</f>
        <v>Eligible</v>
      </c>
      <c r="U610" s="5" t="str">
        <f>Data!U610</f>
        <v>UNITED STATES</v>
      </c>
      <c r="Y610" s="5" t="str">
        <f>Data!Y610</f>
        <v>United States</v>
      </c>
    </row>
    <row r="611" spans="1:25" x14ac:dyDescent="0.5">
      <c r="A611">
        <f>Data!A611</f>
        <v>21808</v>
      </c>
      <c r="J611" s="20">
        <f>Data!J611</f>
        <v>42837</v>
      </c>
      <c r="K611" s="20">
        <f>Data!K611</f>
        <v>43465</v>
      </c>
      <c r="L611" s="5" t="str">
        <f>Data!L611</f>
        <v>Active</v>
      </c>
      <c r="M611" s="5" t="str">
        <f>Data!M611</f>
        <v>Page (Educator)</v>
      </c>
      <c r="P611" s="5" t="str">
        <f>Data!P611</f>
        <v>Eligible</v>
      </c>
      <c r="U611" s="5" t="str">
        <f>Data!U611</f>
        <v>UNITED STATES</v>
      </c>
      <c r="Y611" s="5" t="str">
        <f>Data!Y611</f>
        <v>United States</v>
      </c>
    </row>
    <row r="612" spans="1:25" x14ac:dyDescent="0.5">
      <c r="A612">
        <f>Data!A612</f>
        <v>21809</v>
      </c>
      <c r="J612" s="20">
        <f>Data!J612</f>
        <v>35796</v>
      </c>
      <c r="K612" s="20">
        <f>Data!K612</f>
        <v>43465</v>
      </c>
      <c r="L612" s="5" t="str">
        <f>Data!L612</f>
        <v>Active</v>
      </c>
      <c r="M612" s="5" t="str">
        <f>Data!M612</f>
        <v>Page (Corporate)</v>
      </c>
      <c r="P612" s="5" t="str">
        <f>Data!P612</f>
        <v>Grandfathered</v>
      </c>
      <c r="U612" s="5" t="str">
        <f>Data!U612</f>
        <v>UNITED STATES</v>
      </c>
      <c r="Y612" s="5" t="str">
        <f>Data!Y612</f>
        <v>United States</v>
      </c>
    </row>
    <row r="613" spans="1:25" x14ac:dyDescent="0.5">
      <c r="A613">
        <f>Data!A613</f>
        <v>21810</v>
      </c>
      <c r="J613" s="20">
        <f>Data!J613</f>
        <v>42850</v>
      </c>
      <c r="K613" s="20">
        <f>Data!K613</f>
        <v>43465</v>
      </c>
      <c r="L613" s="5" t="str">
        <f>Data!L613</f>
        <v>Active</v>
      </c>
      <c r="M613" s="5" t="str">
        <f>Data!M613</f>
        <v>Page (Corporate)</v>
      </c>
      <c r="P613" s="5" t="str">
        <f>Data!P613</f>
        <v>Eligible</v>
      </c>
      <c r="U613" s="5" t="str">
        <f>Data!U613</f>
        <v>UNITED STATES</v>
      </c>
      <c r="Y613" s="5" t="str">
        <f>Data!Y613</f>
        <v>United States</v>
      </c>
    </row>
    <row r="614" spans="1:25" x14ac:dyDescent="0.5">
      <c r="A614">
        <f>Data!A614</f>
        <v>21812</v>
      </c>
      <c r="J614" s="20">
        <f>Data!J614</f>
        <v>43321</v>
      </c>
      <c r="K614" s="20">
        <f>Data!K614</f>
        <v>43686</v>
      </c>
      <c r="L614" s="5" t="str">
        <f>Data!L614</f>
        <v>Active</v>
      </c>
      <c r="M614" s="5" t="str">
        <f>Data!M614</f>
        <v>Page (Corporate)</v>
      </c>
      <c r="P614" s="5">
        <f>Data!P614</f>
        <v>0</v>
      </c>
      <c r="U614" s="5" t="str">
        <f>Data!U614</f>
        <v>UNITED STATES</v>
      </c>
      <c r="Y614" s="5" t="str">
        <f>Data!Y614</f>
        <v>United States</v>
      </c>
    </row>
    <row r="615" spans="1:25" x14ac:dyDescent="0.5">
      <c r="A615">
        <f>Data!A615</f>
        <v>21813</v>
      </c>
      <c r="J615" s="20">
        <f>Data!J615</f>
        <v>42850</v>
      </c>
      <c r="K615" s="20">
        <f>Data!K615</f>
        <v>43465</v>
      </c>
      <c r="L615" s="5" t="str">
        <f>Data!L615</f>
        <v>Active</v>
      </c>
      <c r="M615" s="5" t="str">
        <f>Data!M615</f>
        <v>Page (Non-Profit)</v>
      </c>
      <c r="P615" s="5" t="str">
        <f>Data!P615</f>
        <v>Eligible</v>
      </c>
      <c r="U615" s="5" t="str">
        <f>Data!U615</f>
        <v>UNITED STATES</v>
      </c>
      <c r="Y615" s="5" t="str">
        <f>Data!Y615</f>
        <v>United States</v>
      </c>
    </row>
    <row r="616" spans="1:25" x14ac:dyDescent="0.5">
      <c r="A616">
        <f>Data!A616</f>
        <v>21824</v>
      </c>
      <c r="J616" s="20">
        <f>Data!J616</f>
        <v>43335</v>
      </c>
      <c r="K616" s="20">
        <f>Data!K616</f>
        <v>43700</v>
      </c>
      <c r="L616" s="5" t="str">
        <f>Data!L616</f>
        <v>Active</v>
      </c>
      <c r="M616" s="5" t="str">
        <f>Data!M616</f>
        <v>Page (Corporate)</v>
      </c>
      <c r="P616" s="5">
        <f>Data!P616</f>
        <v>0</v>
      </c>
      <c r="U616" s="5" t="str">
        <f>Data!U616</f>
        <v>UNITED STATES</v>
      </c>
      <c r="Y616" s="5" t="str">
        <f>Data!Y616</f>
        <v>United States</v>
      </c>
    </row>
    <row r="617" spans="1:25" x14ac:dyDescent="0.5">
      <c r="A617">
        <f>Data!A617</f>
        <v>21825</v>
      </c>
      <c r="J617" s="20">
        <f>Data!J617</f>
        <v>42935</v>
      </c>
      <c r="K617" s="20">
        <f>Data!K617</f>
        <v>43465</v>
      </c>
      <c r="L617" s="5" t="str">
        <f>Data!L617</f>
        <v>Active</v>
      </c>
      <c r="M617" s="5" t="str">
        <f>Data!M617</f>
        <v>Page (Corporate)</v>
      </c>
      <c r="P617" s="5" t="str">
        <f>Data!P617</f>
        <v>Eligible</v>
      </c>
      <c r="U617" s="5" t="str">
        <f>Data!U617</f>
        <v>UNITED STATES</v>
      </c>
      <c r="Y617" s="5" t="str">
        <f>Data!Y617</f>
        <v>United States</v>
      </c>
    </row>
    <row r="618" spans="1:25" x14ac:dyDescent="0.5">
      <c r="A618">
        <f>Data!A618</f>
        <v>21826</v>
      </c>
      <c r="J618" s="20">
        <f>Data!J618</f>
        <v>42977</v>
      </c>
      <c r="K618" s="20">
        <f>Data!K618</f>
        <v>43341</v>
      </c>
      <c r="L618" s="5" t="str">
        <f>Data!L618</f>
        <v>Active</v>
      </c>
      <c r="M618" s="5" t="str">
        <f>Data!M618</f>
        <v>Page (Corporate)</v>
      </c>
      <c r="P618" s="5" t="str">
        <f>Data!P618</f>
        <v>Eligible</v>
      </c>
      <c r="U618" s="5" t="str">
        <f>Data!U618</f>
        <v>UNITED STATES</v>
      </c>
      <c r="Y618" s="5" t="str">
        <f>Data!Y618</f>
        <v>United States</v>
      </c>
    </row>
    <row r="619" spans="1:25" x14ac:dyDescent="0.5">
      <c r="A619">
        <f>Data!A619</f>
        <v>21827</v>
      </c>
      <c r="J619" s="20">
        <f>Data!J619</f>
        <v>38546</v>
      </c>
      <c r="K619" s="20">
        <f>Data!K619</f>
        <v>43465</v>
      </c>
      <c r="L619" s="5" t="str">
        <f>Data!L619</f>
        <v>Active</v>
      </c>
      <c r="M619" s="5" t="str">
        <f>Data!M619</f>
        <v>Page (Corporate)</v>
      </c>
      <c r="P619" s="5" t="str">
        <f>Data!P619</f>
        <v>Grandfathered</v>
      </c>
      <c r="U619" s="5" t="str">
        <f>Data!U619</f>
        <v>Canada</v>
      </c>
      <c r="Y619" s="5" t="str">
        <f>Data!Y619</f>
        <v>Canada</v>
      </c>
    </row>
    <row r="620" spans="1:25" x14ac:dyDescent="0.5">
      <c r="A620">
        <f>Data!A620</f>
        <v>21829</v>
      </c>
      <c r="J620" s="20">
        <f>Data!J620</f>
        <v>42972</v>
      </c>
      <c r="K620" s="20">
        <f>Data!K620</f>
        <v>43336</v>
      </c>
      <c r="L620" s="5" t="str">
        <f>Data!L620</f>
        <v>Active</v>
      </c>
      <c r="M620" s="5" t="str">
        <f>Data!M620</f>
        <v>Page (Corporate)</v>
      </c>
      <c r="P620" s="5" t="str">
        <f>Data!P620</f>
        <v>Eligible</v>
      </c>
      <c r="U620" s="5" t="str">
        <f>Data!U620</f>
        <v>UNITED STATES</v>
      </c>
      <c r="Y620" s="5" t="str">
        <f>Data!Y620</f>
        <v>United States</v>
      </c>
    </row>
    <row r="621" spans="1:25" x14ac:dyDescent="0.5">
      <c r="A621">
        <f>Data!A621</f>
        <v>21857</v>
      </c>
      <c r="J621" s="20">
        <f>Data!J621</f>
        <v>42921</v>
      </c>
      <c r="K621" s="20">
        <f>Data!K621</f>
        <v>43465</v>
      </c>
      <c r="L621" s="5" t="str">
        <f>Data!L621</f>
        <v>Active</v>
      </c>
      <c r="M621" s="5" t="str">
        <f>Data!M621</f>
        <v>Page (Agency)</v>
      </c>
      <c r="P621" s="5" t="str">
        <f>Data!P621</f>
        <v>Eligible</v>
      </c>
      <c r="U621" s="5" t="str">
        <f>Data!U621</f>
        <v>United Kingdom</v>
      </c>
      <c r="Y621" s="5" t="str">
        <f>Data!Y621</f>
        <v>Europe</v>
      </c>
    </row>
    <row r="622" spans="1:25" x14ac:dyDescent="0.5">
      <c r="A622">
        <f>Data!A622</f>
        <v>21858</v>
      </c>
      <c r="J622" s="20">
        <f>Data!J622</f>
        <v>42914</v>
      </c>
      <c r="K622" s="20">
        <f>Data!K622</f>
        <v>43644</v>
      </c>
      <c r="L622" s="5" t="str">
        <f>Data!L622</f>
        <v>Active</v>
      </c>
      <c r="M622" s="5" t="str">
        <f>Data!M622</f>
        <v>Page (Corporate)</v>
      </c>
      <c r="P622" s="5" t="str">
        <f>Data!P622</f>
        <v>Eligible</v>
      </c>
      <c r="U622" s="5" t="str">
        <f>Data!U622</f>
        <v>Australia</v>
      </c>
      <c r="Y622" s="5" t="str">
        <f>Data!Y622</f>
        <v>Australia/NZ</v>
      </c>
    </row>
    <row r="623" spans="1:25" x14ac:dyDescent="0.5">
      <c r="A623">
        <f>Data!A623</f>
        <v>21859</v>
      </c>
      <c r="J623" s="20">
        <f>Data!J623</f>
        <v>42916</v>
      </c>
      <c r="K623" s="20">
        <f>Data!K623</f>
        <v>43465</v>
      </c>
      <c r="L623" s="5" t="str">
        <f>Data!L623</f>
        <v>Active</v>
      </c>
      <c r="M623" s="5" t="str">
        <f>Data!M623</f>
        <v>Page (Corporate)</v>
      </c>
      <c r="P623" s="5" t="str">
        <f>Data!P623</f>
        <v>Eligible</v>
      </c>
      <c r="U623" s="5" t="str">
        <f>Data!U623</f>
        <v>Australia</v>
      </c>
      <c r="Y623" s="5" t="str">
        <f>Data!Y623</f>
        <v>Australia/NZ</v>
      </c>
    </row>
    <row r="624" spans="1:25" x14ac:dyDescent="0.5">
      <c r="A624">
        <f>Data!A624</f>
        <v>21860</v>
      </c>
      <c r="J624" s="20">
        <f>Data!J624</f>
        <v>42948</v>
      </c>
      <c r="K624" s="20">
        <f>Data!K624</f>
        <v>43678</v>
      </c>
      <c r="L624" s="5" t="str">
        <f>Data!L624</f>
        <v>Active</v>
      </c>
      <c r="M624" s="5" t="str">
        <f>Data!M624</f>
        <v>Page (Corporate)</v>
      </c>
      <c r="P624" s="5" t="str">
        <f>Data!P624</f>
        <v>Eligible</v>
      </c>
      <c r="U624" s="5" t="str">
        <f>Data!U624</f>
        <v>UNITED STATES</v>
      </c>
      <c r="Y624" s="5" t="str">
        <f>Data!Y624</f>
        <v>United States</v>
      </c>
    </row>
    <row r="625" spans="1:25" x14ac:dyDescent="0.5">
      <c r="A625">
        <f>Data!A625</f>
        <v>21861</v>
      </c>
      <c r="J625" s="20">
        <f>Data!J625</f>
        <v>42933</v>
      </c>
      <c r="K625" s="20">
        <f>Data!K625</f>
        <v>43465</v>
      </c>
      <c r="L625" s="5" t="str">
        <f>Data!L625</f>
        <v>Active</v>
      </c>
      <c r="M625" s="5" t="str">
        <f>Data!M625</f>
        <v>Page (Agency)</v>
      </c>
      <c r="P625" s="5" t="str">
        <f>Data!P625</f>
        <v>Eligible</v>
      </c>
      <c r="U625" s="5" t="str">
        <f>Data!U625</f>
        <v>United Kingdom</v>
      </c>
      <c r="Y625" s="5" t="str">
        <f>Data!Y625</f>
        <v>Europe</v>
      </c>
    </row>
    <row r="626" spans="1:25" x14ac:dyDescent="0.5">
      <c r="A626">
        <f>Data!A626</f>
        <v>21863</v>
      </c>
      <c r="J626" s="20">
        <f>Data!J626</f>
        <v>42921</v>
      </c>
      <c r="K626" s="20">
        <f>Data!K626</f>
        <v>43465</v>
      </c>
      <c r="L626" s="5" t="str">
        <f>Data!L626</f>
        <v>Active</v>
      </c>
      <c r="M626" s="5" t="str">
        <f>Data!M626</f>
        <v>Page (Agency)</v>
      </c>
      <c r="P626" s="5" t="str">
        <f>Data!P626</f>
        <v>Eligible</v>
      </c>
      <c r="U626" s="5" t="str">
        <f>Data!U626</f>
        <v>Ireland</v>
      </c>
      <c r="Y626" s="5" t="str">
        <f>Data!Y626</f>
        <v>Europe</v>
      </c>
    </row>
    <row r="627" spans="1:25" x14ac:dyDescent="0.5">
      <c r="A627">
        <f>Data!A627</f>
        <v>21878</v>
      </c>
      <c r="J627" s="20">
        <f>Data!J627</f>
        <v>42930</v>
      </c>
      <c r="K627" s="20">
        <f>Data!K627</f>
        <v>43465</v>
      </c>
      <c r="L627" s="5" t="str">
        <f>Data!L627</f>
        <v>Active</v>
      </c>
      <c r="M627" s="5" t="str">
        <f>Data!M627</f>
        <v>Page (Corporate)</v>
      </c>
      <c r="P627" s="5" t="str">
        <f>Data!P627</f>
        <v>Eligible</v>
      </c>
      <c r="U627" s="5" t="str">
        <f>Data!U627</f>
        <v>India</v>
      </c>
      <c r="Y627" s="5" t="str">
        <f>Data!Y627</f>
        <v>Asia:India</v>
      </c>
    </row>
    <row r="628" spans="1:25" x14ac:dyDescent="0.5">
      <c r="A628">
        <f>Data!A628</f>
        <v>21880</v>
      </c>
      <c r="J628" s="20">
        <f>Data!J628</f>
        <v>43304</v>
      </c>
      <c r="K628" s="20">
        <f>Data!K628</f>
        <v>43669</v>
      </c>
      <c r="L628" s="5" t="str">
        <f>Data!L628</f>
        <v>Active</v>
      </c>
      <c r="M628" s="5" t="str">
        <f>Data!M628</f>
        <v>Page (Corporate)</v>
      </c>
      <c r="P628" s="5" t="str">
        <f>Data!P628</f>
        <v>Eligible</v>
      </c>
      <c r="U628" s="5" t="str">
        <f>Data!U628</f>
        <v>India</v>
      </c>
      <c r="Y628" s="5" t="str">
        <f>Data!Y628</f>
        <v>Asia:India</v>
      </c>
    </row>
    <row r="629" spans="1:25" x14ac:dyDescent="0.5">
      <c r="A629">
        <f>Data!A629</f>
        <v>21920</v>
      </c>
      <c r="J629" s="20">
        <f>Data!J629</f>
        <v>42914</v>
      </c>
      <c r="K629" s="20">
        <f>Data!K629</f>
        <v>43465</v>
      </c>
      <c r="L629" s="5" t="str">
        <f>Data!L629</f>
        <v>Active</v>
      </c>
      <c r="M629" s="5" t="str">
        <f>Data!M629</f>
        <v>Page (Corporate)</v>
      </c>
      <c r="P629" s="5" t="str">
        <f>Data!P629</f>
        <v>Eligible</v>
      </c>
      <c r="U629" s="5" t="str">
        <f>Data!U629</f>
        <v>UNITED STATES</v>
      </c>
      <c r="Y629" s="5" t="str">
        <f>Data!Y629</f>
        <v>United States</v>
      </c>
    </row>
    <row r="630" spans="1:25" x14ac:dyDescent="0.5">
      <c r="A630">
        <f>Data!A630</f>
        <v>21921</v>
      </c>
      <c r="J630" s="20">
        <f>Data!J630</f>
        <v>43202</v>
      </c>
      <c r="K630" s="20">
        <f>Data!K630</f>
        <v>43567</v>
      </c>
      <c r="L630" s="5" t="str">
        <f>Data!L630</f>
        <v>Active</v>
      </c>
      <c r="M630" s="5" t="str">
        <f>Data!M630</f>
        <v>Page (Executive Search)</v>
      </c>
      <c r="P630" s="5">
        <f>Data!P630</f>
        <v>0</v>
      </c>
      <c r="U630" s="5" t="str">
        <f>Data!U630</f>
        <v>UNITED STATES</v>
      </c>
      <c r="Y630" s="5" t="str">
        <f>Data!Y630</f>
        <v>United States</v>
      </c>
    </row>
    <row r="631" spans="1:25" x14ac:dyDescent="0.5">
      <c r="A631">
        <f>Data!A631</f>
        <v>21922</v>
      </c>
      <c r="J631" s="20">
        <f>Data!J631</f>
        <v>42975</v>
      </c>
      <c r="K631" s="20">
        <f>Data!K631</f>
        <v>43339</v>
      </c>
      <c r="L631" s="5" t="str">
        <f>Data!L631</f>
        <v>Active</v>
      </c>
      <c r="M631" s="5" t="str">
        <f>Data!M631</f>
        <v>Page (Corporate)</v>
      </c>
      <c r="P631" s="5" t="str">
        <f>Data!P631</f>
        <v>Eligible</v>
      </c>
      <c r="U631" s="5" t="str">
        <f>Data!U631</f>
        <v>UNITED STATES</v>
      </c>
      <c r="Y631" s="5" t="str">
        <f>Data!Y631</f>
        <v>United States</v>
      </c>
    </row>
    <row r="632" spans="1:25" x14ac:dyDescent="0.5">
      <c r="A632">
        <f>Data!A632</f>
        <v>21923</v>
      </c>
      <c r="J632" s="20">
        <f>Data!J632</f>
        <v>43283</v>
      </c>
      <c r="K632" s="20">
        <f>Data!K632</f>
        <v>43648</v>
      </c>
      <c r="L632" s="5" t="str">
        <f>Data!L632</f>
        <v>Active</v>
      </c>
      <c r="M632" s="5" t="str">
        <f>Data!M632</f>
        <v>Page (Corporate)</v>
      </c>
      <c r="P632" s="5">
        <f>Data!P632</f>
        <v>0</v>
      </c>
      <c r="U632" s="5" t="str">
        <f>Data!U632</f>
        <v>United Arab Emirates</v>
      </c>
      <c r="Y632" s="5" t="str">
        <f>Data!Y632</f>
        <v>Middle East/Africa</v>
      </c>
    </row>
    <row r="633" spans="1:25" x14ac:dyDescent="0.5">
      <c r="A633">
        <f>Data!A633</f>
        <v>21924</v>
      </c>
      <c r="J633" s="20">
        <f>Data!J633</f>
        <v>42915</v>
      </c>
      <c r="K633" s="20">
        <f>Data!K633</f>
        <v>43465</v>
      </c>
      <c r="L633" s="5" t="str">
        <f>Data!L633</f>
        <v>Active</v>
      </c>
      <c r="M633" s="5" t="str">
        <f>Data!M633</f>
        <v>Page (Corporate)</v>
      </c>
      <c r="P633" s="5" t="str">
        <f>Data!P633</f>
        <v>Eligible</v>
      </c>
      <c r="U633" s="5" t="str">
        <f>Data!U633</f>
        <v>UNITED STATES</v>
      </c>
      <c r="Y633" s="5" t="str">
        <f>Data!Y633</f>
        <v>United States</v>
      </c>
    </row>
    <row r="634" spans="1:25" x14ac:dyDescent="0.5">
      <c r="A634">
        <f>Data!A634</f>
        <v>21926</v>
      </c>
      <c r="J634" s="20">
        <f>Data!J634</f>
        <v>42954</v>
      </c>
      <c r="K634" s="20">
        <f>Data!K634</f>
        <v>43319</v>
      </c>
      <c r="L634" s="5" t="str">
        <f>Data!L634</f>
        <v>Active</v>
      </c>
      <c r="M634" s="5" t="str">
        <f>Data!M634</f>
        <v>Page (Corporate)</v>
      </c>
      <c r="P634" s="5" t="str">
        <f>Data!P634</f>
        <v>Eligible</v>
      </c>
      <c r="U634" s="5" t="str">
        <f>Data!U634</f>
        <v>UNITED STATES</v>
      </c>
      <c r="Y634" s="5" t="str">
        <f>Data!Y634</f>
        <v>United States</v>
      </c>
    </row>
    <row r="635" spans="1:25" x14ac:dyDescent="0.5">
      <c r="A635">
        <f>Data!A635</f>
        <v>21927</v>
      </c>
      <c r="J635" s="20">
        <f>Data!J635</f>
        <v>42964</v>
      </c>
      <c r="K635" s="20">
        <f>Data!K635</f>
        <v>43694</v>
      </c>
      <c r="L635" s="5" t="str">
        <f>Data!L635</f>
        <v>Active</v>
      </c>
      <c r="M635" s="5" t="str">
        <f>Data!M635</f>
        <v>Page (Corporate)</v>
      </c>
      <c r="P635" s="5" t="str">
        <f>Data!P635</f>
        <v>Eligible</v>
      </c>
      <c r="U635" s="5" t="str">
        <f>Data!U635</f>
        <v>UNITED STATES</v>
      </c>
      <c r="Y635" s="5" t="str">
        <f>Data!Y635</f>
        <v>United States</v>
      </c>
    </row>
    <row r="636" spans="1:25" x14ac:dyDescent="0.5">
      <c r="A636">
        <f>Data!A636</f>
        <v>21928</v>
      </c>
      <c r="J636" s="20">
        <f>Data!J636</f>
        <v>42957</v>
      </c>
      <c r="K636" s="20">
        <f>Data!K636</f>
        <v>43687</v>
      </c>
      <c r="L636" s="5" t="str">
        <f>Data!L636</f>
        <v>Active</v>
      </c>
      <c r="M636" s="5" t="str">
        <f>Data!M636</f>
        <v>Page (Corporate)</v>
      </c>
      <c r="P636" s="5" t="str">
        <f>Data!P636</f>
        <v>Eligible</v>
      </c>
      <c r="U636" s="5" t="str">
        <f>Data!U636</f>
        <v>UNITED STATES</v>
      </c>
      <c r="Y636" s="5" t="str">
        <f>Data!Y636</f>
        <v>United States</v>
      </c>
    </row>
    <row r="637" spans="1:25" x14ac:dyDescent="0.5">
      <c r="A637">
        <f>Data!A637</f>
        <v>21929</v>
      </c>
      <c r="J637" s="20">
        <f>Data!J637</f>
        <v>42915</v>
      </c>
      <c r="K637" s="20">
        <f>Data!K637</f>
        <v>43465</v>
      </c>
      <c r="L637" s="5" t="str">
        <f>Data!L637</f>
        <v>Active</v>
      </c>
      <c r="M637" s="5" t="str">
        <f>Data!M637</f>
        <v>Page (Corporate)</v>
      </c>
      <c r="P637" s="5" t="str">
        <f>Data!P637</f>
        <v>Eligible</v>
      </c>
      <c r="U637" s="5" t="str">
        <f>Data!U637</f>
        <v>UNITED STATES</v>
      </c>
      <c r="Y637" s="5" t="str">
        <f>Data!Y637</f>
        <v>United States</v>
      </c>
    </row>
    <row r="638" spans="1:25" x14ac:dyDescent="0.5">
      <c r="A638">
        <f>Data!A638</f>
        <v>21930</v>
      </c>
      <c r="J638" s="20">
        <f>Data!J638</f>
        <v>42921</v>
      </c>
      <c r="K638" s="20">
        <f>Data!K638</f>
        <v>43100</v>
      </c>
      <c r="L638" s="5" t="str">
        <f>Data!L638</f>
        <v>Active</v>
      </c>
      <c r="M638" s="5" t="str">
        <f>Data!M638</f>
        <v>Page (Corporate)</v>
      </c>
      <c r="P638" s="5" t="str">
        <f>Data!P638</f>
        <v>Eligible</v>
      </c>
      <c r="U638" s="5" t="str">
        <f>Data!U638</f>
        <v>Switzerland</v>
      </c>
      <c r="Y638" s="5" t="str">
        <f>Data!Y638</f>
        <v>Europe</v>
      </c>
    </row>
    <row r="639" spans="1:25" x14ac:dyDescent="0.5">
      <c r="A639">
        <f>Data!A639</f>
        <v>21931</v>
      </c>
      <c r="J639" s="20">
        <f>Data!J639</f>
        <v>42957</v>
      </c>
      <c r="K639" s="20">
        <f>Data!K639</f>
        <v>43322</v>
      </c>
      <c r="L639" s="5" t="str">
        <f>Data!L639</f>
        <v>Active</v>
      </c>
      <c r="M639" s="5" t="str">
        <f>Data!M639</f>
        <v>Page (Corporate)</v>
      </c>
      <c r="P639" s="5" t="str">
        <f>Data!P639</f>
        <v>Eligible</v>
      </c>
      <c r="U639" s="5" t="str">
        <f>Data!U639</f>
        <v>UNITED STATES</v>
      </c>
      <c r="Y639" s="5" t="str">
        <f>Data!Y639</f>
        <v>United States</v>
      </c>
    </row>
    <row r="640" spans="1:25" x14ac:dyDescent="0.5">
      <c r="A640">
        <f>Data!A640</f>
        <v>21933</v>
      </c>
      <c r="J640" s="20">
        <f>Data!J640</f>
        <v>42921</v>
      </c>
      <c r="K640" s="20">
        <f>Data!K640</f>
        <v>43465</v>
      </c>
      <c r="L640" s="5" t="str">
        <f>Data!L640</f>
        <v>Active</v>
      </c>
      <c r="M640" s="5" t="str">
        <f>Data!M640</f>
        <v>Page (Corporate)</v>
      </c>
      <c r="P640" s="5" t="str">
        <f>Data!P640</f>
        <v>Eligible</v>
      </c>
      <c r="U640" s="5" t="str">
        <f>Data!U640</f>
        <v>United Arab Emirates</v>
      </c>
      <c r="Y640" s="5" t="str">
        <f>Data!Y640</f>
        <v>Middle East/Africa</v>
      </c>
    </row>
    <row r="641" spans="1:25" x14ac:dyDescent="0.5">
      <c r="A641">
        <f>Data!A641</f>
        <v>21934</v>
      </c>
      <c r="J641" s="20">
        <f>Data!J641</f>
        <v>42926</v>
      </c>
      <c r="K641" s="20">
        <f>Data!K641</f>
        <v>43465</v>
      </c>
      <c r="L641" s="5" t="str">
        <f>Data!L641</f>
        <v>Active</v>
      </c>
      <c r="M641" s="5" t="str">
        <f>Data!M641</f>
        <v>Page (Corporate)</v>
      </c>
      <c r="P641" s="5" t="str">
        <f>Data!P641</f>
        <v>Eligible</v>
      </c>
      <c r="U641" s="5" t="str">
        <f>Data!U641</f>
        <v>UNITED STATES</v>
      </c>
      <c r="Y641" s="5" t="str">
        <f>Data!Y641</f>
        <v>United States</v>
      </c>
    </row>
    <row r="642" spans="1:25" x14ac:dyDescent="0.5">
      <c r="A642">
        <f>Data!A642</f>
        <v>21935</v>
      </c>
      <c r="J642" s="20">
        <f>Data!J642</f>
        <v>42949</v>
      </c>
      <c r="K642" s="20">
        <f>Data!K642</f>
        <v>43314</v>
      </c>
      <c r="L642" s="5" t="str">
        <f>Data!L642</f>
        <v>Active</v>
      </c>
      <c r="M642" s="5" t="str">
        <f>Data!M642</f>
        <v>Page (Corporate)</v>
      </c>
      <c r="P642" s="5" t="str">
        <f>Data!P642</f>
        <v>Eligible</v>
      </c>
      <c r="U642" s="5" t="str">
        <f>Data!U642</f>
        <v>UNITED STATES</v>
      </c>
      <c r="Y642" s="5" t="str">
        <f>Data!Y642</f>
        <v>United States</v>
      </c>
    </row>
    <row r="643" spans="1:25" x14ac:dyDescent="0.5">
      <c r="A643">
        <f>Data!A643</f>
        <v>21936</v>
      </c>
      <c r="J643" s="20">
        <f>Data!J643</f>
        <v>42915</v>
      </c>
      <c r="K643" s="20">
        <f>Data!K643</f>
        <v>43465</v>
      </c>
      <c r="L643" s="5" t="str">
        <f>Data!L643</f>
        <v>Active</v>
      </c>
      <c r="M643" s="5" t="str">
        <f>Data!M643</f>
        <v>Page (Corporate)</v>
      </c>
      <c r="P643" s="5" t="str">
        <f>Data!P643</f>
        <v>Eligible</v>
      </c>
      <c r="U643" s="5" t="str">
        <f>Data!U643</f>
        <v>UNITED STATES</v>
      </c>
      <c r="Y643" s="5" t="str">
        <f>Data!Y643</f>
        <v>United States</v>
      </c>
    </row>
    <row r="644" spans="1:25" x14ac:dyDescent="0.5">
      <c r="A644">
        <f>Data!A644</f>
        <v>21937</v>
      </c>
      <c r="J644" s="20">
        <f>Data!J644</f>
        <v>43024</v>
      </c>
      <c r="K644" s="20">
        <f>Data!K644</f>
        <v>43388</v>
      </c>
      <c r="L644" s="5" t="str">
        <f>Data!L644</f>
        <v>Active</v>
      </c>
      <c r="M644" s="5" t="str">
        <f>Data!M644</f>
        <v>Page (Corporate)</v>
      </c>
      <c r="P644" s="5" t="str">
        <f>Data!P644</f>
        <v>Eligible</v>
      </c>
      <c r="U644" s="5" t="str">
        <f>Data!U644</f>
        <v>United Arab Emirates</v>
      </c>
      <c r="Y644" s="5" t="str">
        <f>Data!Y644</f>
        <v>Middle East/Africa</v>
      </c>
    </row>
    <row r="645" spans="1:25" x14ac:dyDescent="0.5">
      <c r="A645">
        <f>Data!A645</f>
        <v>21938</v>
      </c>
      <c r="J645" s="20">
        <f>Data!J645</f>
        <v>42916</v>
      </c>
      <c r="K645" s="20">
        <f>Data!K645</f>
        <v>43465</v>
      </c>
      <c r="L645" s="5" t="str">
        <f>Data!L645</f>
        <v>Active</v>
      </c>
      <c r="M645" s="5" t="str">
        <f>Data!M645</f>
        <v>Page (Corporate)</v>
      </c>
      <c r="P645" s="5" t="str">
        <f>Data!P645</f>
        <v>Eligible</v>
      </c>
      <c r="U645" s="5" t="str">
        <f>Data!U645</f>
        <v>UNITED STATES</v>
      </c>
      <c r="Y645" s="5" t="str">
        <f>Data!Y645</f>
        <v>United States</v>
      </c>
    </row>
    <row r="646" spans="1:25" x14ac:dyDescent="0.5">
      <c r="A646">
        <f>Data!A646</f>
        <v>21939</v>
      </c>
      <c r="J646" s="20">
        <f>Data!J646</f>
        <v>42969</v>
      </c>
      <c r="K646" s="20">
        <f>Data!K646</f>
        <v>43333</v>
      </c>
      <c r="L646" s="5" t="str">
        <f>Data!L646</f>
        <v>Active</v>
      </c>
      <c r="M646" s="5" t="str">
        <f>Data!M646</f>
        <v>Page (Corporate)</v>
      </c>
      <c r="P646" s="5" t="str">
        <f>Data!P646</f>
        <v>Eligible</v>
      </c>
      <c r="U646" s="5" t="str">
        <f>Data!U646</f>
        <v>United Kingdom</v>
      </c>
      <c r="Y646" s="5" t="str">
        <f>Data!Y646</f>
        <v>Europe</v>
      </c>
    </row>
    <row r="647" spans="1:25" x14ac:dyDescent="0.5">
      <c r="A647">
        <f>Data!A647</f>
        <v>21940</v>
      </c>
      <c r="J647" s="20">
        <f>Data!J647</f>
        <v>42999</v>
      </c>
      <c r="K647" s="20">
        <f>Data!K647</f>
        <v>43363</v>
      </c>
      <c r="L647" s="5" t="str">
        <f>Data!L647</f>
        <v>Active</v>
      </c>
      <c r="M647" s="5" t="str">
        <f>Data!M647</f>
        <v>Page (Agency)</v>
      </c>
      <c r="P647" s="5" t="str">
        <f>Data!P647</f>
        <v>Eligible</v>
      </c>
      <c r="U647" s="5" t="str">
        <f>Data!U647</f>
        <v>France</v>
      </c>
      <c r="Y647" s="5" t="str">
        <f>Data!Y647</f>
        <v>Europe</v>
      </c>
    </row>
    <row r="648" spans="1:25" x14ac:dyDescent="0.5">
      <c r="A648">
        <f>Data!A648</f>
        <v>21941</v>
      </c>
      <c r="J648" s="20">
        <f>Data!J648</f>
        <v>42928</v>
      </c>
      <c r="K648" s="20">
        <f>Data!K648</f>
        <v>43465</v>
      </c>
      <c r="L648" s="5" t="str">
        <f>Data!L648</f>
        <v>Active</v>
      </c>
      <c r="M648" s="5" t="str">
        <f>Data!M648</f>
        <v>Page (Agency)</v>
      </c>
      <c r="P648" s="5" t="str">
        <f>Data!P648</f>
        <v>Eligible</v>
      </c>
      <c r="U648" s="5" t="str">
        <f>Data!U648</f>
        <v>UNITED STATES</v>
      </c>
      <c r="Y648" s="5" t="str">
        <f>Data!Y648</f>
        <v>United States</v>
      </c>
    </row>
    <row r="649" spans="1:25" x14ac:dyDescent="0.5">
      <c r="A649">
        <f>Data!A649</f>
        <v>21942</v>
      </c>
      <c r="J649" s="20">
        <f>Data!J649</f>
        <v>42961</v>
      </c>
      <c r="K649" s="20">
        <f>Data!K649</f>
        <v>43691</v>
      </c>
      <c r="L649" s="5" t="str">
        <f>Data!L649</f>
        <v>Active</v>
      </c>
      <c r="M649" s="5" t="str">
        <f>Data!M649</f>
        <v>Page (Agency)</v>
      </c>
      <c r="P649" s="5" t="str">
        <f>Data!P649</f>
        <v>Eligible</v>
      </c>
      <c r="U649" s="5" t="str">
        <f>Data!U649</f>
        <v>UNITED STATES</v>
      </c>
      <c r="Y649" s="5" t="str">
        <f>Data!Y649</f>
        <v>United States</v>
      </c>
    </row>
    <row r="650" spans="1:25" x14ac:dyDescent="0.5">
      <c r="A650">
        <f>Data!A650</f>
        <v>21943</v>
      </c>
      <c r="J650" s="20">
        <f>Data!J650</f>
        <v>42933</v>
      </c>
      <c r="K650" s="20">
        <f>Data!K650</f>
        <v>43465</v>
      </c>
      <c r="L650" s="5" t="str">
        <f>Data!L650</f>
        <v>Active</v>
      </c>
      <c r="M650" s="5" t="str">
        <f>Data!M650</f>
        <v>Page (Executive Search)</v>
      </c>
      <c r="P650" s="5" t="str">
        <f>Data!P650</f>
        <v>Eligible</v>
      </c>
      <c r="U650" s="5" t="str">
        <f>Data!U650</f>
        <v>UNITED STATES</v>
      </c>
      <c r="Y650" s="5" t="str">
        <f>Data!Y650</f>
        <v>United States</v>
      </c>
    </row>
    <row r="651" spans="1:25" x14ac:dyDescent="0.5">
      <c r="A651">
        <f>Data!A651</f>
        <v>21944</v>
      </c>
      <c r="J651" s="20">
        <f>Data!J651</f>
        <v>42914</v>
      </c>
      <c r="K651" s="20">
        <f>Data!K651</f>
        <v>43465</v>
      </c>
      <c r="L651" s="5" t="str">
        <f>Data!L651</f>
        <v>Active</v>
      </c>
      <c r="M651" s="5" t="str">
        <f>Data!M651</f>
        <v>Page (Non-Profit)</v>
      </c>
      <c r="P651" s="5" t="str">
        <f>Data!P651</f>
        <v>Eligible</v>
      </c>
      <c r="U651" s="5" t="str">
        <f>Data!U651</f>
        <v>UNITED STATES</v>
      </c>
      <c r="Y651" s="5" t="str">
        <f>Data!Y651</f>
        <v>United States</v>
      </c>
    </row>
    <row r="652" spans="1:25" x14ac:dyDescent="0.5">
      <c r="A652">
        <f>Data!A652</f>
        <v>21945</v>
      </c>
      <c r="J652" s="20">
        <f>Data!J652</f>
        <v>42935</v>
      </c>
      <c r="K652" s="20">
        <f>Data!K652</f>
        <v>43465</v>
      </c>
      <c r="L652" s="5" t="str">
        <f>Data!L652</f>
        <v>Active</v>
      </c>
      <c r="M652" s="5" t="str">
        <f>Data!M652</f>
        <v>Page (Non-Profit)</v>
      </c>
      <c r="P652" s="5" t="str">
        <f>Data!P652</f>
        <v>Eligible</v>
      </c>
      <c r="U652" s="5" t="str">
        <f>Data!U652</f>
        <v>UNITED STATES</v>
      </c>
      <c r="Y652" s="5" t="str">
        <f>Data!Y652</f>
        <v>United States</v>
      </c>
    </row>
    <row r="653" spans="1:25" x14ac:dyDescent="0.5">
      <c r="A653">
        <f>Data!A653</f>
        <v>21946</v>
      </c>
      <c r="J653" s="20">
        <f>Data!J653</f>
        <v>42954</v>
      </c>
      <c r="K653" s="20">
        <f>Data!K653</f>
        <v>43684</v>
      </c>
      <c r="L653" s="5" t="str">
        <f>Data!L653</f>
        <v>Active</v>
      </c>
      <c r="M653" s="5" t="str">
        <f>Data!M653</f>
        <v>Page (Non-Profit)</v>
      </c>
      <c r="P653" s="5" t="str">
        <f>Data!P653</f>
        <v>Eligible</v>
      </c>
      <c r="U653" s="5" t="str">
        <f>Data!U653</f>
        <v>UNITED STATES</v>
      </c>
      <c r="Y653" s="5" t="str">
        <f>Data!Y653</f>
        <v>United States</v>
      </c>
    </row>
    <row r="654" spans="1:25" x14ac:dyDescent="0.5">
      <c r="A654">
        <f>Data!A654</f>
        <v>21947</v>
      </c>
      <c r="J654" s="20">
        <f>Data!J654</f>
        <v>42961</v>
      </c>
      <c r="K654" s="20">
        <f>Data!K654</f>
        <v>43691</v>
      </c>
      <c r="L654" s="5" t="str">
        <f>Data!L654</f>
        <v>Active</v>
      </c>
      <c r="M654" s="5" t="str">
        <f>Data!M654</f>
        <v>Page (Corporate)</v>
      </c>
      <c r="P654" s="5" t="str">
        <f>Data!P654</f>
        <v>Eligible</v>
      </c>
      <c r="U654" s="5" t="str">
        <f>Data!U654</f>
        <v>United Kingdom</v>
      </c>
      <c r="Y654" s="5" t="str">
        <f>Data!Y654</f>
        <v>Europe</v>
      </c>
    </row>
    <row r="655" spans="1:25" x14ac:dyDescent="0.5">
      <c r="A655">
        <f>Data!A655</f>
        <v>21967</v>
      </c>
      <c r="J655" s="20">
        <f>Data!J655</f>
        <v>42914</v>
      </c>
      <c r="K655" s="20">
        <f>Data!K655</f>
        <v>43644</v>
      </c>
      <c r="L655" s="5" t="str">
        <f>Data!L655</f>
        <v>Active</v>
      </c>
      <c r="M655" s="5" t="str">
        <f>Data!M655</f>
        <v>Page (Executive Search)</v>
      </c>
      <c r="P655" s="5" t="str">
        <f>Data!P655</f>
        <v>Eligible</v>
      </c>
      <c r="U655" s="5" t="str">
        <f>Data!U655</f>
        <v>Australia</v>
      </c>
      <c r="Y655" s="5" t="str">
        <f>Data!Y655</f>
        <v>Australia/NZ</v>
      </c>
    </row>
    <row r="656" spans="1:25" x14ac:dyDescent="0.5">
      <c r="A656">
        <f>Data!A656</f>
        <v>22053</v>
      </c>
      <c r="J656" s="20">
        <f>Data!J656</f>
        <v>42612</v>
      </c>
      <c r="K656" s="20">
        <f>Data!K656</f>
        <v>43465</v>
      </c>
      <c r="L656" s="5" t="str">
        <f>Data!L656</f>
        <v>Active</v>
      </c>
      <c r="M656" s="5" t="str">
        <f>Data!M656</f>
        <v>Page (Corporate)</v>
      </c>
      <c r="P656" s="5" t="str">
        <f>Data!P656</f>
        <v>Eligible</v>
      </c>
      <c r="U656" s="5" t="str">
        <f>Data!U656</f>
        <v>UNITED STATES</v>
      </c>
      <c r="Y656" s="5" t="str">
        <f>Data!Y656</f>
        <v>United States</v>
      </c>
    </row>
    <row r="657" spans="1:25" x14ac:dyDescent="0.5">
      <c r="A657">
        <f>Data!A657</f>
        <v>22054</v>
      </c>
      <c r="J657" s="20">
        <f>Data!J657</f>
        <v>42989</v>
      </c>
      <c r="K657" s="20">
        <f>Data!K657</f>
        <v>43353</v>
      </c>
      <c r="L657" s="5" t="str">
        <f>Data!L657</f>
        <v>Active</v>
      </c>
      <c r="M657" s="5" t="str">
        <f>Data!M657</f>
        <v>Page (Corporate)</v>
      </c>
      <c r="P657" s="5" t="str">
        <f>Data!P657</f>
        <v>Eligible</v>
      </c>
      <c r="U657" s="5" t="str">
        <f>Data!U657</f>
        <v>UNITED STATES</v>
      </c>
      <c r="Y657" s="5" t="str">
        <f>Data!Y657</f>
        <v>United States</v>
      </c>
    </row>
    <row r="658" spans="1:25" x14ac:dyDescent="0.5">
      <c r="A658">
        <f>Data!A658</f>
        <v>22055</v>
      </c>
      <c r="J658" s="20">
        <f>Data!J658</f>
        <v>42991</v>
      </c>
      <c r="K658" s="20">
        <f>Data!K658</f>
        <v>43720</v>
      </c>
      <c r="L658" s="5" t="str">
        <f>Data!L658</f>
        <v>Active</v>
      </c>
      <c r="M658" s="5" t="str">
        <f>Data!M658</f>
        <v>Page (Corporate)</v>
      </c>
      <c r="P658" s="5" t="str">
        <f>Data!P658</f>
        <v>Eligible</v>
      </c>
      <c r="U658" s="5" t="str">
        <f>Data!U658</f>
        <v>UNITED STATES</v>
      </c>
      <c r="Y658" s="5" t="str">
        <f>Data!Y658</f>
        <v>United States</v>
      </c>
    </row>
    <row r="659" spans="1:25" x14ac:dyDescent="0.5">
      <c r="A659">
        <f>Data!A659</f>
        <v>22056</v>
      </c>
      <c r="J659" s="20">
        <f>Data!J659</f>
        <v>42984</v>
      </c>
      <c r="K659" s="20">
        <f>Data!K659</f>
        <v>43348</v>
      </c>
      <c r="L659" s="5" t="str">
        <f>Data!L659</f>
        <v>Active</v>
      </c>
      <c r="M659" s="5" t="str">
        <f>Data!M659</f>
        <v>Page (Corporate)</v>
      </c>
      <c r="P659" s="5" t="str">
        <f>Data!P659</f>
        <v>Eligible</v>
      </c>
      <c r="U659" s="5" t="str">
        <f>Data!U659</f>
        <v>Australia</v>
      </c>
      <c r="Y659" s="5" t="str">
        <f>Data!Y659</f>
        <v>Australia/NZ</v>
      </c>
    </row>
    <row r="660" spans="1:25" x14ac:dyDescent="0.5">
      <c r="A660">
        <f>Data!A660</f>
        <v>22057</v>
      </c>
      <c r="J660" s="20">
        <f>Data!J660</f>
        <v>42989</v>
      </c>
      <c r="K660" s="20">
        <f>Data!K660</f>
        <v>43353</v>
      </c>
      <c r="L660" s="5" t="str">
        <f>Data!L660</f>
        <v>Active</v>
      </c>
      <c r="M660" s="5" t="str">
        <f>Data!M660</f>
        <v>Page (Corporate)</v>
      </c>
      <c r="P660" s="5" t="str">
        <f>Data!P660</f>
        <v>Eligible</v>
      </c>
      <c r="U660" s="5" t="str">
        <f>Data!U660</f>
        <v>Australia</v>
      </c>
      <c r="Y660" s="5" t="str">
        <f>Data!Y660</f>
        <v>Australia/NZ</v>
      </c>
    </row>
    <row r="661" spans="1:25" x14ac:dyDescent="0.5">
      <c r="A661">
        <f>Data!A661</f>
        <v>22058</v>
      </c>
      <c r="J661" s="20">
        <f>Data!J661</f>
        <v>42979</v>
      </c>
      <c r="K661" s="20">
        <f>Data!K661</f>
        <v>43343</v>
      </c>
      <c r="L661" s="5" t="str">
        <f>Data!L661</f>
        <v>Active</v>
      </c>
      <c r="M661" s="5" t="str">
        <f>Data!M661</f>
        <v>Page (Corporate)</v>
      </c>
      <c r="P661" s="5" t="str">
        <f>Data!P661</f>
        <v>Eligible</v>
      </c>
      <c r="U661" s="5" t="str">
        <f>Data!U661</f>
        <v>Australia</v>
      </c>
      <c r="Y661" s="5" t="str">
        <f>Data!Y661</f>
        <v>Australia/NZ</v>
      </c>
    </row>
    <row r="662" spans="1:25" x14ac:dyDescent="0.5">
      <c r="A662">
        <f>Data!A662</f>
        <v>22059</v>
      </c>
      <c r="J662" s="20">
        <f>Data!J662</f>
        <v>42985</v>
      </c>
      <c r="K662" s="20">
        <f>Data!K662</f>
        <v>43349</v>
      </c>
      <c r="L662" s="5" t="str">
        <f>Data!L662</f>
        <v>Active</v>
      </c>
      <c r="M662" s="5" t="str">
        <f>Data!M662</f>
        <v>Page (Non-Profit)</v>
      </c>
      <c r="P662" s="5" t="str">
        <f>Data!P662</f>
        <v>Eligible</v>
      </c>
      <c r="U662" s="5" t="str">
        <f>Data!U662</f>
        <v>UNITED STATES</v>
      </c>
      <c r="Y662" s="5" t="str">
        <f>Data!Y662</f>
        <v>United States</v>
      </c>
    </row>
    <row r="663" spans="1:25" x14ac:dyDescent="0.5">
      <c r="A663">
        <f>Data!A663</f>
        <v>22060</v>
      </c>
      <c r="J663" s="20">
        <f>Data!J663</f>
        <v>43012</v>
      </c>
      <c r="K663" s="20">
        <f>Data!K663</f>
        <v>43376</v>
      </c>
      <c r="L663" s="5" t="str">
        <f>Data!L663</f>
        <v>Active</v>
      </c>
      <c r="M663" s="5" t="str">
        <f>Data!M663</f>
        <v>Page (Corporate)</v>
      </c>
      <c r="P663" s="5" t="str">
        <f>Data!P663</f>
        <v>Eligible</v>
      </c>
      <c r="U663" s="5" t="str">
        <f>Data!U663</f>
        <v>UNITED STATES</v>
      </c>
      <c r="Y663" s="5" t="str">
        <f>Data!Y663</f>
        <v>United States</v>
      </c>
    </row>
    <row r="664" spans="1:25" x14ac:dyDescent="0.5">
      <c r="A664">
        <f>Data!A664</f>
        <v>22061</v>
      </c>
      <c r="J664" s="20">
        <f>Data!J664</f>
        <v>43089</v>
      </c>
      <c r="K664" s="20">
        <f>Data!K664</f>
        <v>43454</v>
      </c>
      <c r="L664" s="5" t="str">
        <f>Data!L664</f>
        <v>Active</v>
      </c>
      <c r="M664" s="5" t="str">
        <f>Data!M664</f>
        <v>Page (Corporate)</v>
      </c>
      <c r="P664" s="5">
        <f>Data!P664</f>
        <v>0</v>
      </c>
      <c r="U664" s="5" t="str">
        <f>Data!U664</f>
        <v>UNITED STATES</v>
      </c>
      <c r="Y664" s="5" t="str">
        <f>Data!Y664</f>
        <v>United States</v>
      </c>
    </row>
    <row r="665" spans="1:25" x14ac:dyDescent="0.5">
      <c r="A665">
        <f>Data!A665</f>
        <v>22062</v>
      </c>
      <c r="J665" s="20">
        <f>Data!J665</f>
        <v>42977</v>
      </c>
      <c r="K665" s="20">
        <f>Data!K665</f>
        <v>43341</v>
      </c>
      <c r="L665" s="5" t="str">
        <f>Data!L665</f>
        <v>Active</v>
      </c>
      <c r="M665" s="5" t="str">
        <f>Data!M665</f>
        <v>Page (Corporate)</v>
      </c>
      <c r="P665" s="5" t="str">
        <f>Data!P665</f>
        <v>Eligible</v>
      </c>
      <c r="U665" s="5" t="str">
        <f>Data!U665</f>
        <v>UNITED STATES</v>
      </c>
      <c r="Y665" s="5" t="str">
        <f>Data!Y665</f>
        <v>United States</v>
      </c>
    </row>
    <row r="666" spans="1:25" x14ac:dyDescent="0.5">
      <c r="A666">
        <f>Data!A666</f>
        <v>22063</v>
      </c>
      <c r="J666" s="20">
        <f>Data!J666</f>
        <v>43004</v>
      </c>
      <c r="K666" s="20">
        <f>Data!K666</f>
        <v>43733</v>
      </c>
      <c r="L666" s="5" t="str">
        <f>Data!L666</f>
        <v>Active</v>
      </c>
      <c r="M666" s="5" t="str">
        <f>Data!M666</f>
        <v>Page (Educator)</v>
      </c>
      <c r="P666" s="5" t="str">
        <f>Data!P666</f>
        <v>Eligible</v>
      </c>
      <c r="U666" s="5" t="str">
        <f>Data!U666</f>
        <v>UNITED STATES</v>
      </c>
      <c r="Y666" s="5" t="str">
        <f>Data!Y666</f>
        <v>United States</v>
      </c>
    </row>
    <row r="667" spans="1:25" x14ac:dyDescent="0.5">
      <c r="A667">
        <f>Data!A667</f>
        <v>22064</v>
      </c>
      <c r="J667" s="20">
        <f>Data!J667</f>
        <v>42999</v>
      </c>
      <c r="K667" s="20">
        <f>Data!K667</f>
        <v>43363</v>
      </c>
      <c r="L667" s="5" t="str">
        <f>Data!L667</f>
        <v>Active</v>
      </c>
      <c r="M667" s="5" t="str">
        <f>Data!M667</f>
        <v>Page (Corporate)</v>
      </c>
      <c r="P667" s="5" t="str">
        <f>Data!P667</f>
        <v>Eligible</v>
      </c>
      <c r="U667" s="5" t="str">
        <f>Data!U667</f>
        <v>UNITED STATES</v>
      </c>
      <c r="Y667" s="5" t="str">
        <f>Data!Y667</f>
        <v>United States</v>
      </c>
    </row>
    <row r="668" spans="1:25" x14ac:dyDescent="0.5">
      <c r="A668">
        <f>Data!A668</f>
        <v>22065</v>
      </c>
      <c r="J668" s="20">
        <f>Data!J668</f>
        <v>42977</v>
      </c>
      <c r="K668" s="20">
        <f>Data!K668</f>
        <v>43707</v>
      </c>
      <c r="L668" s="5" t="str">
        <f>Data!L668</f>
        <v>Active</v>
      </c>
      <c r="M668" s="5" t="str">
        <f>Data!M668</f>
        <v>Page (Agency)</v>
      </c>
      <c r="P668" s="5" t="str">
        <f>Data!P668</f>
        <v>Eligible</v>
      </c>
      <c r="U668" s="5" t="str">
        <f>Data!U668</f>
        <v>UNITED STATES</v>
      </c>
      <c r="Y668" s="5" t="str">
        <f>Data!Y668</f>
        <v>United States</v>
      </c>
    </row>
    <row r="669" spans="1:25" x14ac:dyDescent="0.5">
      <c r="A669">
        <f>Data!A669</f>
        <v>22066</v>
      </c>
      <c r="J669" s="20">
        <f>Data!J669</f>
        <v>42977</v>
      </c>
      <c r="K669" s="20">
        <f>Data!K669</f>
        <v>43341</v>
      </c>
      <c r="L669" s="5" t="str">
        <f>Data!L669</f>
        <v>Active</v>
      </c>
      <c r="M669" s="5" t="str">
        <f>Data!M669</f>
        <v>Page (Agency)</v>
      </c>
      <c r="P669" s="5" t="str">
        <f>Data!P669</f>
        <v>Eligible</v>
      </c>
      <c r="U669" s="5" t="str">
        <f>Data!U669</f>
        <v>UNITED STATES</v>
      </c>
      <c r="Y669" s="5" t="str">
        <f>Data!Y669</f>
        <v>United States</v>
      </c>
    </row>
    <row r="670" spans="1:25" x14ac:dyDescent="0.5">
      <c r="A670">
        <f>Data!A670</f>
        <v>22073</v>
      </c>
      <c r="J670" s="20">
        <f>Data!J670</f>
        <v>42978</v>
      </c>
      <c r="K670" s="20">
        <f>Data!K670</f>
        <v>43343</v>
      </c>
      <c r="L670" s="5" t="str">
        <f>Data!L670</f>
        <v>Active</v>
      </c>
      <c r="M670" s="5" t="str">
        <f>Data!M670</f>
        <v>Page (Non-Profit)</v>
      </c>
      <c r="P670" s="5" t="str">
        <f>Data!P670</f>
        <v>Eligible</v>
      </c>
      <c r="U670" s="5" t="str">
        <f>Data!U670</f>
        <v>UNITED STATES</v>
      </c>
      <c r="Y670" s="5" t="str">
        <f>Data!Y670</f>
        <v>United States</v>
      </c>
    </row>
    <row r="671" spans="1:25" x14ac:dyDescent="0.5">
      <c r="A671">
        <f>Data!A671</f>
        <v>22117</v>
      </c>
      <c r="J671" s="20">
        <f>Data!J671</f>
        <v>42999</v>
      </c>
      <c r="K671" s="20">
        <f>Data!K671</f>
        <v>43728</v>
      </c>
      <c r="L671" s="5" t="str">
        <f>Data!L671</f>
        <v>Active</v>
      </c>
      <c r="M671" s="5" t="str">
        <f>Data!M671</f>
        <v>Page (Educator)</v>
      </c>
      <c r="P671" s="5">
        <f>Data!P671</f>
        <v>0</v>
      </c>
      <c r="U671" s="5" t="str">
        <f>Data!U671</f>
        <v>UNITED STATES</v>
      </c>
      <c r="Y671" s="5" t="str">
        <f>Data!Y671</f>
        <v>United States</v>
      </c>
    </row>
    <row r="672" spans="1:25" x14ac:dyDescent="0.5">
      <c r="A672">
        <f>Data!A672</f>
        <v>22120</v>
      </c>
      <c r="J672" s="20">
        <f>Data!J672</f>
        <v>39252</v>
      </c>
      <c r="K672" s="20">
        <f>Data!K672</f>
        <v>43465</v>
      </c>
      <c r="L672" s="5" t="str">
        <f>Data!L672</f>
        <v>Active</v>
      </c>
      <c r="M672" s="5" t="str">
        <f>Data!M672</f>
        <v>Page (Corporate)</v>
      </c>
      <c r="P672" s="5" t="str">
        <f>Data!P672</f>
        <v>Eligible</v>
      </c>
      <c r="U672" s="5" t="str">
        <f>Data!U672</f>
        <v>Norway</v>
      </c>
      <c r="Y672" s="5" t="str">
        <f>Data!Y672</f>
        <v>Europe</v>
      </c>
    </row>
    <row r="673" spans="1:25" x14ac:dyDescent="0.5">
      <c r="A673">
        <f>Data!A673</f>
        <v>22134</v>
      </c>
      <c r="J673" s="20">
        <f>Data!J673</f>
        <v>43204</v>
      </c>
      <c r="K673" s="20">
        <f>Data!K673</f>
        <v>43569</v>
      </c>
      <c r="L673" s="5" t="str">
        <f>Data!L673</f>
        <v>Active</v>
      </c>
      <c r="M673" s="5" t="str">
        <f>Data!M673</f>
        <v>Page (Corporate)</v>
      </c>
      <c r="P673" s="5">
        <f>Data!P673</f>
        <v>0</v>
      </c>
      <c r="U673" s="5" t="str">
        <f>Data!U673</f>
        <v>Australia</v>
      </c>
      <c r="Y673" s="5" t="str">
        <f>Data!Y673</f>
        <v>Australia/NZ</v>
      </c>
    </row>
    <row r="674" spans="1:25" x14ac:dyDescent="0.5">
      <c r="A674">
        <f>Data!A674</f>
        <v>22141</v>
      </c>
      <c r="J674" s="20">
        <f>Data!J674</f>
        <v>43138</v>
      </c>
      <c r="K674" s="20">
        <f>Data!K674</f>
        <v>43503</v>
      </c>
      <c r="L674" s="5" t="str">
        <f>Data!L674</f>
        <v>Active</v>
      </c>
      <c r="M674" s="5" t="str">
        <f>Data!M674</f>
        <v>Page (Corporate)</v>
      </c>
      <c r="P674" s="5">
        <f>Data!P674</f>
        <v>0</v>
      </c>
      <c r="U674" s="5" t="str">
        <f>Data!U674</f>
        <v>Australia</v>
      </c>
      <c r="Y674" s="5" t="str">
        <f>Data!Y674</f>
        <v>Australia/NZ</v>
      </c>
    </row>
    <row r="675" spans="1:25" x14ac:dyDescent="0.5">
      <c r="A675">
        <f>Data!A675</f>
        <v>22148</v>
      </c>
      <c r="J675" s="20">
        <f>Data!J675</f>
        <v>43319</v>
      </c>
      <c r="K675" s="20">
        <f>Data!K675</f>
        <v>43684</v>
      </c>
      <c r="L675" s="5" t="str">
        <f>Data!L675</f>
        <v>Active</v>
      </c>
      <c r="M675" s="5" t="str">
        <f>Data!M675</f>
        <v>Page (Corporate)</v>
      </c>
      <c r="P675" s="5" t="str">
        <f>Data!P675</f>
        <v>Eligible</v>
      </c>
      <c r="U675" s="5" t="str">
        <f>Data!U675</f>
        <v>Australia</v>
      </c>
      <c r="Y675" s="5" t="str">
        <f>Data!Y675</f>
        <v>Australia/NZ</v>
      </c>
    </row>
    <row r="676" spans="1:25" x14ac:dyDescent="0.5">
      <c r="A676">
        <f>Data!A676</f>
        <v>22150</v>
      </c>
      <c r="J676" s="20">
        <f>Data!J676</f>
        <v>43080</v>
      </c>
      <c r="K676" s="20">
        <f>Data!K676</f>
        <v>43445</v>
      </c>
      <c r="L676" s="5" t="str">
        <f>Data!L676</f>
        <v>Active</v>
      </c>
      <c r="M676" s="5" t="str">
        <f>Data!M676</f>
        <v>Page (Corporate)</v>
      </c>
      <c r="P676" s="5">
        <f>Data!P676</f>
        <v>0</v>
      </c>
      <c r="U676" s="5" t="str">
        <f>Data!U676</f>
        <v>Australia</v>
      </c>
      <c r="Y676" s="5" t="str">
        <f>Data!Y676</f>
        <v>Australia/NZ</v>
      </c>
    </row>
    <row r="677" spans="1:25" x14ac:dyDescent="0.5">
      <c r="A677">
        <f>Data!A677</f>
        <v>22151</v>
      </c>
      <c r="J677" s="20">
        <f>Data!J677</f>
        <v>43214</v>
      </c>
      <c r="K677" s="20">
        <f>Data!K677</f>
        <v>43579</v>
      </c>
      <c r="L677" s="5" t="str">
        <f>Data!L677</f>
        <v>Active</v>
      </c>
      <c r="M677" s="5" t="str">
        <f>Data!M677</f>
        <v>Page (Corporate)</v>
      </c>
      <c r="P677" s="5">
        <f>Data!P677</f>
        <v>0</v>
      </c>
      <c r="U677" s="5" t="str">
        <f>Data!U677</f>
        <v>Japan</v>
      </c>
      <c r="Y677" s="5" t="str">
        <f>Data!Y677</f>
        <v>Asia:Other</v>
      </c>
    </row>
    <row r="678" spans="1:25" x14ac:dyDescent="0.5">
      <c r="A678">
        <f>Data!A678</f>
        <v>22154</v>
      </c>
      <c r="J678" s="20">
        <f>Data!J678</f>
        <v>43211</v>
      </c>
      <c r="K678" s="20">
        <f>Data!K678</f>
        <v>43576</v>
      </c>
      <c r="L678" s="5" t="str">
        <f>Data!L678</f>
        <v>Active</v>
      </c>
      <c r="M678" s="5" t="str">
        <f>Data!M678</f>
        <v>Page (Corporate)</v>
      </c>
      <c r="P678" s="5">
        <f>Data!P678</f>
        <v>0</v>
      </c>
      <c r="U678" s="5" t="str">
        <f>Data!U678</f>
        <v>Japan</v>
      </c>
      <c r="Y678" s="5">
        <f>Data!Y678</f>
        <v>0</v>
      </c>
    </row>
    <row r="679" spans="1:25" x14ac:dyDescent="0.5">
      <c r="A679">
        <f>Data!A679</f>
        <v>22164</v>
      </c>
      <c r="J679" s="20">
        <f>Data!J679</f>
        <v>42257</v>
      </c>
      <c r="K679" s="20">
        <f>Data!K679</f>
        <v>43465</v>
      </c>
      <c r="L679" s="5" t="str">
        <f>Data!L679</f>
        <v>Active</v>
      </c>
      <c r="M679" s="5" t="str">
        <f>Data!M679</f>
        <v>Page (Corporate)</v>
      </c>
      <c r="P679" s="5">
        <f>Data!P679</f>
        <v>0</v>
      </c>
      <c r="U679" s="5" t="str">
        <f>Data!U679</f>
        <v>UNITED STATES</v>
      </c>
      <c r="Y679" s="5" t="str">
        <f>Data!Y679</f>
        <v>United States</v>
      </c>
    </row>
    <row r="680" spans="1:25" x14ac:dyDescent="0.5">
      <c r="A680">
        <f>Data!A680</f>
        <v>22174</v>
      </c>
      <c r="J680" s="20">
        <f>Data!J680</f>
        <v>43077</v>
      </c>
      <c r="K680" s="20">
        <f>Data!K680</f>
        <v>43442</v>
      </c>
      <c r="L680" s="5" t="str">
        <f>Data!L680</f>
        <v>Active</v>
      </c>
      <c r="M680" s="5" t="str">
        <f>Data!M680</f>
        <v>Page (Corporate)</v>
      </c>
      <c r="P680" s="5">
        <f>Data!P680</f>
        <v>0</v>
      </c>
      <c r="U680" s="5" t="str">
        <f>Data!U680</f>
        <v>UNITED STATES</v>
      </c>
      <c r="Y680" s="5" t="str">
        <f>Data!Y680</f>
        <v>United States</v>
      </c>
    </row>
    <row r="681" spans="1:25" x14ac:dyDescent="0.5">
      <c r="A681">
        <f>Data!A681</f>
        <v>22175</v>
      </c>
      <c r="J681" s="20">
        <f>Data!J681</f>
        <v>43080</v>
      </c>
      <c r="K681" s="20">
        <f>Data!K681</f>
        <v>43445</v>
      </c>
      <c r="L681" s="5" t="str">
        <f>Data!L681</f>
        <v>Active</v>
      </c>
      <c r="M681" s="5" t="str">
        <f>Data!M681</f>
        <v>Page (Corporate)</v>
      </c>
      <c r="P681" s="5">
        <f>Data!P681</f>
        <v>0</v>
      </c>
      <c r="U681" s="5" t="str">
        <f>Data!U681</f>
        <v>UNITED STATES</v>
      </c>
      <c r="Y681" s="5" t="str">
        <f>Data!Y681</f>
        <v>United States</v>
      </c>
    </row>
    <row r="682" spans="1:25" x14ac:dyDescent="0.5">
      <c r="A682">
        <f>Data!A682</f>
        <v>22176</v>
      </c>
      <c r="J682" s="20">
        <f>Data!J682</f>
        <v>43117</v>
      </c>
      <c r="K682" s="20">
        <f>Data!K682</f>
        <v>43482</v>
      </c>
      <c r="L682" s="5" t="str">
        <f>Data!L682</f>
        <v>Active</v>
      </c>
      <c r="M682" s="5" t="str">
        <f>Data!M682</f>
        <v>Page (Corporate)</v>
      </c>
      <c r="P682" s="5">
        <f>Data!P682</f>
        <v>0</v>
      </c>
      <c r="U682" s="5" t="str">
        <f>Data!U682</f>
        <v>UNITED STATES</v>
      </c>
      <c r="Y682" s="5" t="str">
        <f>Data!Y682</f>
        <v>United States</v>
      </c>
    </row>
    <row r="683" spans="1:25" x14ac:dyDescent="0.5">
      <c r="A683">
        <f>Data!A683</f>
        <v>22178</v>
      </c>
      <c r="J683" s="20">
        <f>Data!J683</f>
        <v>43089</v>
      </c>
      <c r="K683" s="20">
        <f>Data!K683</f>
        <v>43454</v>
      </c>
      <c r="L683" s="5" t="str">
        <f>Data!L683</f>
        <v>Active</v>
      </c>
      <c r="M683" s="5" t="str">
        <f>Data!M683</f>
        <v>Page (Corporate)</v>
      </c>
      <c r="P683" s="5">
        <f>Data!P683</f>
        <v>0</v>
      </c>
      <c r="U683" s="5" t="str">
        <f>Data!U683</f>
        <v>UNITED STATES</v>
      </c>
      <c r="Y683" s="5" t="str">
        <f>Data!Y683</f>
        <v>United States</v>
      </c>
    </row>
    <row r="684" spans="1:25" x14ac:dyDescent="0.5">
      <c r="A684">
        <f>Data!A684</f>
        <v>22179</v>
      </c>
      <c r="J684" s="20">
        <f>Data!J684</f>
        <v>43077</v>
      </c>
      <c r="K684" s="20">
        <f>Data!K684</f>
        <v>43442</v>
      </c>
      <c r="L684" s="5" t="str">
        <f>Data!L684</f>
        <v>Active</v>
      </c>
      <c r="M684" s="5" t="str">
        <f>Data!M684</f>
        <v>Page (Corporate)</v>
      </c>
      <c r="P684" s="5">
        <f>Data!P684</f>
        <v>0</v>
      </c>
      <c r="U684" s="5" t="str">
        <f>Data!U684</f>
        <v>UNITED STATES</v>
      </c>
      <c r="Y684" s="5" t="str">
        <f>Data!Y684</f>
        <v>United States</v>
      </c>
    </row>
    <row r="685" spans="1:25" x14ac:dyDescent="0.5">
      <c r="A685">
        <f>Data!A685</f>
        <v>22180</v>
      </c>
      <c r="J685" s="20">
        <f>Data!J685</f>
        <v>43080</v>
      </c>
      <c r="K685" s="20">
        <f>Data!K685</f>
        <v>43445</v>
      </c>
      <c r="L685" s="5" t="str">
        <f>Data!L685</f>
        <v>Active</v>
      </c>
      <c r="M685" s="5" t="str">
        <f>Data!M685</f>
        <v>Page (Corporate)</v>
      </c>
      <c r="P685" s="5">
        <f>Data!P685</f>
        <v>0</v>
      </c>
      <c r="U685" s="5" t="str">
        <f>Data!U685</f>
        <v>UNITED STATES</v>
      </c>
      <c r="Y685" s="5" t="str">
        <f>Data!Y685</f>
        <v>United States</v>
      </c>
    </row>
    <row r="686" spans="1:25" x14ac:dyDescent="0.5">
      <c r="A686">
        <f>Data!A686</f>
        <v>22181</v>
      </c>
      <c r="J686" s="20">
        <f>Data!J686</f>
        <v>43080</v>
      </c>
      <c r="K686" s="20">
        <f>Data!K686</f>
        <v>43445</v>
      </c>
      <c r="L686" s="5" t="str">
        <f>Data!L686</f>
        <v>Active</v>
      </c>
      <c r="M686" s="5" t="str">
        <f>Data!M686</f>
        <v>Page (Corporate)</v>
      </c>
      <c r="P686" s="5">
        <f>Data!P686</f>
        <v>0</v>
      </c>
      <c r="U686" s="5" t="str">
        <f>Data!U686</f>
        <v>UNITED STATES</v>
      </c>
      <c r="Y686" s="5" t="str">
        <f>Data!Y686</f>
        <v>United States</v>
      </c>
    </row>
    <row r="687" spans="1:25" x14ac:dyDescent="0.5">
      <c r="A687">
        <f>Data!A687</f>
        <v>22182</v>
      </c>
      <c r="J687" s="20">
        <f>Data!J687</f>
        <v>43077</v>
      </c>
      <c r="K687" s="20">
        <f>Data!K687</f>
        <v>43442</v>
      </c>
      <c r="L687" s="5" t="str">
        <f>Data!L687</f>
        <v>Active</v>
      </c>
      <c r="M687" s="5" t="str">
        <f>Data!M687</f>
        <v>Page (Corporate)</v>
      </c>
      <c r="P687" s="5">
        <f>Data!P687</f>
        <v>0</v>
      </c>
      <c r="U687" s="5" t="str">
        <f>Data!U687</f>
        <v>UNITED STATES</v>
      </c>
      <c r="Y687" s="5" t="str">
        <f>Data!Y687</f>
        <v>United States</v>
      </c>
    </row>
    <row r="688" spans="1:25" x14ac:dyDescent="0.5">
      <c r="A688">
        <f>Data!A688</f>
        <v>22183</v>
      </c>
      <c r="J688" s="20">
        <f>Data!J688</f>
        <v>43077</v>
      </c>
      <c r="K688" s="20">
        <f>Data!K688</f>
        <v>43807</v>
      </c>
      <c r="L688" s="5" t="str">
        <f>Data!L688</f>
        <v>Active</v>
      </c>
      <c r="M688" s="5" t="str">
        <f>Data!M688</f>
        <v>Page (Corporate)</v>
      </c>
      <c r="P688" s="5">
        <f>Data!P688</f>
        <v>0</v>
      </c>
      <c r="U688" s="5" t="str">
        <f>Data!U688</f>
        <v>UNITED STATES</v>
      </c>
      <c r="Y688" s="5" t="str">
        <f>Data!Y688</f>
        <v>United States</v>
      </c>
    </row>
    <row r="689" spans="1:25" x14ac:dyDescent="0.5">
      <c r="A689">
        <f>Data!A689</f>
        <v>22184</v>
      </c>
      <c r="J689" s="20">
        <f>Data!J689</f>
        <v>43077</v>
      </c>
      <c r="K689" s="20">
        <f>Data!K689</f>
        <v>43442</v>
      </c>
      <c r="L689" s="5" t="str">
        <f>Data!L689</f>
        <v>Active</v>
      </c>
      <c r="M689" s="5" t="str">
        <f>Data!M689</f>
        <v>Page (Corporate)</v>
      </c>
      <c r="P689" s="5">
        <f>Data!P689</f>
        <v>0</v>
      </c>
      <c r="U689" s="5" t="str">
        <f>Data!U689</f>
        <v>UNITED STATES</v>
      </c>
      <c r="Y689" s="5" t="str">
        <f>Data!Y689</f>
        <v>United States</v>
      </c>
    </row>
    <row r="690" spans="1:25" x14ac:dyDescent="0.5">
      <c r="A690">
        <f>Data!A690</f>
        <v>22185</v>
      </c>
      <c r="J690" s="20">
        <f>Data!J690</f>
        <v>43117</v>
      </c>
      <c r="K690" s="20">
        <f>Data!K690</f>
        <v>43482</v>
      </c>
      <c r="L690" s="5" t="str">
        <f>Data!L690</f>
        <v>Active</v>
      </c>
      <c r="M690" s="5" t="str">
        <f>Data!M690</f>
        <v>Page (Corporate)</v>
      </c>
      <c r="P690" s="5">
        <f>Data!P690</f>
        <v>0</v>
      </c>
      <c r="U690" s="5" t="str">
        <f>Data!U690</f>
        <v>UNITED STATES</v>
      </c>
      <c r="Y690" s="5" t="str">
        <f>Data!Y690</f>
        <v>United States</v>
      </c>
    </row>
    <row r="691" spans="1:25" x14ac:dyDescent="0.5">
      <c r="A691">
        <f>Data!A691</f>
        <v>22187</v>
      </c>
      <c r="J691" s="20">
        <f>Data!J691</f>
        <v>43108</v>
      </c>
      <c r="K691" s="20">
        <f>Data!K691</f>
        <v>43473</v>
      </c>
      <c r="L691" s="5" t="str">
        <f>Data!L691</f>
        <v>Active</v>
      </c>
      <c r="M691" s="5" t="str">
        <f>Data!M691</f>
        <v>Page (Corporate)</v>
      </c>
      <c r="P691" s="5">
        <f>Data!P691</f>
        <v>0</v>
      </c>
      <c r="U691" s="5" t="str">
        <f>Data!U691</f>
        <v>UNITED STATES</v>
      </c>
      <c r="Y691" s="5" t="str">
        <f>Data!Y691</f>
        <v>United States</v>
      </c>
    </row>
    <row r="692" spans="1:25" x14ac:dyDescent="0.5">
      <c r="A692">
        <f>Data!A692</f>
        <v>22188</v>
      </c>
      <c r="J692" s="20">
        <f>Data!J692</f>
        <v>43117</v>
      </c>
      <c r="K692" s="20">
        <f>Data!K692</f>
        <v>43482</v>
      </c>
      <c r="L692" s="5" t="str">
        <f>Data!L692</f>
        <v>Active</v>
      </c>
      <c r="M692" s="5" t="str">
        <f>Data!M692</f>
        <v>Page (Corporate)</v>
      </c>
      <c r="P692" s="5">
        <f>Data!P692</f>
        <v>0</v>
      </c>
      <c r="U692" s="5" t="str">
        <f>Data!U692</f>
        <v>Turkey</v>
      </c>
      <c r="Y692" s="5" t="str">
        <f>Data!Y692</f>
        <v>Europe</v>
      </c>
    </row>
    <row r="693" spans="1:25" x14ac:dyDescent="0.5">
      <c r="A693">
        <f>Data!A693</f>
        <v>22189</v>
      </c>
      <c r="J693" s="20">
        <f>Data!J693</f>
        <v>43089</v>
      </c>
      <c r="K693" s="20">
        <f>Data!K693</f>
        <v>43454</v>
      </c>
      <c r="L693" s="5" t="str">
        <f>Data!L693</f>
        <v>Active</v>
      </c>
      <c r="M693" s="5" t="str">
        <f>Data!M693</f>
        <v>Page (Corporate)</v>
      </c>
      <c r="P693" s="5">
        <f>Data!P693</f>
        <v>0</v>
      </c>
      <c r="U693" s="5" t="str">
        <f>Data!U693</f>
        <v>UNITED STATES</v>
      </c>
      <c r="Y693" s="5" t="str">
        <f>Data!Y693</f>
        <v>United States</v>
      </c>
    </row>
    <row r="694" spans="1:25" x14ac:dyDescent="0.5">
      <c r="A694">
        <f>Data!A694</f>
        <v>22190</v>
      </c>
      <c r="J694" s="20">
        <f>Data!J694</f>
        <v>43089</v>
      </c>
      <c r="K694" s="20">
        <f>Data!K694</f>
        <v>43454</v>
      </c>
      <c r="L694" s="5" t="str">
        <f>Data!L694</f>
        <v>Active</v>
      </c>
      <c r="M694" s="5" t="str">
        <f>Data!M694</f>
        <v>Page (Corporate)</v>
      </c>
      <c r="P694" s="5">
        <f>Data!P694</f>
        <v>0</v>
      </c>
      <c r="U694" s="5" t="str">
        <f>Data!U694</f>
        <v>UNITED STATES</v>
      </c>
      <c r="Y694" s="5" t="str">
        <f>Data!Y694</f>
        <v>United States</v>
      </c>
    </row>
    <row r="695" spans="1:25" x14ac:dyDescent="0.5">
      <c r="A695">
        <f>Data!A695</f>
        <v>22191</v>
      </c>
      <c r="J695" s="20">
        <f>Data!J695</f>
        <v>43077</v>
      </c>
      <c r="K695" s="20">
        <f>Data!K695</f>
        <v>43442</v>
      </c>
      <c r="L695" s="5" t="str">
        <f>Data!L695</f>
        <v>Active</v>
      </c>
      <c r="M695" s="5" t="str">
        <f>Data!M695</f>
        <v>Page (Corporate)</v>
      </c>
      <c r="P695" s="5">
        <f>Data!P695</f>
        <v>0</v>
      </c>
      <c r="U695" s="5" t="str">
        <f>Data!U695</f>
        <v>UNITED STATES</v>
      </c>
      <c r="Y695" s="5" t="str">
        <f>Data!Y695</f>
        <v>United States</v>
      </c>
    </row>
    <row r="696" spans="1:25" x14ac:dyDescent="0.5">
      <c r="A696">
        <f>Data!A696</f>
        <v>22192</v>
      </c>
      <c r="J696" s="20">
        <f>Data!J696</f>
        <v>43080</v>
      </c>
      <c r="K696" s="20">
        <f>Data!K696</f>
        <v>43445</v>
      </c>
      <c r="L696" s="5" t="str">
        <f>Data!L696</f>
        <v>Active</v>
      </c>
      <c r="M696" s="5" t="str">
        <f>Data!M696</f>
        <v>Page (Corporate)</v>
      </c>
      <c r="P696" s="5">
        <f>Data!P696</f>
        <v>0</v>
      </c>
      <c r="U696" s="5" t="str">
        <f>Data!U696</f>
        <v>UNITED STATES</v>
      </c>
      <c r="Y696" s="5" t="str">
        <f>Data!Y696</f>
        <v>United States</v>
      </c>
    </row>
    <row r="697" spans="1:25" x14ac:dyDescent="0.5">
      <c r="A697">
        <f>Data!A697</f>
        <v>22193</v>
      </c>
      <c r="J697" s="20">
        <f>Data!J697</f>
        <v>43080</v>
      </c>
      <c r="K697" s="20">
        <f>Data!K697</f>
        <v>43445</v>
      </c>
      <c r="L697" s="5" t="str">
        <f>Data!L697</f>
        <v>Active</v>
      </c>
      <c r="M697" s="5" t="str">
        <f>Data!M697</f>
        <v>Page (Corporate)</v>
      </c>
      <c r="P697" s="5">
        <f>Data!P697</f>
        <v>0</v>
      </c>
      <c r="U697" s="5" t="str">
        <f>Data!U697</f>
        <v>Sweden</v>
      </c>
      <c r="Y697" s="5" t="str">
        <f>Data!Y697</f>
        <v>Europe</v>
      </c>
    </row>
    <row r="698" spans="1:25" x14ac:dyDescent="0.5">
      <c r="A698">
        <f>Data!A698</f>
        <v>22194</v>
      </c>
      <c r="J698" s="20">
        <f>Data!J698</f>
        <v>43089</v>
      </c>
      <c r="K698" s="20">
        <f>Data!K698</f>
        <v>43454</v>
      </c>
      <c r="L698" s="5" t="str">
        <f>Data!L698</f>
        <v>Active</v>
      </c>
      <c r="M698" s="5" t="str">
        <f>Data!M698</f>
        <v>Page (Corporate)</v>
      </c>
      <c r="P698" s="5">
        <f>Data!P698</f>
        <v>0</v>
      </c>
      <c r="U698" s="5" t="str">
        <f>Data!U698</f>
        <v>UNITED STATES</v>
      </c>
      <c r="Y698" s="5" t="str">
        <f>Data!Y698</f>
        <v>United States</v>
      </c>
    </row>
    <row r="699" spans="1:25" x14ac:dyDescent="0.5">
      <c r="A699">
        <f>Data!A699</f>
        <v>22195</v>
      </c>
      <c r="J699" s="20">
        <f>Data!J699</f>
        <v>43080</v>
      </c>
      <c r="K699" s="20">
        <f>Data!K699</f>
        <v>43445</v>
      </c>
      <c r="L699" s="5" t="str">
        <f>Data!L699</f>
        <v>Active</v>
      </c>
      <c r="M699" s="5" t="str">
        <f>Data!M699</f>
        <v>Page (Corporate)</v>
      </c>
      <c r="P699" s="5">
        <f>Data!P699</f>
        <v>0</v>
      </c>
      <c r="U699" s="5" t="str">
        <f>Data!U699</f>
        <v>UNITED STATES</v>
      </c>
      <c r="Y699" s="5" t="str">
        <f>Data!Y699</f>
        <v>United States</v>
      </c>
    </row>
    <row r="700" spans="1:25" x14ac:dyDescent="0.5">
      <c r="A700">
        <f>Data!A700</f>
        <v>22196</v>
      </c>
      <c r="J700" s="20">
        <f>Data!J700</f>
        <v>43103</v>
      </c>
      <c r="K700" s="20">
        <f>Data!K700</f>
        <v>43468</v>
      </c>
      <c r="L700" s="5" t="str">
        <f>Data!L700</f>
        <v>Active</v>
      </c>
      <c r="M700" s="5" t="str">
        <f>Data!M700</f>
        <v>Page (Corporate)</v>
      </c>
      <c r="P700" s="5">
        <f>Data!P700</f>
        <v>0</v>
      </c>
      <c r="U700" s="5" t="str">
        <f>Data!U700</f>
        <v>UNITED STATES</v>
      </c>
      <c r="Y700" s="5" t="str">
        <f>Data!Y700</f>
        <v>United States</v>
      </c>
    </row>
    <row r="701" spans="1:25" x14ac:dyDescent="0.5">
      <c r="A701">
        <f>Data!A701</f>
        <v>22197</v>
      </c>
      <c r="J701" s="20">
        <f>Data!J701</f>
        <v>43185</v>
      </c>
      <c r="K701" s="20">
        <f>Data!K701</f>
        <v>43550</v>
      </c>
      <c r="L701" s="5" t="str">
        <f>Data!L701</f>
        <v>Active</v>
      </c>
      <c r="M701" s="5" t="str">
        <f>Data!M701</f>
        <v>Page (Corporate)</v>
      </c>
      <c r="P701" s="5">
        <f>Data!P701</f>
        <v>0</v>
      </c>
      <c r="U701" s="5" t="str">
        <f>Data!U701</f>
        <v>UNITED STATES</v>
      </c>
      <c r="Y701" s="5" t="str">
        <f>Data!Y701</f>
        <v>United States</v>
      </c>
    </row>
    <row r="702" spans="1:25" x14ac:dyDescent="0.5">
      <c r="A702">
        <f>Data!A702</f>
        <v>22198</v>
      </c>
      <c r="J702" s="20">
        <f>Data!J702</f>
        <v>43077</v>
      </c>
      <c r="K702" s="20">
        <f>Data!K702</f>
        <v>43442</v>
      </c>
      <c r="L702" s="5" t="str">
        <f>Data!L702</f>
        <v>Active</v>
      </c>
      <c r="M702" s="5" t="str">
        <f>Data!M702</f>
        <v>Page (Educator)</v>
      </c>
      <c r="P702" s="5">
        <f>Data!P702</f>
        <v>0</v>
      </c>
      <c r="U702" s="5" t="str">
        <f>Data!U702</f>
        <v>UNITED STATES</v>
      </c>
      <c r="Y702" s="5" t="str">
        <f>Data!Y702</f>
        <v>United States</v>
      </c>
    </row>
    <row r="703" spans="1:25" x14ac:dyDescent="0.5">
      <c r="A703">
        <f>Data!A703</f>
        <v>22199</v>
      </c>
      <c r="J703" s="20">
        <f>Data!J703</f>
        <v>43080</v>
      </c>
      <c r="K703" s="20">
        <f>Data!K703</f>
        <v>43445</v>
      </c>
      <c r="L703" s="5" t="str">
        <f>Data!L703</f>
        <v>Active</v>
      </c>
      <c r="M703" s="5" t="str">
        <f>Data!M703</f>
        <v>Page (Non-Profit)</v>
      </c>
      <c r="P703" s="5">
        <f>Data!P703</f>
        <v>0</v>
      </c>
      <c r="U703" s="5" t="str">
        <f>Data!U703</f>
        <v>Denmark</v>
      </c>
      <c r="Y703" s="5" t="str">
        <f>Data!Y703</f>
        <v>Europe</v>
      </c>
    </row>
    <row r="704" spans="1:25" x14ac:dyDescent="0.5">
      <c r="A704">
        <f>Data!A704</f>
        <v>22219</v>
      </c>
      <c r="J704" s="20">
        <f>Data!J704</f>
        <v>41019</v>
      </c>
      <c r="K704" s="20">
        <f>Data!K704</f>
        <v>43465</v>
      </c>
      <c r="L704" s="5" t="str">
        <f>Data!L704</f>
        <v>Active</v>
      </c>
      <c r="M704" s="5" t="str">
        <f>Data!M704</f>
        <v>Page (Corporate)</v>
      </c>
      <c r="P704" s="5" t="str">
        <f>Data!P704</f>
        <v>Eligible</v>
      </c>
      <c r="U704" s="5" t="str">
        <f>Data!U704</f>
        <v>UNITED STATES</v>
      </c>
      <c r="Y704" s="5" t="str">
        <f>Data!Y704</f>
        <v>United States</v>
      </c>
    </row>
    <row r="705" spans="1:25" x14ac:dyDescent="0.5">
      <c r="A705">
        <f>Data!A705</f>
        <v>22223</v>
      </c>
      <c r="J705" s="20">
        <f>Data!J705</f>
        <v>42340</v>
      </c>
      <c r="K705" s="20">
        <f>Data!K705</f>
        <v>43465</v>
      </c>
      <c r="L705" s="5" t="str">
        <f>Data!L705</f>
        <v>Active</v>
      </c>
      <c r="M705" s="5" t="str">
        <f>Data!M705</f>
        <v>Page (Corporate)</v>
      </c>
      <c r="P705" s="5" t="str">
        <f>Data!P705</f>
        <v>Eligible</v>
      </c>
      <c r="U705" s="5" t="str">
        <f>Data!U705</f>
        <v>UNITED STATES</v>
      </c>
      <c r="Y705" s="5" t="str">
        <f>Data!Y705</f>
        <v>United States</v>
      </c>
    </row>
    <row r="706" spans="1:25" x14ac:dyDescent="0.5">
      <c r="A706">
        <f>Data!A706</f>
        <v>22296</v>
      </c>
      <c r="J706" s="20">
        <f>Data!J706</f>
        <v>43161</v>
      </c>
      <c r="K706" s="20">
        <f>Data!K706</f>
        <v>43526</v>
      </c>
      <c r="L706" s="5" t="str">
        <f>Data!L706</f>
        <v>Active</v>
      </c>
      <c r="M706" s="5" t="str">
        <f>Data!M706</f>
        <v>Page (Corporate)</v>
      </c>
      <c r="P706" s="5">
        <f>Data!P706</f>
        <v>0</v>
      </c>
      <c r="U706" s="5" t="str">
        <f>Data!U706</f>
        <v>UNITED STATES</v>
      </c>
      <c r="Y706" s="5" t="str">
        <f>Data!Y706</f>
        <v>United States</v>
      </c>
    </row>
    <row r="707" spans="1:25" x14ac:dyDescent="0.5">
      <c r="A707">
        <f>Data!A707</f>
        <v>22297</v>
      </c>
      <c r="J707" s="20">
        <f>Data!J707</f>
        <v>43147</v>
      </c>
      <c r="K707" s="20">
        <f>Data!K707</f>
        <v>43512</v>
      </c>
      <c r="L707" s="5" t="str">
        <f>Data!L707</f>
        <v>Active</v>
      </c>
      <c r="M707" s="5" t="str">
        <f>Data!M707</f>
        <v>Page (Corporate)</v>
      </c>
      <c r="P707" s="5">
        <f>Data!P707</f>
        <v>0</v>
      </c>
      <c r="U707" s="5" t="str">
        <f>Data!U707</f>
        <v>UNITED STATES</v>
      </c>
      <c r="Y707" s="5" t="str">
        <f>Data!Y707</f>
        <v>United States</v>
      </c>
    </row>
    <row r="708" spans="1:25" x14ac:dyDescent="0.5">
      <c r="A708">
        <f>Data!A708</f>
        <v>22298</v>
      </c>
      <c r="J708" s="20">
        <f>Data!J708</f>
        <v>43161</v>
      </c>
      <c r="K708" s="20">
        <f>Data!K708</f>
        <v>43526</v>
      </c>
      <c r="L708" s="5" t="str">
        <f>Data!L708</f>
        <v>Active</v>
      </c>
      <c r="M708" s="5" t="str">
        <f>Data!M708</f>
        <v>Page (Corporate)</v>
      </c>
      <c r="P708" s="5">
        <f>Data!P708</f>
        <v>0</v>
      </c>
      <c r="U708" s="5" t="str">
        <f>Data!U708</f>
        <v>Denmark</v>
      </c>
      <c r="Y708" s="5" t="str">
        <f>Data!Y708</f>
        <v>Europe</v>
      </c>
    </row>
    <row r="709" spans="1:25" x14ac:dyDescent="0.5">
      <c r="A709">
        <f>Data!A709</f>
        <v>22299</v>
      </c>
      <c r="J709" s="20">
        <f>Data!J709</f>
        <v>43138</v>
      </c>
      <c r="K709" s="20">
        <f>Data!K709</f>
        <v>43503</v>
      </c>
      <c r="L709" s="5" t="str">
        <f>Data!L709</f>
        <v>Active</v>
      </c>
      <c r="M709" s="5" t="str">
        <f>Data!M709</f>
        <v>Page (Corporate)</v>
      </c>
      <c r="P709" s="5">
        <f>Data!P709</f>
        <v>0</v>
      </c>
      <c r="U709" s="5" t="str">
        <f>Data!U709</f>
        <v>UNITED STATES</v>
      </c>
      <c r="Y709" s="5" t="str">
        <f>Data!Y709</f>
        <v>United States</v>
      </c>
    </row>
    <row r="710" spans="1:25" x14ac:dyDescent="0.5">
      <c r="A710">
        <f>Data!A710</f>
        <v>22300</v>
      </c>
      <c r="J710" s="20">
        <f>Data!J710</f>
        <v>43181</v>
      </c>
      <c r="K710" s="20">
        <f>Data!K710</f>
        <v>43546</v>
      </c>
      <c r="L710" s="5" t="str">
        <f>Data!L710</f>
        <v>Active</v>
      </c>
      <c r="M710" s="5" t="str">
        <f>Data!M710</f>
        <v>Page (Corporate)</v>
      </c>
      <c r="P710" s="5">
        <f>Data!P710</f>
        <v>0</v>
      </c>
      <c r="U710" s="5" t="str">
        <f>Data!U710</f>
        <v>UNITED STATES</v>
      </c>
      <c r="Y710" s="5" t="str">
        <f>Data!Y710</f>
        <v>United States</v>
      </c>
    </row>
    <row r="711" spans="1:25" x14ac:dyDescent="0.5">
      <c r="A711">
        <f>Data!A711</f>
        <v>22301</v>
      </c>
      <c r="J711" s="20">
        <f>Data!J711</f>
        <v>43138</v>
      </c>
      <c r="K711" s="20">
        <f>Data!K711</f>
        <v>43503</v>
      </c>
      <c r="L711" s="5" t="str">
        <f>Data!L711</f>
        <v>Active</v>
      </c>
      <c r="M711" s="5" t="str">
        <f>Data!M711</f>
        <v>Page (Corporate)</v>
      </c>
      <c r="P711" s="5">
        <f>Data!P711</f>
        <v>0</v>
      </c>
      <c r="U711" s="5" t="str">
        <f>Data!U711</f>
        <v>UNITED STATES</v>
      </c>
      <c r="Y711" s="5" t="str">
        <f>Data!Y711</f>
        <v>United States</v>
      </c>
    </row>
    <row r="712" spans="1:25" x14ac:dyDescent="0.5">
      <c r="A712">
        <f>Data!A712</f>
        <v>22302</v>
      </c>
      <c r="J712" s="20">
        <f>Data!J712</f>
        <v>43161</v>
      </c>
      <c r="K712" s="20">
        <f>Data!K712</f>
        <v>43526</v>
      </c>
      <c r="L712" s="5" t="str">
        <f>Data!L712</f>
        <v>Active</v>
      </c>
      <c r="M712" s="5" t="str">
        <f>Data!M712</f>
        <v>Page (Corporate)</v>
      </c>
      <c r="P712" s="5">
        <f>Data!P712</f>
        <v>0</v>
      </c>
      <c r="U712" s="5" t="str">
        <f>Data!U712</f>
        <v>UNITED STATES</v>
      </c>
      <c r="Y712" s="5" t="str">
        <f>Data!Y712</f>
        <v>United States</v>
      </c>
    </row>
    <row r="713" spans="1:25" x14ac:dyDescent="0.5">
      <c r="A713">
        <f>Data!A713</f>
        <v>22304</v>
      </c>
      <c r="J713" s="20">
        <f>Data!J713</f>
        <v>43182</v>
      </c>
      <c r="K713" s="20">
        <f>Data!K713</f>
        <v>43547</v>
      </c>
      <c r="L713" s="5" t="str">
        <f>Data!L713</f>
        <v>Active</v>
      </c>
      <c r="M713" s="5" t="str">
        <f>Data!M713</f>
        <v>Page (Corporate)</v>
      </c>
      <c r="P713" s="5">
        <f>Data!P713</f>
        <v>0</v>
      </c>
      <c r="U713" s="5" t="str">
        <f>Data!U713</f>
        <v>UNITED STATES</v>
      </c>
      <c r="Y713" s="5" t="str">
        <f>Data!Y713</f>
        <v>United States</v>
      </c>
    </row>
    <row r="714" spans="1:25" x14ac:dyDescent="0.5">
      <c r="A714">
        <f>Data!A714</f>
        <v>22305</v>
      </c>
      <c r="J714" s="20">
        <f>Data!J714</f>
        <v>43138</v>
      </c>
      <c r="K714" s="20">
        <f>Data!K714</f>
        <v>43503</v>
      </c>
      <c r="L714" s="5" t="str">
        <f>Data!L714</f>
        <v>Active</v>
      </c>
      <c r="M714" s="5" t="str">
        <f>Data!M714</f>
        <v>Page (Corporate)</v>
      </c>
      <c r="P714" s="5">
        <f>Data!P714</f>
        <v>0</v>
      </c>
      <c r="U714" s="5" t="str">
        <f>Data!U714</f>
        <v>UNITED STATES</v>
      </c>
      <c r="Y714" s="5" t="str">
        <f>Data!Y714</f>
        <v>United States</v>
      </c>
    </row>
    <row r="715" spans="1:25" x14ac:dyDescent="0.5">
      <c r="A715">
        <f>Data!A715</f>
        <v>22306</v>
      </c>
      <c r="J715" s="20">
        <f>Data!J715</f>
        <v>43179</v>
      </c>
      <c r="K715" s="20">
        <f>Data!K715</f>
        <v>43544</v>
      </c>
      <c r="L715" s="5" t="str">
        <f>Data!L715</f>
        <v>Active</v>
      </c>
      <c r="M715" s="5" t="str">
        <f>Data!M715</f>
        <v>Page (Corporate)</v>
      </c>
      <c r="P715" s="5">
        <f>Data!P715</f>
        <v>0</v>
      </c>
      <c r="U715" s="5" t="str">
        <f>Data!U715</f>
        <v>UNITED STATES</v>
      </c>
      <c r="Y715" s="5" t="str">
        <f>Data!Y715</f>
        <v>United States</v>
      </c>
    </row>
    <row r="716" spans="1:25" x14ac:dyDescent="0.5">
      <c r="A716">
        <f>Data!A716</f>
        <v>22307</v>
      </c>
      <c r="J716" s="20">
        <f>Data!J716</f>
        <v>43138</v>
      </c>
      <c r="K716" s="20">
        <f>Data!K716</f>
        <v>43503</v>
      </c>
      <c r="L716" s="5" t="str">
        <f>Data!L716</f>
        <v>Active</v>
      </c>
      <c r="M716" s="5" t="str">
        <f>Data!M716</f>
        <v>Page (Corporate)</v>
      </c>
      <c r="P716" s="5" t="str">
        <f>Data!P716</f>
        <v>In Staff Review</v>
      </c>
      <c r="U716" s="5" t="str">
        <f>Data!U716</f>
        <v>Australia</v>
      </c>
      <c r="Y716" s="5" t="str">
        <f>Data!Y716</f>
        <v>Australia/NZ</v>
      </c>
    </row>
    <row r="717" spans="1:25" x14ac:dyDescent="0.5">
      <c r="A717">
        <f>Data!A717</f>
        <v>22308</v>
      </c>
      <c r="J717" s="20">
        <f>Data!J717</f>
        <v>43138</v>
      </c>
      <c r="K717" s="20">
        <f>Data!K717</f>
        <v>43503</v>
      </c>
      <c r="L717" s="5" t="str">
        <f>Data!L717</f>
        <v>Active</v>
      </c>
      <c r="M717" s="5" t="str">
        <f>Data!M717</f>
        <v>Page (Agency)</v>
      </c>
      <c r="P717" s="5">
        <f>Data!P717</f>
        <v>0</v>
      </c>
      <c r="U717" s="5" t="str">
        <f>Data!U717</f>
        <v>UNITED STATES</v>
      </c>
      <c r="Y717" s="5" t="str">
        <f>Data!Y717</f>
        <v>United States</v>
      </c>
    </row>
    <row r="718" spans="1:25" x14ac:dyDescent="0.5">
      <c r="A718">
        <f>Data!A718</f>
        <v>22309</v>
      </c>
      <c r="J718" s="20">
        <f>Data!J718</f>
        <v>43138</v>
      </c>
      <c r="K718" s="20">
        <f>Data!K718</f>
        <v>43503</v>
      </c>
      <c r="L718" s="5" t="str">
        <f>Data!L718</f>
        <v>Active</v>
      </c>
      <c r="M718" s="5" t="str">
        <f>Data!M718</f>
        <v>Page (Non-Profit)</v>
      </c>
      <c r="P718" s="5">
        <f>Data!P718</f>
        <v>0</v>
      </c>
      <c r="U718" s="5" t="str">
        <f>Data!U718</f>
        <v>UNITED STATES</v>
      </c>
      <c r="Y718" s="5" t="str">
        <f>Data!Y718</f>
        <v>United States</v>
      </c>
    </row>
    <row r="719" spans="1:25" x14ac:dyDescent="0.5">
      <c r="A719">
        <f>Data!A719</f>
        <v>22310</v>
      </c>
      <c r="J719" s="20">
        <f>Data!J719</f>
        <v>43138</v>
      </c>
      <c r="K719" s="20">
        <f>Data!K719</f>
        <v>43503</v>
      </c>
      <c r="L719" s="5" t="str">
        <f>Data!L719</f>
        <v>Active</v>
      </c>
      <c r="M719" s="5" t="str">
        <f>Data!M719</f>
        <v>Page (Non-Profit)</v>
      </c>
      <c r="P719" s="5">
        <f>Data!P719</f>
        <v>0</v>
      </c>
      <c r="U719" s="5" t="str">
        <f>Data!U719</f>
        <v>Denmark</v>
      </c>
      <c r="Y719" s="5" t="str">
        <f>Data!Y719</f>
        <v>Europe</v>
      </c>
    </row>
    <row r="720" spans="1:25" x14ac:dyDescent="0.5">
      <c r="A720">
        <f>Data!A720</f>
        <v>22322</v>
      </c>
      <c r="J720" s="20">
        <f>Data!J720</f>
        <v>43347</v>
      </c>
      <c r="K720" s="20">
        <f>Data!K720</f>
        <v>43712</v>
      </c>
      <c r="L720" s="5" t="str">
        <f>Data!L720</f>
        <v>Active</v>
      </c>
      <c r="M720" s="5" t="str">
        <f>Data!M720</f>
        <v>Page (Non-Profit)</v>
      </c>
      <c r="P720" s="5" t="str">
        <f>Data!P720</f>
        <v>Eligible</v>
      </c>
      <c r="U720" s="5" t="str">
        <f>Data!U720</f>
        <v>Germany</v>
      </c>
      <c r="Y720" s="5" t="str">
        <f>Data!Y720</f>
        <v>Europe</v>
      </c>
    </row>
    <row r="721" spans="1:25" x14ac:dyDescent="0.5">
      <c r="A721">
        <f>Data!A721</f>
        <v>22327</v>
      </c>
      <c r="J721" s="20">
        <f>Data!J721</f>
        <v>43203</v>
      </c>
      <c r="K721" s="20">
        <f>Data!K721</f>
        <v>43568</v>
      </c>
      <c r="L721" s="5" t="str">
        <f>Data!L721</f>
        <v>Active</v>
      </c>
      <c r="M721" s="5" t="str">
        <f>Data!M721</f>
        <v>Page (Corporate)</v>
      </c>
      <c r="P721" s="5">
        <f>Data!P721</f>
        <v>0</v>
      </c>
      <c r="U721" s="5" t="str">
        <f>Data!U721</f>
        <v>UNITED STATES</v>
      </c>
      <c r="Y721" s="5" t="str">
        <f>Data!Y721</f>
        <v>United States</v>
      </c>
    </row>
    <row r="722" spans="1:25" x14ac:dyDescent="0.5">
      <c r="A722">
        <f>Data!A722</f>
        <v>22339</v>
      </c>
      <c r="J722" s="20">
        <f>Data!J722</f>
        <v>43203</v>
      </c>
      <c r="K722" s="20">
        <f>Data!K722</f>
        <v>43568</v>
      </c>
      <c r="L722" s="5" t="str">
        <f>Data!L722</f>
        <v>Active</v>
      </c>
      <c r="M722" s="5" t="str">
        <f>Data!M722</f>
        <v>Page (Educator)</v>
      </c>
      <c r="P722" s="5">
        <f>Data!P722</f>
        <v>0</v>
      </c>
      <c r="U722" s="5" t="str">
        <f>Data!U722</f>
        <v>UNITED STATES</v>
      </c>
      <c r="Y722" s="5" t="str">
        <f>Data!Y722</f>
        <v>United States</v>
      </c>
    </row>
    <row r="723" spans="1:25" x14ac:dyDescent="0.5">
      <c r="A723">
        <f>Data!A723</f>
        <v>22344</v>
      </c>
      <c r="J723" s="20">
        <f>Data!J723</f>
        <v>43264</v>
      </c>
      <c r="K723" s="20">
        <f>Data!K723</f>
        <v>43629</v>
      </c>
      <c r="L723" s="5" t="str">
        <f>Data!L723</f>
        <v>Active</v>
      </c>
      <c r="M723" s="5" t="str">
        <f>Data!M723</f>
        <v>Page (Corporate)</v>
      </c>
      <c r="P723" s="5" t="str">
        <f>Data!P723</f>
        <v>Eligible</v>
      </c>
      <c r="U723" s="5" t="str">
        <f>Data!U723</f>
        <v>UNITED STATES</v>
      </c>
      <c r="Y723" s="5" t="str">
        <f>Data!Y723</f>
        <v>United States</v>
      </c>
    </row>
    <row r="724" spans="1:25" x14ac:dyDescent="0.5">
      <c r="A724">
        <f>Data!A724</f>
        <v>22347</v>
      </c>
      <c r="J724" s="20">
        <f>Data!J724</f>
        <v>43202</v>
      </c>
      <c r="K724" s="20">
        <f>Data!K724</f>
        <v>43567</v>
      </c>
      <c r="L724" s="5" t="str">
        <f>Data!L724</f>
        <v>Active</v>
      </c>
      <c r="M724" s="5" t="str">
        <f>Data!M724</f>
        <v>Page (Corporate)</v>
      </c>
      <c r="P724" s="5">
        <f>Data!P724</f>
        <v>0</v>
      </c>
      <c r="U724" s="5" t="str">
        <f>Data!U724</f>
        <v>UNITED STATES</v>
      </c>
      <c r="Y724" s="5" t="str">
        <f>Data!Y724</f>
        <v>United States</v>
      </c>
    </row>
    <row r="725" spans="1:25" x14ac:dyDescent="0.5">
      <c r="A725">
        <f>Data!A725</f>
        <v>22353</v>
      </c>
      <c r="J725" s="20">
        <f>Data!J725</f>
        <v>43241</v>
      </c>
      <c r="K725" s="20">
        <f>Data!K725</f>
        <v>43606</v>
      </c>
      <c r="L725" s="5" t="str">
        <f>Data!L725</f>
        <v>Active</v>
      </c>
      <c r="M725" s="5" t="str">
        <f>Data!M725</f>
        <v>Page (Non-Profit)</v>
      </c>
      <c r="P725" s="5">
        <f>Data!P725</f>
        <v>0</v>
      </c>
      <c r="U725" s="5" t="str">
        <f>Data!U725</f>
        <v>UNITED STATES</v>
      </c>
      <c r="Y725" s="5" t="str">
        <f>Data!Y725</f>
        <v>United States</v>
      </c>
    </row>
    <row r="726" spans="1:25" x14ac:dyDescent="0.5">
      <c r="A726">
        <f>Data!A726</f>
        <v>22354</v>
      </c>
      <c r="J726" s="20">
        <f>Data!J726</f>
        <v>43241</v>
      </c>
      <c r="K726" s="20">
        <f>Data!K726</f>
        <v>43606</v>
      </c>
      <c r="L726" s="5" t="str">
        <f>Data!L726</f>
        <v>Active</v>
      </c>
      <c r="M726" s="5" t="str">
        <f>Data!M726</f>
        <v>Page (Corporate)</v>
      </c>
      <c r="P726" s="5">
        <f>Data!P726</f>
        <v>0</v>
      </c>
      <c r="U726" s="5" t="str">
        <f>Data!U726</f>
        <v>Germany</v>
      </c>
      <c r="Y726" s="5" t="str">
        <f>Data!Y726</f>
        <v>Europe</v>
      </c>
    </row>
    <row r="727" spans="1:25" x14ac:dyDescent="0.5">
      <c r="A727">
        <f>Data!A727</f>
        <v>22356</v>
      </c>
      <c r="J727" s="20">
        <f>Data!J727</f>
        <v>43284</v>
      </c>
      <c r="K727" s="20">
        <f>Data!K727</f>
        <v>43649</v>
      </c>
      <c r="L727" s="5" t="str">
        <f>Data!L727</f>
        <v>Active</v>
      </c>
      <c r="M727" s="5" t="str">
        <f>Data!M727</f>
        <v>Page (Corporate)</v>
      </c>
      <c r="P727" s="5">
        <f>Data!P727</f>
        <v>0</v>
      </c>
      <c r="U727" s="5" t="str">
        <f>Data!U727</f>
        <v>UNITED STATES</v>
      </c>
      <c r="Y727" s="5" t="str">
        <f>Data!Y727</f>
        <v>United States</v>
      </c>
    </row>
    <row r="728" spans="1:25" x14ac:dyDescent="0.5">
      <c r="A728">
        <f>Data!A728</f>
        <v>22357</v>
      </c>
      <c r="J728" s="20">
        <f>Data!J728</f>
        <v>43220</v>
      </c>
      <c r="K728" s="20">
        <f>Data!K728</f>
        <v>43585</v>
      </c>
      <c r="L728" s="5" t="str">
        <f>Data!L728</f>
        <v>Active</v>
      </c>
      <c r="M728" s="5" t="str">
        <f>Data!M728</f>
        <v>Page (Corporate)</v>
      </c>
      <c r="P728" s="5">
        <f>Data!P728</f>
        <v>0</v>
      </c>
      <c r="U728" s="5" t="str">
        <f>Data!U728</f>
        <v>Australia</v>
      </c>
      <c r="Y728" s="5" t="str">
        <f>Data!Y728</f>
        <v>Australia/NZ</v>
      </c>
    </row>
    <row r="729" spans="1:25" x14ac:dyDescent="0.5">
      <c r="A729">
        <f>Data!A729</f>
        <v>22358</v>
      </c>
      <c r="J729" s="20">
        <f>Data!J729</f>
        <v>43203</v>
      </c>
      <c r="K729" s="20">
        <f>Data!K729</f>
        <v>43568</v>
      </c>
      <c r="L729" s="5" t="str">
        <f>Data!L729</f>
        <v>Active</v>
      </c>
      <c r="M729" s="5" t="str">
        <f>Data!M729</f>
        <v>Page (Corporate)</v>
      </c>
      <c r="P729" s="5">
        <f>Data!P729</f>
        <v>0</v>
      </c>
      <c r="U729" s="5" t="str">
        <f>Data!U729</f>
        <v>UNITED STATES</v>
      </c>
      <c r="Y729" s="5" t="str">
        <f>Data!Y729</f>
        <v>United States</v>
      </c>
    </row>
    <row r="730" spans="1:25" x14ac:dyDescent="0.5">
      <c r="A730">
        <f>Data!A730</f>
        <v>22359</v>
      </c>
      <c r="J730" s="20">
        <f>Data!J730</f>
        <v>43220</v>
      </c>
      <c r="K730" s="20">
        <f>Data!K730</f>
        <v>43585</v>
      </c>
      <c r="L730" s="5" t="str">
        <f>Data!L730</f>
        <v>Active</v>
      </c>
      <c r="M730" s="5" t="str">
        <f>Data!M730</f>
        <v>Page (Agency)</v>
      </c>
      <c r="P730" s="5" t="str">
        <f>Data!P730</f>
        <v>Eligible</v>
      </c>
      <c r="U730" s="5" t="str">
        <f>Data!U730</f>
        <v>UNITED STATES</v>
      </c>
      <c r="Y730" s="5" t="str">
        <f>Data!Y730</f>
        <v>United States</v>
      </c>
    </row>
    <row r="731" spans="1:25" x14ac:dyDescent="0.5">
      <c r="A731">
        <f>Data!A731</f>
        <v>22360</v>
      </c>
      <c r="J731" s="20">
        <f>Data!J731</f>
        <v>43214</v>
      </c>
      <c r="K731" s="20">
        <f>Data!K731</f>
        <v>43579</v>
      </c>
      <c r="L731" s="5" t="str">
        <f>Data!L731</f>
        <v>Active</v>
      </c>
      <c r="M731" s="5" t="str">
        <f>Data!M731</f>
        <v>Page (Corporate)</v>
      </c>
      <c r="P731" s="5">
        <f>Data!P731</f>
        <v>0</v>
      </c>
      <c r="U731" s="5" t="str">
        <f>Data!U731</f>
        <v>UNITED STATES</v>
      </c>
      <c r="Y731" s="5" t="str">
        <f>Data!Y731</f>
        <v>United States</v>
      </c>
    </row>
    <row r="732" spans="1:25" x14ac:dyDescent="0.5">
      <c r="A732">
        <f>Data!A732</f>
        <v>22362</v>
      </c>
      <c r="J732" s="20">
        <f>Data!J732</f>
        <v>43215</v>
      </c>
      <c r="K732" s="20">
        <f>Data!K732</f>
        <v>43580</v>
      </c>
      <c r="L732" s="5" t="str">
        <f>Data!L732</f>
        <v>Active</v>
      </c>
      <c r="M732" s="5" t="str">
        <f>Data!M732</f>
        <v>Page (Corporate)</v>
      </c>
      <c r="P732" s="5">
        <f>Data!P732</f>
        <v>0</v>
      </c>
      <c r="U732" s="5" t="str">
        <f>Data!U732</f>
        <v>UNITED STATES</v>
      </c>
      <c r="Y732" s="5" t="str">
        <f>Data!Y732</f>
        <v>United States</v>
      </c>
    </row>
    <row r="733" spans="1:25" x14ac:dyDescent="0.5">
      <c r="A733">
        <f>Data!A733</f>
        <v>22363</v>
      </c>
      <c r="J733" s="20">
        <f>Data!J733</f>
        <v>43220</v>
      </c>
      <c r="K733" s="20">
        <f>Data!K733</f>
        <v>43585</v>
      </c>
      <c r="L733" s="5" t="str">
        <f>Data!L733</f>
        <v>Active</v>
      </c>
      <c r="M733" s="5" t="str">
        <f>Data!M733</f>
        <v>Page (Agency)</v>
      </c>
      <c r="P733" s="5">
        <f>Data!P733</f>
        <v>0</v>
      </c>
      <c r="U733" s="5" t="str">
        <f>Data!U733</f>
        <v>UNITED STATES</v>
      </c>
      <c r="Y733" s="5" t="str">
        <f>Data!Y733</f>
        <v>United States</v>
      </c>
    </row>
    <row r="734" spans="1:25" x14ac:dyDescent="0.5">
      <c r="A734">
        <f>Data!A734</f>
        <v>22364</v>
      </c>
      <c r="J734" s="20">
        <f>Data!J734</f>
        <v>43204</v>
      </c>
      <c r="K734" s="20">
        <f>Data!K734</f>
        <v>43569</v>
      </c>
      <c r="L734" s="5" t="str">
        <f>Data!L734</f>
        <v>Active</v>
      </c>
      <c r="M734" s="5" t="str">
        <f>Data!M734</f>
        <v>Page (Corporate)</v>
      </c>
      <c r="P734" s="5">
        <f>Data!P734</f>
        <v>0</v>
      </c>
      <c r="U734" s="5" t="str">
        <f>Data!U734</f>
        <v>UNITED STATES</v>
      </c>
      <c r="Y734" s="5" t="str">
        <f>Data!Y734</f>
        <v>United States</v>
      </c>
    </row>
    <row r="735" spans="1:25" x14ac:dyDescent="0.5">
      <c r="A735">
        <f>Data!A735</f>
        <v>22365</v>
      </c>
      <c r="J735" s="20">
        <f>Data!J735</f>
        <v>43210</v>
      </c>
      <c r="K735" s="20">
        <f>Data!K735</f>
        <v>43575</v>
      </c>
      <c r="L735" s="5" t="str">
        <f>Data!L735</f>
        <v>Active</v>
      </c>
      <c r="M735" s="5" t="str">
        <f>Data!M735</f>
        <v>Page (Educator)</v>
      </c>
      <c r="P735" s="5">
        <f>Data!P735</f>
        <v>0</v>
      </c>
      <c r="U735" s="5" t="str">
        <f>Data!U735</f>
        <v>Denmark</v>
      </c>
      <c r="Y735" s="5" t="str">
        <f>Data!Y735</f>
        <v>Europe</v>
      </c>
    </row>
    <row r="736" spans="1:25" x14ac:dyDescent="0.5">
      <c r="A736">
        <f>Data!A736</f>
        <v>22366</v>
      </c>
      <c r="J736" s="20">
        <f>Data!J736</f>
        <v>43214</v>
      </c>
      <c r="K736" s="20">
        <f>Data!K736</f>
        <v>43579</v>
      </c>
      <c r="L736" s="5" t="str">
        <f>Data!L736</f>
        <v>Active</v>
      </c>
      <c r="M736" s="5" t="str">
        <f>Data!M736</f>
        <v>Page (Agency)</v>
      </c>
      <c r="P736" s="5">
        <f>Data!P736</f>
        <v>0</v>
      </c>
      <c r="U736" s="5" t="str">
        <f>Data!U736</f>
        <v>UNITED STATES</v>
      </c>
      <c r="Y736" s="5" t="str">
        <f>Data!Y736</f>
        <v>United States</v>
      </c>
    </row>
    <row r="737" spans="1:25" x14ac:dyDescent="0.5">
      <c r="A737">
        <f>Data!A737</f>
        <v>22367</v>
      </c>
      <c r="J737" s="20">
        <f>Data!J737</f>
        <v>43228</v>
      </c>
      <c r="K737" s="20">
        <f>Data!K737</f>
        <v>43593</v>
      </c>
      <c r="L737" s="5" t="str">
        <f>Data!L737</f>
        <v>Active</v>
      </c>
      <c r="M737" s="5" t="str">
        <f>Data!M737</f>
        <v>Page (Corporate)</v>
      </c>
      <c r="P737" s="5">
        <f>Data!P737</f>
        <v>0</v>
      </c>
      <c r="U737" s="5" t="str">
        <f>Data!U737</f>
        <v>UNITED STATES</v>
      </c>
      <c r="Y737" s="5" t="str">
        <f>Data!Y737</f>
        <v>United States</v>
      </c>
    </row>
    <row r="738" spans="1:25" x14ac:dyDescent="0.5">
      <c r="A738">
        <f>Data!A738</f>
        <v>22368</v>
      </c>
      <c r="J738" s="20">
        <f>Data!J738</f>
        <v>43210</v>
      </c>
      <c r="K738" s="20">
        <f>Data!K738</f>
        <v>43575</v>
      </c>
      <c r="L738" s="5" t="str">
        <f>Data!L738</f>
        <v>Active</v>
      </c>
      <c r="M738" s="5" t="str">
        <f>Data!M738</f>
        <v>Page (Non-Profit)</v>
      </c>
      <c r="P738" s="5">
        <f>Data!P738</f>
        <v>0</v>
      </c>
      <c r="U738" s="5" t="str">
        <f>Data!U738</f>
        <v>UNITED STATES</v>
      </c>
      <c r="Y738" s="5" t="str">
        <f>Data!Y738</f>
        <v>United States</v>
      </c>
    </row>
    <row r="739" spans="1:25" x14ac:dyDescent="0.5">
      <c r="A739">
        <f>Data!A739</f>
        <v>22369</v>
      </c>
      <c r="J739" s="20">
        <f>Data!J739</f>
        <v>43228</v>
      </c>
      <c r="K739" s="20">
        <f>Data!K739</f>
        <v>43593</v>
      </c>
      <c r="L739" s="5" t="str">
        <f>Data!L739</f>
        <v>Active</v>
      </c>
      <c r="M739" s="5" t="str">
        <f>Data!M739</f>
        <v>Page (Corporate)</v>
      </c>
      <c r="P739" s="5">
        <f>Data!P739</f>
        <v>0</v>
      </c>
      <c r="U739" s="5" t="str">
        <f>Data!U739</f>
        <v>Australia</v>
      </c>
      <c r="Y739" s="5" t="str">
        <f>Data!Y739</f>
        <v>Australia/NZ</v>
      </c>
    </row>
    <row r="740" spans="1:25" x14ac:dyDescent="0.5">
      <c r="A740">
        <f>Data!A740</f>
        <v>22370</v>
      </c>
      <c r="J740" s="20">
        <f>Data!J740</f>
        <v>43210</v>
      </c>
      <c r="K740" s="20">
        <f>Data!K740</f>
        <v>43575</v>
      </c>
      <c r="L740" s="5" t="str">
        <f>Data!L740</f>
        <v>Active</v>
      </c>
      <c r="M740" s="5" t="str">
        <f>Data!M740</f>
        <v>Page (Corporate)</v>
      </c>
      <c r="P740" s="5">
        <f>Data!P740</f>
        <v>0</v>
      </c>
      <c r="U740" s="5" t="str">
        <f>Data!U740</f>
        <v>UNITED STATES</v>
      </c>
      <c r="Y740" s="5" t="str">
        <f>Data!Y740</f>
        <v>United States</v>
      </c>
    </row>
    <row r="741" spans="1:25" x14ac:dyDescent="0.5">
      <c r="A741">
        <f>Data!A741</f>
        <v>22371</v>
      </c>
      <c r="J741" s="20">
        <f>Data!J741</f>
        <v>43204</v>
      </c>
      <c r="K741" s="20">
        <f>Data!K741</f>
        <v>43569</v>
      </c>
      <c r="L741" s="5" t="str">
        <f>Data!L741</f>
        <v>Active</v>
      </c>
      <c r="M741" s="5" t="str">
        <f>Data!M741</f>
        <v>Page (Agency)</v>
      </c>
      <c r="P741" s="5">
        <f>Data!P741</f>
        <v>0</v>
      </c>
      <c r="U741" s="5" t="str">
        <f>Data!U741</f>
        <v>UNITED STATES</v>
      </c>
      <c r="Y741" s="5" t="str">
        <f>Data!Y741</f>
        <v>United States</v>
      </c>
    </row>
    <row r="742" spans="1:25" x14ac:dyDescent="0.5">
      <c r="A742">
        <f>Data!A742</f>
        <v>22372</v>
      </c>
      <c r="J742" s="20">
        <f>Data!J742</f>
        <v>43211</v>
      </c>
      <c r="K742" s="20">
        <f>Data!K742</f>
        <v>43576</v>
      </c>
      <c r="L742" s="5" t="str">
        <f>Data!L742</f>
        <v>Active</v>
      </c>
      <c r="M742" s="5" t="str">
        <f>Data!M742</f>
        <v>Page (Agency)</v>
      </c>
      <c r="P742" s="5">
        <f>Data!P742</f>
        <v>0</v>
      </c>
      <c r="U742" s="5" t="str">
        <f>Data!U742</f>
        <v>UNITED STATES</v>
      </c>
      <c r="Y742" s="5" t="str">
        <f>Data!Y742</f>
        <v>United States</v>
      </c>
    </row>
    <row r="743" spans="1:25" x14ac:dyDescent="0.5">
      <c r="A743">
        <f>Data!A743</f>
        <v>22373</v>
      </c>
      <c r="J743" s="20">
        <f>Data!J743</f>
        <v>43241</v>
      </c>
      <c r="K743" s="20">
        <f>Data!K743</f>
        <v>43606</v>
      </c>
      <c r="L743" s="5" t="str">
        <f>Data!L743</f>
        <v>Active</v>
      </c>
      <c r="M743" s="5" t="str">
        <f>Data!M743</f>
        <v>Page (Corporate)</v>
      </c>
      <c r="P743" s="5">
        <f>Data!P743</f>
        <v>0</v>
      </c>
      <c r="U743" s="5" t="str">
        <f>Data!U743</f>
        <v>UNITED STATES</v>
      </c>
      <c r="Y743" s="5" t="str">
        <f>Data!Y743</f>
        <v>United States</v>
      </c>
    </row>
    <row r="744" spans="1:25" x14ac:dyDescent="0.5">
      <c r="A744">
        <f>Data!A744</f>
        <v>22374</v>
      </c>
      <c r="J744" s="20">
        <f>Data!J744</f>
        <v>43204</v>
      </c>
      <c r="K744" s="20">
        <f>Data!K744</f>
        <v>43569</v>
      </c>
      <c r="L744" s="5" t="str">
        <f>Data!L744</f>
        <v>Active</v>
      </c>
      <c r="M744" s="5" t="str">
        <f>Data!M744</f>
        <v>Page (Corporate)</v>
      </c>
      <c r="P744" s="5">
        <f>Data!P744</f>
        <v>0</v>
      </c>
      <c r="U744" s="5" t="str">
        <f>Data!U744</f>
        <v>UNITED STATES</v>
      </c>
      <c r="Y744" s="5" t="str">
        <f>Data!Y744</f>
        <v>United States</v>
      </c>
    </row>
    <row r="745" spans="1:25" x14ac:dyDescent="0.5">
      <c r="A745">
        <f>Data!A745</f>
        <v>22375</v>
      </c>
      <c r="J745" s="20">
        <f>Data!J745</f>
        <v>43210</v>
      </c>
      <c r="K745" s="20">
        <f>Data!K745</f>
        <v>43575</v>
      </c>
      <c r="L745" s="5" t="str">
        <f>Data!L745</f>
        <v>Active</v>
      </c>
      <c r="M745" s="5" t="str">
        <f>Data!M745</f>
        <v>Page (Corporate)</v>
      </c>
      <c r="P745" s="5">
        <f>Data!P745</f>
        <v>0</v>
      </c>
      <c r="U745" s="5" t="str">
        <f>Data!U745</f>
        <v>UNITED STATES</v>
      </c>
      <c r="Y745" s="5" t="str">
        <f>Data!Y745</f>
        <v>United States</v>
      </c>
    </row>
    <row r="746" spans="1:25" x14ac:dyDescent="0.5">
      <c r="A746">
        <f>Data!A746</f>
        <v>22376</v>
      </c>
      <c r="J746" s="20">
        <f>Data!J746</f>
        <v>43220</v>
      </c>
      <c r="K746" s="20">
        <f>Data!K746</f>
        <v>43585</v>
      </c>
      <c r="L746" s="5" t="str">
        <f>Data!L746</f>
        <v>Active</v>
      </c>
      <c r="M746" s="5" t="str">
        <f>Data!M746</f>
        <v>Page (Non-Profit)</v>
      </c>
      <c r="P746" s="5" t="str">
        <f>Data!P746</f>
        <v>Eligible</v>
      </c>
      <c r="U746" s="5" t="str">
        <f>Data!U746</f>
        <v>UNITED STATES</v>
      </c>
      <c r="Y746" s="5" t="str">
        <f>Data!Y746</f>
        <v>United States</v>
      </c>
    </row>
    <row r="747" spans="1:25" x14ac:dyDescent="0.5">
      <c r="A747">
        <f>Data!A747</f>
        <v>22392</v>
      </c>
      <c r="J747" s="20">
        <f>Data!J747</f>
        <v>43284</v>
      </c>
      <c r="K747" s="20">
        <f>Data!K747</f>
        <v>43649</v>
      </c>
      <c r="L747" s="5" t="str">
        <f>Data!L747</f>
        <v>Active</v>
      </c>
      <c r="M747" s="5" t="str">
        <f>Data!M747</f>
        <v>Page (Corporate)</v>
      </c>
      <c r="P747" s="5" t="str">
        <f>Data!P747</f>
        <v>Eligible</v>
      </c>
      <c r="U747" s="5" t="str">
        <f>Data!U747</f>
        <v>Netherlands</v>
      </c>
      <c r="Y747" s="5">
        <f>Data!Y747</f>
        <v>0</v>
      </c>
    </row>
    <row r="748" spans="1:25" x14ac:dyDescent="0.5">
      <c r="A748">
        <f>Data!A748</f>
        <v>22394</v>
      </c>
      <c r="J748" s="20">
        <f>Data!J748</f>
        <v>43334</v>
      </c>
      <c r="K748" s="20">
        <f>Data!K748</f>
        <v>43699</v>
      </c>
      <c r="L748" s="5" t="str">
        <f>Data!L748</f>
        <v>Active</v>
      </c>
      <c r="M748" s="5" t="str">
        <f>Data!M748</f>
        <v>Page (Corporate)</v>
      </c>
      <c r="P748" s="5" t="str">
        <f>Data!P748</f>
        <v>Eligible</v>
      </c>
      <c r="U748" s="5" t="str">
        <f>Data!U748</f>
        <v>Netherlands</v>
      </c>
      <c r="Y748" s="5" t="str">
        <f>Data!Y748</f>
        <v>Europe</v>
      </c>
    </row>
    <row r="749" spans="1:25" x14ac:dyDescent="0.5">
      <c r="A749">
        <f>Data!A749</f>
        <v>22454</v>
      </c>
      <c r="J749" s="20">
        <f>Data!J749</f>
        <v>43277</v>
      </c>
      <c r="K749" s="20">
        <f>Data!K749</f>
        <v>43642</v>
      </c>
      <c r="L749" s="5" t="str">
        <f>Data!L749</f>
        <v>Active</v>
      </c>
      <c r="M749" s="5" t="str">
        <f>Data!M749</f>
        <v>Page (Corporate)</v>
      </c>
      <c r="P749" s="5" t="str">
        <f>Data!P749</f>
        <v>Eligible</v>
      </c>
      <c r="U749" s="5" t="str">
        <f>Data!U749</f>
        <v>UNITED STATES</v>
      </c>
      <c r="Y749" s="5" t="str">
        <f>Data!Y749</f>
        <v>United States</v>
      </c>
    </row>
    <row r="750" spans="1:25" x14ac:dyDescent="0.5">
      <c r="A750">
        <f>Data!A750</f>
        <v>22455</v>
      </c>
      <c r="J750" s="20">
        <f>Data!J750</f>
        <v>43283</v>
      </c>
      <c r="K750" s="20">
        <f>Data!K750</f>
        <v>43648</v>
      </c>
      <c r="L750" s="5" t="str">
        <f>Data!L750</f>
        <v>Active</v>
      </c>
      <c r="M750" s="5" t="str">
        <f>Data!M750</f>
        <v>Page (Corporate)</v>
      </c>
      <c r="P750" s="5" t="str">
        <f>Data!P750</f>
        <v>Eligible</v>
      </c>
      <c r="U750" s="5" t="str">
        <f>Data!U750</f>
        <v>UNITED STATES</v>
      </c>
      <c r="Y750" s="5" t="str">
        <f>Data!Y750</f>
        <v>United States</v>
      </c>
    </row>
    <row r="751" spans="1:25" x14ac:dyDescent="0.5">
      <c r="A751">
        <f>Data!A751</f>
        <v>22458</v>
      </c>
      <c r="J751" s="20">
        <f>Data!J751</f>
        <v>43277</v>
      </c>
      <c r="K751" s="20">
        <f>Data!K751</f>
        <v>43642</v>
      </c>
      <c r="L751" s="5" t="str">
        <f>Data!L751</f>
        <v>Active</v>
      </c>
      <c r="M751" s="5" t="str">
        <f>Data!M751</f>
        <v>Page (Corporate)</v>
      </c>
      <c r="P751" s="5" t="str">
        <f>Data!P751</f>
        <v>Eligible</v>
      </c>
      <c r="U751" s="5" t="str">
        <f>Data!U751</f>
        <v>UNITED STATES</v>
      </c>
      <c r="Y751" s="5" t="str">
        <f>Data!Y751</f>
        <v>United States</v>
      </c>
    </row>
    <row r="752" spans="1:25" x14ac:dyDescent="0.5">
      <c r="A752">
        <f>Data!A752</f>
        <v>22461</v>
      </c>
      <c r="J752" s="20">
        <f>Data!J752</f>
        <v>43278</v>
      </c>
      <c r="K752" s="20">
        <f>Data!K752</f>
        <v>43643</v>
      </c>
      <c r="L752" s="5" t="str">
        <f>Data!L752</f>
        <v>Active</v>
      </c>
      <c r="M752" s="5" t="str">
        <f>Data!M752</f>
        <v>Page (Corporate)</v>
      </c>
      <c r="P752" s="5" t="str">
        <f>Data!P752</f>
        <v>Eligible</v>
      </c>
      <c r="U752" s="5" t="str">
        <f>Data!U752</f>
        <v>UNITED STATES</v>
      </c>
      <c r="Y752" s="5" t="str">
        <f>Data!Y752</f>
        <v>United States</v>
      </c>
    </row>
    <row r="753" spans="1:25" x14ac:dyDescent="0.5">
      <c r="A753">
        <f>Data!A753</f>
        <v>22462</v>
      </c>
      <c r="J753" s="20">
        <f>Data!J753</f>
        <v>43354</v>
      </c>
      <c r="K753" s="20">
        <f>Data!K753</f>
        <v>43719</v>
      </c>
      <c r="L753" s="5" t="str">
        <f>Data!L753</f>
        <v>Active</v>
      </c>
      <c r="M753" s="5" t="str">
        <f>Data!M753</f>
        <v>Page (Corporate)</v>
      </c>
      <c r="P753" s="5" t="str">
        <f>Data!P753</f>
        <v>Eligible</v>
      </c>
      <c r="U753" s="5" t="str">
        <f>Data!U753</f>
        <v>UNITED STATES</v>
      </c>
      <c r="Y753" s="5" t="str">
        <f>Data!Y753</f>
        <v>United States</v>
      </c>
    </row>
    <row r="754" spans="1:25" x14ac:dyDescent="0.5">
      <c r="A754">
        <f>Data!A754</f>
        <v>22463</v>
      </c>
      <c r="J754" s="20">
        <f>Data!J754</f>
        <v>43277</v>
      </c>
      <c r="K754" s="20">
        <f>Data!K754</f>
        <v>43642</v>
      </c>
      <c r="L754" s="5" t="str">
        <f>Data!L754</f>
        <v>Active</v>
      </c>
      <c r="M754" s="5" t="str">
        <f>Data!M754</f>
        <v>Page (Corporate)</v>
      </c>
      <c r="P754" s="5" t="str">
        <f>Data!P754</f>
        <v>Eligible</v>
      </c>
      <c r="U754" s="5" t="str">
        <f>Data!U754</f>
        <v>UNITED STATES</v>
      </c>
      <c r="Y754" s="5" t="str">
        <f>Data!Y754</f>
        <v>United States</v>
      </c>
    </row>
    <row r="755" spans="1:25" x14ac:dyDescent="0.5">
      <c r="A755">
        <f>Data!A755</f>
        <v>22464</v>
      </c>
      <c r="J755" s="20">
        <f>Data!J755</f>
        <v>43290</v>
      </c>
      <c r="K755" s="20">
        <f>Data!K755</f>
        <v>43655</v>
      </c>
      <c r="L755" s="5" t="str">
        <f>Data!L755</f>
        <v>Active</v>
      </c>
      <c r="M755" s="5" t="str">
        <f>Data!M755</f>
        <v>Page (Corporate)</v>
      </c>
      <c r="P755" s="5">
        <f>Data!P755</f>
        <v>0</v>
      </c>
      <c r="U755" s="5" t="str">
        <f>Data!U755</f>
        <v>Japan</v>
      </c>
      <c r="Y755" s="5" t="str">
        <f>Data!Y755</f>
        <v>Asia:Other</v>
      </c>
    </row>
    <row r="756" spans="1:25" x14ac:dyDescent="0.5">
      <c r="A756">
        <f>Data!A756</f>
        <v>22465</v>
      </c>
      <c r="J756" s="20">
        <f>Data!J756</f>
        <v>43298</v>
      </c>
      <c r="K756" s="20">
        <f>Data!K756</f>
        <v>43663</v>
      </c>
      <c r="L756" s="5" t="str">
        <f>Data!L756</f>
        <v>Active</v>
      </c>
      <c r="M756" s="5" t="str">
        <f>Data!M756</f>
        <v>Page (Corporate)</v>
      </c>
      <c r="P756" s="5" t="str">
        <f>Data!P756</f>
        <v>Eligible</v>
      </c>
      <c r="U756" s="5" t="str">
        <f>Data!U756</f>
        <v>UNITED STATES</v>
      </c>
      <c r="Y756" s="5" t="str">
        <f>Data!Y756</f>
        <v>United States</v>
      </c>
    </row>
    <row r="757" spans="1:25" x14ac:dyDescent="0.5">
      <c r="A757">
        <f>Data!A757</f>
        <v>22466</v>
      </c>
      <c r="J757" s="20">
        <f>Data!J757</f>
        <v>43290</v>
      </c>
      <c r="K757" s="20">
        <f>Data!K757</f>
        <v>43655</v>
      </c>
      <c r="L757" s="5" t="str">
        <f>Data!L757</f>
        <v>Active</v>
      </c>
      <c r="M757" s="5" t="str">
        <f>Data!M757</f>
        <v>Page (Corporate)</v>
      </c>
      <c r="P757" s="5" t="str">
        <f>Data!P757</f>
        <v>Eligible</v>
      </c>
      <c r="U757" s="5" t="str">
        <f>Data!U757</f>
        <v>Australia</v>
      </c>
      <c r="Y757" s="5" t="str">
        <f>Data!Y757</f>
        <v>Australia/NZ</v>
      </c>
    </row>
    <row r="758" spans="1:25" x14ac:dyDescent="0.5">
      <c r="A758">
        <f>Data!A758</f>
        <v>22467</v>
      </c>
      <c r="J758" s="20">
        <f>Data!J758</f>
        <v>43284</v>
      </c>
      <c r="K758" s="20">
        <f>Data!K758</f>
        <v>43649</v>
      </c>
      <c r="L758" s="5" t="str">
        <f>Data!L758</f>
        <v>Active</v>
      </c>
      <c r="M758" s="5" t="str">
        <f>Data!M758</f>
        <v>Page (Corporate)</v>
      </c>
      <c r="P758" s="5" t="str">
        <f>Data!P758</f>
        <v>Eligible</v>
      </c>
      <c r="U758" s="5" t="str">
        <f>Data!U758</f>
        <v>Switzerland</v>
      </c>
      <c r="Y758" s="5" t="str">
        <f>Data!Y758</f>
        <v>Europe</v>
      </c>
    </row>
    <row r="759" spans="1:25" x14ac:dyDescent="0.5">
      <c r="A759">
        <f>Data!A759</f>
        <v>22468</v>
      </c>
      <c r="J759" s="20">
        <f>Data!J759</f>
        <v>43277</v>
      </c>
      <c r="K759" s="20">
        <f>Data!K759</f>
        <v>43642</v>
      </c>
      <c r="L759" s="5" t="str">
        <f>Data!L759</f>
        <v>Active</v>
      </c>
      <c r="M759" s="5" t="str">
        <f>Data!M759</f>
        <v>Page (Corporate)</v>
      </c>
      <c r="P759" s="5" t="str">
        <f>Data!P759</f>
        <v>Eligible</v>
      </c>
      <c r="U759" s="5" t="str">
        <f>Data!U759</f>
        <v>Australia</v>
      </c>
      <c r="Y759" s="5" t="str">
        <f>Data!Y759</f>
        <v>Australia/NZ</v>
      </c>
    </row>
    <row r="760" spans="1:25" x14ac:dyDescent="0.5">
      <c r="A760">
        <f>Data!A760</f>
        <v>22470</v>
      </c>
      <c r="J760" s="20">
        <f>Data!J760</f>
        <v>43277</v>
      </c>
      <c r="K760" s="20">
        <f>Data!K760</f>
        <v>43642</v>
      </c>
      <c r="L760" s="5" t="str">
        <f>Data!L760</f>
        <v>Active</v>
      </c>
      <c r="M760" s="5" t="str">
        <f>Data!M760</f>
        <v>Page (Corporate)</v>
      </c>
      <c r="P760" s="5" t="str">
        <f>Data!P760</f>
        <v>Eligible</v>
      </c>
      <c r="U760" s="5" t="str">
        <f>Data!U760</f>
        <v>UNITED STATES</v>
      </c>
      <c r="Y760" s="5" t="str">
        <f>Data!Y760</f>
        <v>United States</v>
      </c>
    </row>
    <row r="761" spans="1:25" x14ac:dyDescent="0.5">
      <c r="A761">
        <f>Data!A761</f>
        <v>22471</v>
      </c>
      <c r="J761" s="20">
        <f>Data!J761</f>
        <v>43343</v>
      </c>
      <c r="K761" s="20">
        <f>Data!K761</f>
        <v>43708</v>
      </c>
      <c r="L761" s="5" t="str">
        <f>Data!L761</f>
        <v>Active</v>
      </c>
      <c r="M761" s="5" t="str">
        <f>Data!M761</f>
        <v>Page (Corporate)</v>
      </c>
      <c r="P761" s="5" t="str">
        <f>Data!P761</f>
        <v>Eligible</v>
      </c>
      <c r="U761" s="5" t="str">
        <f>Data!U761</f>
        <v>UNITED STATES</v>
      </c>
      <c r="Y761" s="5" t="str">
        <f>Data!Y761</f>
        <v>United States</v>
      </c>
    </row>
    <row r="762" spans="1:25" x14ac:dyDescent="0.5">
      <c r="A762">
        <f>Data!A762</f>
        <v>22472</v>
      </c>
      <c r="J762" s="20">
        <f>Data!J762</f>
        <v>43277</v>
      </c>
      <c r="K762" s="20">
        <f>Data!K762</f>
        <v>43642</v>
      </c>
      <c r="L762" s="5" t="str">
        <f>Data!L762</f>
        <v>Active</v>
      </c>
      <c r="M762" s="5" t="str">
        <f>Data!M762</f>
        <v>Page (Corporate)</v>
      </c>
      <c r="P762" s="5" t="str">
        <f>Data!P762</f>
        <v>In Staff Review</v>
      </c>
      <c r="U762" s="5" t="str">
        <f>Data!U762</f>
        <v>UNITED STATES</v>
      </c>
      <c r="Y762" s="5" t="str">
        <f>Data!Y762</f>
        <v>United States</v>
      </c>
    </row>
    <row r="763" spans="1:25" x14ac:dyDescent="0.5">
      <c r="A763">
        <f>Data!A763</f>
        <v>22473</v>
      </c>
      <c r="J763" s="20">
        <f>Data!J763</f>
        <v>43290</v>
      </c>
      <c r="K763" s="20">
        <f>Data!K763</f>
        <v>43655</v>
      </c>
      <c r="L763" s="5" t="str">
        <f>Data!L763</f>
        <v>Active</v>
      </c>
      <c r="M763" s="5" t="str">
        <f>Data!M763</f>
        <v>Page (Agency)</v>
      </c>
      <c r="P763" s="5" t="str">
        <f>Data!P763</f>
        <v>Eligible</v>
      </c>
      <c r="U763" s="5" t="str">
        <f>Data!U763</f>
        <v>UNITED STATES</v>
      </c>
      <c r="Y763" s="5" t="str">
        <f>Data!Y763</f>
        <v>United States</v>
      </c>
    </row>
    <row r="764" spans="1:25" x14ac:dyDescent="0.5">
      <c r="A764">
        <f>Data!A764</f>
        <v>22474</v>
      </c>
      <c r="J764" s="20">
        <f>Data!J764</f>
        <v>43290</v>
      </c>
      <c r="K764" s="20">
        <f>Data!K764</f>
        <v>43655</v>
      </c>
      <c r="L764" s="5" t="str">
        <f>Data!L764</f>
        <v>Active</v>
      </c>
      <c r="M764" s="5" t="str">
        <f>Data!M764</f>
        <v>Page (Agency)</v>
      </c>
      <c r="P764" s="5" t="str">
        <f>Data!P764</f>
        <v>Eligible</v>
      </c>
      <c r="U764" s="5" t="str">
        <f>Data!U764</f>
        <v>United Arab Emirates</v>
      </c>
      <c r="Y764" s="5" t="str">
        <f>Data!Y764</f>
        <v>Middle East/Africa</v>
      </c>
    </row>
    <row r="765" spans="1:25" x14ac:dyDescent="0.5">
      <c r="A765">
        <f>Data!A765</f>
        <v>22475</v>
      </c>
      <c r="J765" s="20">
        <f>Data!J765</f>
        <v>43292</v>
      </c>
      <c r="K765" s="20">
        <f>Data!K765</f>
        <v>43657</v>
      </c>
      <c r="L765" s="5" t="str">
        <f>Data!L765</f>
        <v>Active</v>
      </c>
      <c r="M765" s="5" t="str">
        <f>Data!M765</f>
        <v>Page (Educator)</v>
      </c>
      <c r="P765" s="5" t="str">
        <f>Data!P765</f>
        <v>Eligible</v>
      </c>
      <c r="U765" s="5" t="str">
        <f>Data!U765</f>
        <v>UNITED STATES</v>
      </c>
      <c r="Y765" s="5" t="str">
        <f>Data!Y765</f>
        <v>United States</v>
      </c>
    </row>
    <row r="766" spans="1:25" x14ac:dyDescent="0.5">
      <c r="A766">
        <f>Data!A766</f>
        <v>22476</v>
      </c>
      <c r="J766" s="20">
        <f>Data!J766</f>
        <v>43284</v>
      </c>
      <c r="K766" s="20">
        <f>Data!K766</f>
        <v>43649</v>
      </c>
      <c r="L766" s="5" t="str">
        <f>Data!L766</f>
        <v>Active</v>
      </c>
      <c r="M766" s="5" t="str">
        <f>Data!M766</f>
        <v>Page (Educator)</v>
      </c>
      <c r="P766" s="5" t="str">
        <f>Data!P766</f>
        <v>Eligible</v>
      </c>
      <c r="U766" s="5" t="str">
        <f>Data!U766</f>
        <v>UNITED STATES</v>
      </c>
      <c r="Y766" s="5" t="str">
        <f>Data!Y766</f>
        <v>United States</v>
      </c>
    </row>
    <row r="767" spans="1:25" x14ac:dyDescent="0.5">
      <c r="A767">
        <f>Data!A767</f>
        <v>22477</v>
      </c>
      <c r="J767" s="20">
        <f>Data!J767</f>
        <v>43336</v>
      </c>
      <c r="K767" s="20">
        <f>Data!K767</f>
        <v>43701</v>
      </c>
      <c r="L767" s="5" t="str">
        <f>Data!L767</f>
        <v>Active</v>
      </c>
      <c r="M767" s="5" t="str">
        <f>Data!M767</f>
        <v>Page (Educator)</v>
      </c>
      <c r="P767" s="5" t="str">
        <f>Data!P767</f>
        <v>Eligible</v>
      </c>
      <c r="U767" s="5" t="str">
        <f>Data!U767</f>
        <v>UNITED STATES</v>
      </c>
      <c r="Y767" s="5" t="str">
        <f>Data!Y767</f>
        <v>United States</v>
      </c>
    </row>
    <row r="768" spans="1:25" x14ac:dyDescent="0.5">
      <c r="A768">
        <f>Data!A768</f>
        <v>22478</v>
      </c>
      <c r="J768" s="20">
        <f>Data!J768</f>
        <v>43325</v>
      </c>
      <c r="K768" s="20">
        <f>Data!K768</f>
        <v>43690</v>
      </c>
      <c r="L768" s="5" t="str">
        <f>Data!L768</f>
        <v>Active</v>
      </c>
      <c r="M768" s="5" t="str">
        <f>Data!M768</f>
        <v>Page (Non-Profit)</v>
      </c>
      <c r="P768" s="5" t="str">
        <f>Data!P768</f>
        <v>Eligible</v>
      </c>
      <c r="U768" s="5" t="str">
        <f>Data!U768</f>
        <v>UNITED STATES</v>
      </c>
      <c r="Y768" s="5" t="str">
        <f>Data!Y768</f>
        <v>United States</v>
      </c>
    </row>
    <row r="769" spans="1:25" x14ac:dyDescent="0.5">
      <c r="A769">
        <f>Data!A769</f>
        <v>22479</v>
      </c>
      <c r="J769" s="20">
        <f>Data!J769</f>
        <v>43347</v>
      </c>
      <c r="K769" s="20">
        <f>Data!K769</f>
        <v>43712</v>
      </c>
      <c r="L769" s="5" t="str">
        <f>Data!L769</f>
        <v>Active</v>
      </c>
      <c r="M769" s="5" t="str">
        <f>Data!M769</f>
        <v>Page (Non-Profit)</v>
      </c>
      <c r="P769" s="5" t="str">
        <f>Data!P769</f>
        <v>Eligible</v>
      </c>
      <c r="U769" s="5" t="str">
        <f>Data!U769</f>
        <v>Finland</v>
      </c>
      <c r="Y769" s="5" t="str">
        <f>Data!Y769</f>
        <v>Europe</v>
      </c>
    </row>
    <row r="770" spans="1:25" x14ac:dyDescent="0.5">
      <c r="A770">
        <f>Data!A770</f>
        <v>22510</v>
      </c>
      <c r="J770" s="20">
        <f>Data!J770</f>
        <v>43334</v>
      </c>
      <c r="K770" s="20">
        <f>Data!K770</f>
        <v>43699</v>
      </c>
      <c r="L770" s="5" t="str">
        <f>Data!L770</f>
        <v>Active</v>
      </c>
      <c r="M770" s="5" t="str">
        <f>Data!M770</f>
        <v>Page (Corporate)</v>
      </c>
      <c r="P770" s="5" t="str">
        <f>Data!P770</f>
        <v>Eligible</v>
      </c>
      <c r="U770" s="5" t="str">
        <f>Data!U770</f>
        <v>UNITED STATES</v>
      </c>
      <c r="Y770" s="5" t="str">
        <f>Data!Y770</f>
        <v>United States</v>
      </c>
    </row>
    <row r="771" spans="1:25" x14ac:dyDescent="0.5">
      <c r="A771">
        <f>Data!A771</f>
        <v>22511</v>
      </c>
      <c r="J771" s="20">
        <f>Data!J771</f>
        <v>43335</v>
      </c>
      <c r="K771" s="20">
        <f>Data!K771</f>
        <v>43700</v>
      </c>
      <c r="L771" s="5" t="str">
        <f>Data!L771</f>
        <v>Active</v>
      </c>
      <c r="M771" s="5" t="str">
        <f>Data!M771</f>
        <v>Page (Non-Profit)</v>
      </c>
      <c r="P771" s="5" t="str">
        <f>Data!P771</f>
        <v>Eligible</v>
      </c>
      <c r="U771" s="5" t="str">
        <f>Data!U771</f>
        <v>UNITED STATES</v>
      </c>
      <c r="Y771" s="5" t="str">
        <f>Data!Y771</f>
        <v>United States</v>
      </c>
    </row>
    <row r="772" spans="1:25" x14ac:dyDescent="0.5">
      <c r="A772">
        <f>Data!A772</f>
        <v>22512</v>
      </c>
      <c r="J772" s="20">
        <f>Data!J772</f>
        <v>43347</v>
      </c>
      <c r="K772" s="20">
        <f>Data!K772</f>
        <v>43712</v>
      </c>
      <c r="L772" s="5" t="str">
        <f>Data!L772</f>
        <v>Active</v>
      </c>
      <c r="M772" s="5" t="str">
        <f>Data!M772</f>
        <v>Page (Corporate)</v>
      </c>
      <c r="P772" s="5" t="str">
        <f>Data!P772</f>
        <v>Eligible</v>
      </c>
      <c r="U772" s="5" t="str">
        <f>Data!U772</f>
        <v>UNITED STATES</v>
      </c>
      <c r="Y772" s="5" t="str">
        <f>Data!Y772</f>
        <v>United States</v>
      </c>
    </row>
    <row r="773" spans="1:25" x14ac:dyDescent="0.5">
      <c r="A773">
        <f>Data!A773</f>
        <v>22514</v>
      </c>
      <c r="J773" s="20">
        <f>Data!J773</f>
        <v>43360</v>
      </c>
      <c r="K773" s="20">
        <f>Data!K773</f>
        <v>43725</v>
      </c>
      <c r="L773" s="5" t="str">
        <f>Data!L773</f>
        <v>Active</v>
      </c>
      <c r="M773" s="5" t="str">
        <f>Data!M773</f>
        <v>Page (Corporate)</v>
      </c>
      <c r="P773" s="5" t="str">
        <f>Data!P773</f>
        <v>Eligible</v>
      </c>
      <c r="U773" s="5" t="str">
        <f>Data!U773</f>
        <v>Australia</v>
      </c>
      <c r="Y773" s="5" t="str">
        <f>Data!Y773</f>
        <v>Australia/NZ</v>
      </c>
    </row>
    <row r="774" spans="1:25" x14ac:dyDescent="0.5">
      <c r="A774">
        <f>Data!A774</f>
        <v>22515</v>
      </c>
      <c r="J774" s="20">
        <f>Data!J774</f>
        <v>43336</v>
      </c>
      <c r="K774" s="20">
        <f>Data!K774</f>
        <v>43701</v>
      </c>
      <c r="L774" s="5" t="str">
        <f>Data!L774</f>
        <v>Active</v>
      </c>
      <c r="M774" s="5" t="str">
        <f>Data!M774</f>
        <v>Page (Corporate)</v>
      </c>
      <c r="P774" s="5" t="str">
        <f>Data!P774</f>
        <v>Eligible</v>
      </c>
      <c r="U774" s="5" t="str">
        <f>Data!U774</f>
        <v>UNITED STATES</v>
      </c>
      <c r="Y774" s="5" t="str">
        <f>Data!Y774</f>
        <v>United States</v>
      </c>
    </row>
    <row r="775" spans="1:25" x14ac:dyDescent="0.5">
      <c r="A775">
        <f>Data!A775</f>
        <v>22524</v>
      </c>
      <c r="J775" s="20">
        <f>Data!J775</f>
        <v>43360</v>
      </c>
      <c r="K775" s="20">
        <f>Data!K775</f>
        <v>43725</v>
      </c>
      <c r="L775" s="5" t="str">
        <f>Data!L775</f>
        <v>Active</v>
      </c>
      <c r="M775" s="5" t="str">
        <f>Data!M775</f>
        <v>Page (Corporate)</v>
      </c>
      <c r="P775" s="5" t="str">
        <f>Data!P775</f>
        <v>Eligible</v>
      </c>
      <c r="U775" s="5" t="str">
        <f>Data!U775</f>
        <v>UNITED STATES</v>
      </c>
      <c r="Y775" s="5" t="str">
        <f>Data!Y775</f>
        <v>United States</v>
      </c>
    </row>
    <row r="776" spans="1:25" x14ac:dyDescent="0.5">
      <c r="A776">
        <f>Data!A776</f>
        <v>22526</v>
      </c>
      <c r="J776" s="20">
        <f>Data!J776</f>
        <v>43336</v>
      </c>
      <c r="K776" s="20">
        <f>Data!K776</f>
        <v>43701</v>
      </c>
      <c r="L776" s="5" t="str">
        <f>Data!L776</f>
        <v>Active</v>
      </c>
      <c r="M776" s="5" t="str">
        <f>Data!M776</f>
        <v>Page (Non-Profit)</v>
      </c>
      <c r="P776" s="5" t="str">
        <f>Data!P776</f>
        <v>Eligible</v>
      </c>
      <c r="U776" s="5" t="str">
        <f>Data!U776</f>
        <v>UNITED STATES</v>
      </c>
      <c r="Y776" s="5" t="str">
        <f>Data!Y776</f>
        <v>United States</v>
      </c>
    </row>
    <row r="777" spans="1:25" x14ac:dyDescent="0.5">
      <c r="A777">
        <f>Data!A777</f>
        <v>22527</v>
      </c>
      <c r="J777" s="20">
        <f>Data!J777</f>
        <v>43336</v>
      </c>
      <c r="K777" s="20">
        <f>Data!K777</f>
        <v>43701</v>
      </c>
      <c r="L777" s="5" t="str">
        <f>Data!L777</f>
        <v>Active</v>
      </c>
      <c r="M777" s="5" t="str">
        <f>Data!M777</f>
        <v>Page (Non-Profit)</v>
      </c>
      <c r="P777" s="5" t="str">
        <f>Data!P777</f>
        <v>Eligible</v>
      </c>
      <c r="U777" s="5" t="str">
        <f>Data!U777</f>
        <v>UNITED STATES</v>
      </c>
      <c r="Y777" s="5" t="str">
        <f>Data!Y777</f>
        <v>United States</v>
      </c>
    </row>
    <row r="778" spans="1:25" x14ac:dyDescent="0.5">
      <c r="A778">
        <f>Data!A778</f>
        <v>22528</v>
      </c>
      <c r="J778" s="20">
        <f>Data!J778</f>
        <v>43334</v>
      </c>
      <c r="K778" s="20">
        <f>Data!K778</f>
        <v>43699</v>
      </c>
      <c r="L778" s="5" t="str">
        <f>Data!L778</f>
        <v>Active</v>
      </c>
      <c r="M778" s="5" t="str">
        <f>Data!M778</f>
        <v>Page (Corporate)</v>
      </c>
      <c r="P778" s="5" t="str">
        <f>Data!P778</f>
        <v>Eligible</v>
      </c>
      <c r="U778" s="5" t="str">
        <f>Data!U778</f>
        <v>Australia</v>
      </c>
      <c r="Y778" s="5" t="str">
        <f>Data!Y778</f>
        <v>Australia/NZ</v>
      </c>
    </row>
    <row r="779" spans="1:25" x14ac:dyDescent="0.5">
      <c r="A779">
        <f>Data!A779</f>
        <v>22530</v>
      </c>
      <c r="J779" s="20">
        <f>Data!J779</f>
        <v>43334</v>
      </c>
      <c r="K779" s="20">
        <f>Data!K779</f>
        <v>43699</v>
      </c>
      <c r="L779" s="5" t="str">
        <f>Data!L779</f>
        <v>Active</v>
      </c>
      <c r="M779" s="5" t="str">
        <f>Data!M779</f>
        <v>Page (Corporate)</v>
      </c>
      <c r="P779" s="5" t="str">
        <f>Data!P779</f>
        <v>Eligible</v>
      </c>
      <c r="U779" s="5" t="str">
        <f>Data!U779</f>
        <v>Switzerland</v>
      </c>
      <c r="Y779" s="5" t="str">
        <f>Data!Y779</f>
        <v>Europe</v>
      </c>
    </row>
    <row r="780" spans="1:25" x14ac:dyDescent="0.5">
      <c r="A780">
        <f>Data!A780</f>
        <v>22533</v>
      </c>
      <c r="J780" s="20">
        <f>Data!J780</f>
        <v>43334</v>
      </c>
      <c r="K780" s="20">
        <f>Data!K780</f>
        <v>43699</v>
      </c>
      <c r="L780" s="5" t="str">
        <f>Data!L780</f>
        <v>Active</v>
      </c>
      <c r="M780" s="5" t="str">
        <f>Data!M780</f>
        <v>Page (Corporate)</v>
      </c>
      <c r="P780" s="5" t="str">
        <f>Data!P780</f>
        <v>Eligible</v>
      </c>
      <c r="U780" s="5" t="str">
        <f>Data!U780</f>
        <v>Australia</v>
      </c>
      <c r="Y780" s="5" t="str">
        <f>Data!Y780</f>
        <v>Australia/NZ</v>
      </c>
    </row>
    <row r="781" spans="1:25" x14ac:dyDescent="0.5">
      <c r="A781">
        <f>Data!A781</f>
        <v>22537</v>
      </c>
      <c r="J781" s="20">
        <f>Data!J781</f>
        <v>43347</v>
      </c>
      <c r="K781" s="20">
        <f>Data!K781</f>
        <v>43712</v>
      </c>
      <c r="L781" s="5" t="str">
        <f>Data!L781</f>
        <v>Active</v>
      </c>
      <c r="M781" s="5" t="str">
        <f>Data!M781</f>
        <v>Page (Corporate)</v>
      </c>
      <c r="P781" s="5" t="str">
        <f>Data!P781</f>
        <v>Eligible</v>
      </c>
      <c r="U781" s="5" t="str">
        <f>Data!U781</f>
        <v>Australia</v>
      </c>
      <c r="Y781" s="5" t="str">
        <f>Data!Y781</f>
        <v>Australia/NZ</v>
      </c>
    </row>
    <row r="782" spans="1:25" x14ac:dyDescent="0.5">
      <c r="A782">
        <f>Data!A782</f>
        <v>22538</v>
      </c>
      <c r="J782" s="20">
        <f>Data!J782</f>
        <v>43340</v>
      </c>
      <c r="K782" s="20">
        <f>Data!K782</f>
        <v>43705</v>
      </c>
      <c r="L782" s="5" t="str">
        <f>Data!L782</f>
        <v>Active</v>
      </c>
      <c r="M782" s="5" t="str">
        <f>Data!M782</f>
        <v>Page (Corporate)</v>
      </c>
      <c r="P782" s="5" t="str">
        <f>Data!P782</f>
        <v>Eligible</v>
      </c>
      <c r="U782" s="5" t="str">
        <f>Data!U782</f>
        <v>UNITED STATES</v>
      </c>
      <c r="Y782" s="5" t="str">
        <f>Data!Y782</f>
        <v>United States</v>
      </c>
    </row>
    <row r="783" spans="1:25" x14ac:dyDescent="0.5">
      <c r="A783">
        <f>Data!A783</f>
        <v>22539</v>
      </c>
      <c r="J783" s="20">
        <f>Data!J783</f>
        <v>43334</v>
      </c>
      <c r="K783" s="20">
        <f>Data!K783</f>
        <v>43699</v>
      </c>
      <c r="L783" s="5" t="str">
        <f>Data!L783</f>
        <v>Active</v>
      </c>
      <c r="M783" s="5" t="str">
        <f>Data!M783</f>
        <v>Page (Corporate)</v>
      </c>
      <c r="P783" s="5" t="str">
        <f>Data!P783</f>
        <v>Eligible</v>
      </c>
      <c r="U783" s="5" t="str">
        <f>Data!U783</f>
        <v>UNITED STATES</v>
      </c>
      <c r="Y783" s="5" t="str">
        <f>Data!Y783</f>
        <v>United States</v>
      </c>
    </row>
    <row r="784" spans="1:25" x14ac:dyDescent="0.5">
      <c r="A784">
        <f>Data!A784</f>
        <v>22541</v>
      </c>
      <c r="J784" s="20">
        <f>Data!J784</f>
        <v>43335</v>
      </c>
      <c r="K784" s="20">
        <f>Data!K784</f>
        <v>43700</v>
      </c>
      <c r="L784" s="5" t="str">
        <f>Data!L784</f>
        <v>Active</v>
      </c>
      <c r="M784" s="5" t="str">
        <f>Data!M784</f>
        <v>Page (Corporate)</v>
      </c>
      <c r="P784" s="5" t="str">
        <f>Data!P784</f>
        <v>Eligible</v>
      </c>
      <c r="U784" s="5" t="str">
        <f>Data!U784</f>
        <v>UNITED STATES</v>
      </c>
      <c r="Y784" s="5" t="str">
        <f>Data!Y784</f>
        <v>United States</v>
      </c>
    </row>
    <row r="785" spans="1:25" x14ac:dyDescent="0.5">
      <c r="A785">
        <f>Data!A785</f>
        <v>22547</v>
      </c>
      <c r="J785" s="20">
        <f>Data!J785</f>
        <v>43335</v>
      </c>
      <c r="K785" s="20">
        <f>Data!K785</f>
        <v>43700</v>
      </c>
      <c r="L785" s="5" t="str">
        <f>Data!L785</f>
        <v>Active</v>
      </c>
      <c r="M785" s="5" t="str">
        <f>Data!M785</f>
        <v>Page (Agency)</v>
      </c>
      <c r="P785" s="5" t="str">
        <f>Data!P785</f>
        <v>Eligible</v>
      </c>
      <c r="U785" s="5" t="str">
        <f>Data!U785</f>
        <v>UNITED STATES</v>
      </c>
      <c r="Y785" s="5" t="str">
        <f>Data!Y785</f>
        <v>United States</v>
      </c>
    </row>
    <row r="786" spans="1:25" x14ac:dyDescent="0.5">
      <c r="A786">
        <f>Data!A786</f>
        <v>22548</v>
      </c>
      <c r="J786" s="20">
        <f>Data!J786</f>
        <v>43355</v>
      </c>
      <c r="K786" s="20">
        <f>Data!K786</f>
        <v>43720</v>
      </c>
      <c r="L786" s="5" t="str">
        <f>Data!L786</f>
        <v>Active</v>
      </c>
      <c r="M786" s="5" t="str">
        <f>Data!M786</f>
        <v>Page (Corporate)</v>
      </c>
      <c r="P786" s="5" t="str">
        <f>Data!P786</f>
        <v>Eligible</v>
      </c>
      <c r="U786" s="5" t="str">
        <f>Data!U786</f>
        <v>UNITED STATES</v>
      </c>
      <c r="Y786" s="5" t="str">
        <f>Data!Y786</f>
        <v>United States</v>
      </c>
    </row>
    <row r="787" spans="1:25" x14ac:dyDescent="0.5">
      <c r="A787">
        <f>Data!A787</f>
        <v>0</v>
      </c>
      <c r="J787" s="20">
        <f>Data!J787</f>
        <v>0</v>
      </c>
      <c r="K787" s="20">
        <f>Data!K787</f>
        <v>0</v>
      </c>
      <c r="L787" s="5">
        <f>Data!L787</f>
        <v>0</v>
      </c>
      <c r="M787" s="5">
        <f>Data!M787</f>
        <v>0</v>
      </c>
      <c r="P787" s="5">
        <f>Data!P787</f>
        <v>0</v>
      </c>
      <c r="U787" s="5">
        <f>Data!U787</f>
        <v>0</v>
      </c>
      <c r="Y787" s="5">
        <f>Data!Y787</f>
        <v>0</v>
      </c>
    </row>
    <row r="788" spans="1:25" x14ac:dyDescent="0.5">
      <c r="A788">
        <f>Data!A788</f>
        <v>0</v>
      </c>
      <c r="J788" s="20">
        <f>Data!J788</f>
        <v>0</v>
      </c>
      <c r="K788" s="20">
        <f>Data!K788</f>
        <v>0</v>
      </c>
      <c r="L788" s="5">
        <f>Data!L788</f>
        <v>0</v>
      </c>
      <c r="M788" s="5">
        <f>Data!M788</f>
        <v>0</v>
      </c>
      <c r="P788" s="5">
        <f>Data!P788</f>
        <v>0</v>
      </c>
      <c r="U788" s="5">
        <f>Data!U788</f>
        <v>0</v>
      </c>
      <c r="Y788" s="5">
        <f>Data!Y788</f>
        <v>0</v>
      </c>
    </row>
    <row r="789" spans="1:25" x14ac:dyDescent="0.5">
      <c r="A789">
        <f>Data!A789</f>
        <v>0</v>
      </c>
      <c r="J789" s="20">
        <f>Data!J789</f>
        <v>0</v>
      </c>
      <c r="K789" s="20">
        <f>Data!K789</f>
        <v>0</v>
      </c>
      <c r="L789" s="5">
        <f>Data!L789</f>
        <v>0</v>
      </c>
      <c r="M789" s="5">
        <f>Data!M789</f>
        <v>0</v>
      </c>
      <c r="P789" s="5">
        <f>Data!P789</f>
        <v>0</v>
      </c>
      <c r="U789" s="5">
        <f>Data!U789</f>
        <v>0</v>
      </c>
      <c r="Y789" s="5">
        <f>Data!Y789</f>
        <v>0</v>
      </c>
    </row>
    <row r="790" spans="1:25" x14ac:dyDescent="0.5">
      <c r="A790">
        <f>Data!A790</f>
        <v>0</v>
      </c>
      <c r="J790" s="20">
        <f>Data!J790</f>
        <v>0</v>
      </c>
      <c r="K790" s="20">
        <f>Data!K790</f>
        <v>0</v>
      </c>
      <c r="L790" s="5">
        <f>Data!L790</f>
        <v>0</v>
      </c>
      <c r="M790" s="5">
        <f>Data!M790</f>
        <v>0</v>
      </c>
      <c r="P790" s="5">
        <f>Data!P790</f>
        <v>0</v>
      </c>
      <c r="U790" s="5">
        <f>Data!U790</f>
        <v>0</v>
      </c>
      <c r="Y790" s="5">
        <f>Data!Y790</f>
        <v>0</v>
      </c>
    </row>
    <row r="791" spans="1:25" x14ac:dyDescent="0.5">
      <c r="A791">
        <f>Data!A791</f>
        <v>0</v>
      </c>
      <c r="J791" s="20">
        <f>Data!J791</f>
        <v>0</v>
      </c>
      <c r="K791" s="20">
        <f>Data!K791</f>
        <v>0</v>
      </c>
      <c r="L791" s="5">
        <f>Data!L791</f>
        <v>0</v>
      </c>
      <c r="M791" s="5">
        <f>Data!M791</f>
        <v>0</v>
      </c>
      <c r="P791" s="5">
        <f>Data!P791</f>
        <v>0</v>
      </c>
      <c r="U791" s="5">
        <f>Data!U791</f>
        <v>0</v>
      </c>
      <c r="Y791" s="5">
        <f>Data!Y791</f>
        <v>0</v>
      </c>
    </row>
    <row r="792" spans="1:25" x14ac:dyDescent="0.5">
      <c r="A792">
        <f>Data!A792</f>
        <v>0</v>
      </c>
      <c r="J792" s="20">
        <f>Data!J792</f>
        <v>0</v>
      </c>
      <c r="K792" s="20">
        <f>Data!K792</f>
        <v>0</v>
      </c>
      <c r="L792" s="5">
        <f>Data!L792</f>
        <v>0</v>
      </c>
      <c r="M792" s="5">
        <f>Data!M792</f>
        <v>0</v>
      </c>
      <c r="P792" s="5">
        <f>Data!P792</f>
        <v>0</v>
      </c>
      <c r="U792" s="5">
        <f>Data!U792</f>
        <v>0</v>
      </c>
      <c r="Y792" s="5">
        <f>Data!Y792</f>
        <v>0</v>
      </c>
    </row>
    <row r="793" spans="1:25" x14ac:dyDescent="0.5">
      <c r="A793">
        <f>Data!A793</f>
        <v>0</v>
      </c>
      <c r="J793" s="20">
        <f>Data!J793</f>
        <v>0</v>
      </c>
      <c r="K793" s="20">
        <f>Data!K793</f>
        <v>0</v>
      </c>
      <c r="L793" s="5">
        <f>Data!L793</f>
        <v>0</v>
      </c>
      <c r="M793" s="5">
        <f>Data!M793</f>
        <v>0</v>
      </c>
      <c r="P793" s="5">
        <f>Data!P793</f>
        <v>0</v>
      </c>
      <c r="U793" s="5">
        <f>Data!U793</f>
        <v>0</v>
      </c>
      <c r="Y793" s="5">
        <f>Data!Y793</f>
        <v>0</v>
      </c>
    </row>
    <row r="794" spans="1:25" x14ac:dyDescent="0.5">
      <c r="A794">
        <f>Data!A794</f>
        <v>0</v>
      </c>
      <c r="J794" s="20">
        <f>Data!J794</f>
        <v>0</v>
      </c>
      <c r="K794" s="20">
        <f>Data!K794</f>
        <v>0</v>
      </c>
      <c r="L794" s="5">
        <f>Data!L794</f>
        <v>0</v>
      </c>
      <c r="M794" s="5">
        <f>Data!M794</f>
        <v>0</v>
      </c>
      <c r="P794" s="5">
        <f>Data!P794</f>
        <v>0</v>
      </c>
      <c r="U794" s="5">
        <f>Data!U794</f>
        <v>0</v>
      </c>
      <c r="Y794" s="5">
        <f>Data!Y794</f>
        <v>0</v>
      </c>
    </row>
    <row r="795" spans="1:25" x14ac:dyDescent="0.5">
      <c r="A795">
        <f>Data!A795</f>
        <v>0</v>
      </c>
      <c r="J795" s="20">
        <f>Data!J795</f>
        <v>0</v>
      </c>
      <c r="K795" s="20">
        <f>Data!K795</f>
        <v>0</v>
      </c>
      <c r="L795" s="5">
        <f>Data!L795</f>
        <v>0</v>
      </c>
      <c r="M795" s="5">
        <f>Data!M795</f>
        <v>0</v>
      </c>
      <c r="P795" s="5">
        <f>Data!P795</f>
        <v>0</v>
      </c>
      <c r="U795" s="5">
        <f>Data!U795</f>
        <v>0</v>
      </c>
      <c r="Y795" s="5">
        <f>Data!Y795</f>
        <v>0</v>
      </c>
    </row>
    <row r="796" spans="1:25" x14ac:dyDescent="0.5">
      <c r="A796">
        <f>Data!A796</f>
        <v>0</v>
      </c>
      <c r="J796" s="20">
        <f>Data!J796</f>
        <v>0</v>
      </c>
      <c r="K796" s="20">
        <f>Data!K796</f>
        <v>0</v>
      </c>
      <c r="L796" s="5">
        <f>Data!L796</f>
        <v>0</v>
      </c>
      <c r="M796" s="5">
        <f>Data!M796</f>
        <v>0</v>
      </c>
      <c r="P796" s="5">
        <f>Data!P796</f>
        <v>0</v>
      </c>
      <c r="U796" s="5">
        <f>Data!U796</f>
        <v>0</v>
      </c>
      <c r="Y796" s="5">
        <f>Data!Y796</f>
        <v>0</v>
      </c>
    </row>
    <row r="797" spans="1:25" x14ac:dyDescent="0.5">
      <c r="A797">
        <f>Data!A797</f>
        <v>0</v>
      </c>
      <c r="J797" s="20">
        <f>Data!J797</f>
        <v>0</v>
      </c>
      <c r="K797" s="20">
        <f>Data!K797</f>
        <v>0</v>
      </c>
      <c r="L797" s="5">
        <f>Data!L797</f>
        <v>0</v>
      </c>
      <c r="M797" s="5">
        <f>Data!M797</f>
        <v>0</v>
      </c>
      <c r="P797" s="5">
        <f>Data!P797</f>
        <v>0</v>
      </c>
      <c r="U797" s="5">
        <f>Data!U797</f>
        <v>0</v>
      </c>
      <c r="Y797" s="5">
        <f>Data!Y797</f>
        <v>0</v>
      </c>
    </row>
    <row r="798" spans="1:25" x14ac:dyDescent="0.5">
      <c r="A798">
        <f>Data!A798</f>
        <v>0</v>
      </c>
      <c r="J798" s="20">
        <f>Data!J798</f>
        <v>0</v>
      </c>
      <c r="K798" s="20">
        <f>Data!K798</f>
        <v>0</v>
      </c>
      <c r="L798" s="5">
        <f>Data!L798</f>
        <v>0</v>
      </c>
      <c r="M798" s="5">
        <f>Data!M798</f>
        <v>0</v>
      </c>
      <c r="P798" s="5">
        <f>Data!P798</f>
        <v>0</v>
      </c>
      <c r="U798" s="5">
        <f>Data!U798</f>
        <v>0</v>
      </c>
      <c r="Y798" s="5">
        <f>Data!Y798</f>
        <v>0</v>
      </c>
    </row>
    <row r="799" spans="1:25" x14ac:dyDescent="0.5">
      <c r="A799">
        <f>Data!A799</f>
        <v>0</v>
      </c>
      <c r="J799" s="20">
        <f>Data!J799</f>
        <v>0</v>
      </c>
      <c r="K799" s="20">
        <f>Data!K799</f>
        <v>0</v>
      </c>
      <c r="L799" s="5">
        <f>Data!L799</f>
        <v>0</v>
      </c>
      <c r="M799" s="5">
        <f>Data!M799</f>
        <v>0</v>
      </c>
      <c r="P799" s="5">
        <f>Data!P799</f>
        <v>0</v>
      </c>
      <c r="U799" s="5">
        <f>Data!U799</f>
        <v>0</v>
      </c>
      <c r="Y799" s="5">
        <f>Data!Y799</f>
        <v>0</v>
      </c>
    </row>
    <row r="800" spans="1:25" x14ac:dyDescent="0.5">
      <c r="A800">
        <f>Data!A800</f>
        <v>0</v>
      </c>
      <c r="J800" s="20">
        <f>Data!J800</f>
        <v>0</v>
      </c>
      <c r="K800" s="20">
        <f>Data!K800</f>
        <v>0</v>
      </c>
      <c r="L800" s="5">
        <f>Data!L800</f>
        <v>0</v>
      </c>
      <c r="M800" s="5">
        <f>Data!M800</f>
        <v>0</v>
      </c>
      <c r="P800" s="5">
        <f>Data!P800</f>
        <v>0</v>
      </c>
      <c r="U800" s="5">
        <f>Data!U800</f>
        <v>0</v>
      </c>
      <c r="Y800" s="5">
        <f>Data!Y800</f>
        <v>0</v>
      </c>
    </row>
    <row r="801" spans="1:25" x14ac:dyDescent="0.5">
      <c r="A801">
        <f>Data!A801</f>
        <v>0</v>
      </c>
      <c r="J801" s="20">
        <f>Data!J801</f>
        <v>0</v>
      </c>
      <c r="K801" s="20">
        <f>Data!K801</f>
        <v>0</v>
      </c>
      <c r="L801" s="5">
        <f>Data!L801</f>
        <v>0</v>
      </c>
      <c r="M801" s="5">
        <f>Data!M801</f>
        <v>0</v>
      </c>
      <c r="P801" s="5">
        <f>Data!P801</f>
        <v>0</v>
      </c>
      <c r="U801" s="5">
        <f>Data!U801</f>
        <v>0</v>
      </c>
      <c r="Y801" s="5">
        <f>Data!Y801</f>
        <v>0</v>
      </c>
    </row>
    <row r="802" spans="1:25" x14ac:dyDescent="0.5">
      <c r="A802">
        <f>Data!A802</f>
        <v>0</v>
      </c>
      <c r="J802" s="20">
        <f>Data!J802</f>
        <v>0</v>
      </c>
      <c r="K802" s="20">
        <f>Data!K802</f>
        <v>0</v>
      </c>
      <c r="L802" s="5">
        <f>Data!L802</f>
        <v>0</v>
      </c>
      <c r="M802" s="5">
        <f>Data!M802</f>
        <v>0</v>
      </c>
      <c r="P802" s="5">
        <f>Data!P802</f>
        <v>0</v>
      </c>
      <c r="U802" s="5">
        <f>Data!U802</f>
        <v>0</v>
      </c>
      <c r="Y802" s="5">
        <f>Data!Y802</f>
        <v>0</v>
      </c>
    </row>
    <row r="803" spans="1:25" x14ac:dyDescent="0.5">
      <c r="A803">
        <f>Data!A803</f>
        <v>0</v>
      </c>
      <c r="J803" s="20">
        <f>Data!J803</f>
        <v>0</v>
      </c>
      <c r="K803" s="20">
        <f>Data!K803</f>
        <v>0</v>
      </c>
      <c r="L803" s="5">
        <f>Data!L803</f>
        <v>0</v>
      </c>
      <c r="M803" s="5">
        <f>Data!M803</f>
        <v>0</v>
      </c>
      <c r="P803" s="5">
        <f>Data!P803</f>
        <v>0</v>
      </c>
      <c r="U803" s="5">
        <f>Data!U803</f>
        <v>0</v>
      </c>
      <c r="Y803" s="5">
        <f>Data!Y803</f>
        <v>0</v>
      </c>
    </row>
    <row r="804" spans="1:25" x14ac:dyDescent="0.5">
      <c r="A804">
        <f>Data!A804</f>
        <v>0</v>
      </c>
      <c r="J804" s="20">
        <f>Data!J804</f>
        <v>0</v>
      </c>
      <c r="K804" s="20">
        <f>Data!K804</f>
        <v>0</v>
      </c>
      <c r="L804" s="5">
        <f>Data!L804</f>
        <v>0</v>
      </c>
      <c r="M804" s="5">
        <f>Data!M804</f>
        <v>0</v>
      </c>
      <c r="P804" s="5">
        <f>Data!P804</f>
        <v>0</v>
      </c>
      <c r="U804" s="5">
        <f>Data!U804</f>
        <v>0</v>
      </c>
      <c r="Y804" s="5">
        <f>Data!Y804</f>
        <v>0</v>
      </c>
    </row>
    <row r="805" spans="1:25" x14ac:dyDescent="0.5">
      <c r="A805">
        <f>Data!A805</f>
        <v>0</v>
      </c>
      <c r="J805" s="20">
        <f>Data!J805</f>
        <v>0</v>
      </c>
      <c r="K805" s="20">
        <f>Data!K805</f>
        <v>0</v>
      </c>
      <c r="L805" s="5">
        <f>Data!L805</f>
        <v>0</v>
      </c>
      <c r="M805" s="5">
        <f>Data!M805</f>
        <v>0</v>
      </c>
      <c r="P805" s="5">
        <f>Data!P805</f>
        <v>0</v>
      </c>
      <c r="U805" s="5">
        <f>Data!U805</f>
        <v>0</v>
      </c>
      <c r="Y805" s="5">
        <f>Data!Y805</f>
        <v>0</v>
      </c>
    </row>
    <row r="806" spans="1:25" x14ac:dyDescent="0.5">
      <c r="A806">
        <f>Data!A806</f>
        <v>0</v>
      </c>
      <c r="J806" s="20">
        <f>Data!J806</f>
        <v>0</v>
      </c>
      <c r="K806" s="20">
        <f>Data!K806</f>
        <v>0</v>
      </c>
      <c r="L806" s="5">
        <f>Data!L806</f>
        <v>0</v>
      </c>
      <c r="M806" s="5">
        <f>Data!M806</f>
        <v>0</v>
      </c>
      <c r="P806" s="5">
        <f>Data!P806</f>
        <v>0</v>
      </c>
      <c r="U806" s="5">
        <f>Data!U806</f>
        <v>0</v>
      </c>
      <c r="Y806" s="5">
        <f>Data!Y806</f>
        <v>0</v>
      </c>
    </row>
    <row r="807" spans="1:25" x14ac:dyDescent="0.5">
      <c r="A807">
        <f>Data!A807</f>
        <v>0</v>
      </c>
      <c r="J807" s="20">
        <f>Data!J807</f>
        <v>0</v>
      </c>
      <c r="K807" s="20">
        <f>Data!K807</f>
        <v>0</v>
      </c>
      <c r="L807" s="5">
        <f>Data!L807</f>
        <v>0</v>
      </c>
      <c r="M807" s="5">
        <f>Data!M807</f>
        <v>0</v>
      </c>
      <c r="P807" s="5">
        <f>Data!P807</f>
        <v>0</v>
      </c>
      <c r="U807" s="5">
        <f>Data!U807</f>
        <v>0</v>
      </c>
      <c r="Y807" s="5">
        <f>Data!Y807</f>
        <v>0</v>
      </c>
    </row>
    <row r="808" spans="1:25" x14ac:dyDescent="0.5">
      <c r="A808">
        <f>Data!A808</f>
        <v>0</v>
      </c>
      <c r="J808" s="20">
        <f>Data!J808</f>
        <v>0</v>
      </c>
      <c r="K808" s="20">
        <f>Data!K808</f>
        <v>0</v>
      </c>
      <c r="L808" s="5">
        <f>Data!L808</f>
        <v>0</v>
      </c>
      <c r="M808" s="5">
        <f>Data!M808</f>
        <v>0</v>
      </c>
      <c r="P808" s="5">
        <f>Data!P808</f>
        <v>0</v>
      </c>
      <c r="U808" s="5">
        <f>Data!U808</f>
        <v>0</v>
      </c>
      <c r="Y808" s="5">
        <f>Data!Y808</f>
        <v>0</v>
      </c>
    </row>
    <row r="809" spans="1:25" x14ac:dyDescent="0.5">
      <c r="A809">
        <f>Data!A809</f>
        <v>0</v>
      </c>
      <c r="J809" s="20">
        <f>Data!J809</f>
        <v>0</v>
      </c>
      <c r="K809" s="20">
        <f>Data!K809</f>
        <v>0</v>
      </c>
      <c r="L809" s="5">
        <f>Data!L809</f>
        <v>0</v>
      </c>
      <c r="M809" s="5">
        <f>Data!M809</f>
        <v>0</v>
      </c>
      <c r="P809" s="5">
        <f>Data!P809</f>
        <v>0</v>
      </c>
      <c r="U809" s="5">
        <f>Data!U809</f>
        <v>0</v>
      </c>
      <c r="Y809" s="5">
        <f>Data!Y809</f>
        <v>0</v>
      </c>
    </row>
    <row r="810" spans="1:25" x14ac:dyDescent="0.5">
      <c r="A810">
        <f>Data!A810</f>
        <v>0</v>
      </c>
      <c r="J810" s="20">
        <f>Data!J810</f>
        <v>0</v>
      </c>
      <c r="K810" s="20">
        <f>Data!K810</f>
        <v>0</v>
      </c>
      <c r="L810" s="5">
        <f>Data!L810</f>
        <v>0</v>
      </c>
      <c r="M810" s="5">
        <f>Data!M810</f>
        <v>0</v>
      </c>
      <c r="P810" s="5">
        <f>Data!P810</f>
        <v>0</v>
      </c>
      <c r="U810" s="5">
        <f>Data!U810</f>
        <v>0</v>
      </c>
      <c r="Y810" s="5">
        <f>Data!Y810</f>
        <v>0</v>
      </c>
    </row>
    <row r="811" spans="1:25" x14ac:dyDescent="0.5">
      <c r="A811">
        <f>Data!A811</f>
        <v>0</v>
      </c>
      <c r="J811" s="20">
        <f>Data!J811</f>
        <v>0</v>
      </c>
      <c r="K811" s="20">
        <f>Data!K811</f>
        <v>0</v>
      </c>
      <c r="L811" s="5">
        <f>Data!L811</f>
        <v>0</v>
      </c>
      <c r="M811" s="5">
        <f>Data!M811</f>
        <v>0</v>
      </c>
      <c r="P811" s="5">
        <f>Data!P811</f>
        <v>0</v>
      </c>
      <c r="U811" s="5">
        <f>Data!U811</f>
        <v>0</v>
      </c>
      <c r="Y811" s="5">
        <f>Data!Y811</f>
        <v>0</v>
      </c>
    </row>
    <row r="812" spans="1:25" x14ac:dyDescent="0.5">
      <c r="A812">
        <f>Data!A812</f>
        <v>0</v>
      </c>
      <c r="J812" s="20">
        <f>Data!J812</f>
        <v>0</v>
      </c>
      <c r="K812" s="20">
        <f>Data!K812</f>
        <v>0</v>
      </c>
      <c r="L812" s="5">
        <f>Data!L812</f>
        <v>0</v>
      </c>
      <c r="M812" s="5">
        <f>Data!M812</f>
        <v>0</v>
      </c>
      <c r="P812" s="5">
        <f>Data!P812</f>
        <v>0</v>
      </c>
      <c r="U812" s="5">
        <f>Data!U812</f>
        <v>0</v>
      </c>
      <c r="Y812" s="5">
        <f>Data!Y812</f>
        <v>0</v>
      </c>
    </row>
    <row r="813" spans="1:25" x14ac:dyDescent="0.5">
      <c r="A813">
        <f>Data!A813</f>
        <v>0</v>
      </c>
      <c r="J813" s="20">
        <f>Data!J813</f>
        <v>0</v>
      </c>
      <c r="K813" s="20">
        <f>Data!K813</f>
        <v>0</v>
      </c>
      <c r="L813" s="5">
        <f>Data!L813</f>
        <v>0</v>
      </c>
      <c r="M813" s="5">
        <f>Data!M813</f>
        <v>0</v>
      </c>
      <c r="P813" s="5">
        <f>Data!P813</f>
        <v>0</v>
      </c>
      <c r="U813" s="5">
        <f>Data!U813</f>
        <v>0</v>
      </c>
      <c r="Y813" s="5">
        <f>Data!Y813</f>
        <v>0</v>
      </c>
    </row>
    <row r="814" spans="1:25" x14ac:dyDescent="0.5">
      <c r="A814">
        <f>Data!A814</f>
        <v>0</v>
      </c>
      <c r="J814" s="20">
        <f>Data!J814</f>
        <v>0</v>
      </c>
      <c r="K814" s="20">
        <f>Data!K814</f>
        <v>0</v>
      </c>
      <c r="L814" s="5">
        <f>Data!L814</f>
        <v>0</v>
      </c>
      <c r="M814" s="5">
        <f>Data!M814</f>
        <v>0</v>
      </c>
      <c r="P814" s="5">
        <f>Data!P814</f>
        <v>0</v>
      </c>
      <c r="U814" s="5">
        <f>Data!U814</f>
        <v>0</v>
      </c>
      <c r="Y814" s="5">
        <f>Data!Y814</f>
        <v>0</v>
      </c>
    </row>
    <row r="815" spans="1:25" x14ac:dyDescent="0.5">
      <c r="A815">
        <f>Data!A815</f>
        <v>0</v>
      </c>
      <c r="J815" s="20">
        <f>Data!J815</f>
        <v>0</v>
      </c>
      <c r="K815" s="20">
        <f>Data!K815</f>
        <v>0</v>
      </c>
      <c r="L815" s="5">
        <f>Data!L815</f>
        <v>0</v>
      </c>
      <c r="M815" s="5">
        <f>Data!M815</f>
        <v>0</v>
      </c>
      <c r="P815" s="5">
        <f>Data!P815</f>
        <v>0</v>
      </c>
      <c r="U815" s="5">
        <f>Data!U815</f>
        <v>0</v>
      </c>
      <c r="Y815" s="5">
        <f>Data!Y815</f>
        <v>0</v>
      </c>
    </row>
    <row r="816" spans="1:25" x14ac:dyDescent="0.5">
      <c r="A816">
        <f>Data!A816</f>
        <v>0</v>
      </c>
      <c r="J816" s="20">
        <f>Data!J816</f>
        <v>0</v>
      </c>
      <c r="K816" s="20">
        <f>Data!K816</f>
        <v>0</v>
      </c>
      <c r="L816" s="5">
        <f>Data!L816</f>
        <v>0</v>
      </c>
      <c r="M816" s="5">
        <f>Data!M816</f>
        <v>0</v>
      </c>
      <c r="P816" s="5">
        <f>Data!P816</f>
        <v>0</v>
      </c>
      <c r="U816" s="5">
        <f>Data!U816</f>
        <v>0</v>
      </c>
      <c r="Y816" s="5">
        <f>Data!Y816</f>
        <v>0</v>
      </c>
    </row>
    <row r="817" spans="1:25" x14ac:dyDescent="0.5">
      <c r="A817">
        <f>Data!A817</f>
        <v>0</v>
      </c>
      <c r="J817" s="20">
        <f>Data!J817</f>
        <v>0</v>
      </c>
      <c r="K817" s="20">
        <f>Data!K817</f>
        <v>0</v>
      </c>
      <c r="L817" s="5">
        <f>Data!L817</f>
        <v>0</v>
      </c>
      <c r="M817" s="5">
        <f>Data!M817</f>
        <v>0</v>
      </c>
      <c r="P817" s="5">
        <f>Data!P817</f>
        <v>0</v>
      </c>
      <c r="U817" s="5">
        <f>Data!U817</f>
        <v>0</v>
      </c>
      <c r="Y817" s="5">
        <f>Data!Y817</f>
        <v>0</v>
      </c>
    </row>
    <row r="818" spans="1:25" x14ac:dyDescent="0.5">
      <c r="A818">
        <f>Data!A818</f>
        <v>0</v>
      </c>
      <c r="J818" s="20">
        <f>Data!J818</f>
        <v>0</v>
      </c>
      <c r="K818" s="20">
        <f>Data!K818</f>
        <v>0</v>
      </c>
      <c r="L818" s="5">
        <f>Data!L818</f>
        <v>0</v>
      </c>
      <c r="M818" s="5">
        <f>Data!M818</f>
        <v>0</v>
      </c>
      <c r="P818" s="5">
        <f>Data!P818</f>
        <v>0</v>
      </c>
      <c r="U818" s="5">
        <f>Data!U818</f>
        <v>0</v>
      </c>
      <c r="Y818" s="5">
        <f>Data!Y818</f>
        <v>0</v>
      </c>
    </row>
    <row r="819" spans="1:25" x14ac:dyDescent="0.5">
      <c r="A819">
        <f>Data!A819</f>
        <v>0</v>
      </c>
      <c r="J819" s="20">
        <f>Data!J819</f>
        <v>0</v>
      </c>
      <c r="K819" s="20">
        <f>Data!K819</f>
        <v>0</v>
      </c>
      <c r="L819" s="5">
        <f>Data!L819</f>
        <v>0</v>
      </c>
      <c r="M819" s="5">
        <f>Data!M819</f>
        <v>0</v>
      </c>
      <c r="P819" s="5">
        <f>Data!P819</f>
        <v>0</v>
      </c>
      <c r="U819" s="5">
        <f>Data!U819</f>
        <v>0</v>
      </c>
      <c r="Y819" s="5">
        <f>Data!Y819</f>
        <v>0</v>
      </c>
    </row>
    <row r="820" spans="1:25" x14ac:dyDescent="0.5">
      <c r="A820">
        <f>Data!A820</f>
        <v>0</v>
      </c>
      <c r="J820" s="20">
        <f>Data!J820</f>
        <v>0</v>
      </c>
      <c r="K820" s="20">
        <f>Data!K820</f>
        <v>0</v>
      </c>
      <c r="L820" s="5">
        <f>Data!L820</f>
        <v>0</v>
      </c>
      <c r="M820" s="5">
        <f>Data!M820</f>
        <v>0</v>
      </c>
      <c r="P820" s="5">
        <f>Data!P820</f>
        <v>0</v>
      </c>
      <c r="U820" s="5">
        <f>Data!U820</f>
        <v>0</v>
      </c>
      <c r="Y820" s="5">
        <f>Data!Y820</f>
        <v>0</v>
      </c>
    </row>
    <row r="821" spans="1:25" x14ac:dyDescent="0.5">
      <c r="A821">
        <f>Data!A821</f>
        <v>0</v>
      </c>
      <c r="J821" s="20">
        <f>Data!J821</f>
        <v>0</v>
      </c>
      <c r="K821" s="20">
        <f>Data!K821</f>
        <v>0</v>
      </c>
      <c r="L821" s="5">
        <f>Data!L821</f>
        <v>0</v>
      </c>
      <c r="M821" s="5">
        <f>Data!M821</f>
        <v>0</v>
      </c>
      <c r="P821" s="5">
        <f>Data!P821</f>
        <v>0</v>
      </c>
      <c r="U821" s="5">
        <f>Data!U821</f>
        <v>0</v>
      </c>
      <c r="Y821" s="5">
        <f>Data!Y821</f>
        <v>0</v>
      </c>
    </row>
    <row r="822" spans="1:25" x14ac:dyDescent="0.5">
      <c r="A822">
        <f>Data!A822</f>
        <v>0</v>
      </c>
      <c r="J822" s="20">
        <f>Data!J822</f>
        <v>0</v>
      </c>
      <c r="K822" s="20">
        <f>Data!K822</f>
        <v>0</v>
      </c>
      <c r="L822" s="5">
        <f>Data!L822</f>
        <v>0</v>
      </c>
      <c r="M822" s="5">
        <f>Data!M822</f>
        <v>0</v>
      </c>
      <c r="P822" s="5">
        <f>Data!P822</f>
        <v>0</v>
      </c>
      <c r="U822" s="5">
        <f>Data!U822</f>
        <v>0</v>
      </c>
      <c r="Y822" s="5">
        <f>Data!Y822</f>
        <v>0</v>
      </c>
    </row>
    <row r="823" spans="1:25" x14ac:dyDescent="0.5">
      <c r="A823">
        <f>Data!A823</f>
        <v>0</v>
      </c>
      <c r="J823" s="20">
        <f>Data!J823</f>
        <v>0</v>
      </c>
      <c r="K823" s="20">
        <f>Data!K823</f>
        <v>0</v>
      </c>
      <c r="L823" s="5">
        <f>Data!L823</f>
        <v>0</v>
      </c>
      <c r="M823" s="5">
        <f>Data!M823</f>
        <v>0</v>
      </c>
      <c r="P823" s="5">
        <f>Data!P823</f>
        <v>0</v>
      </c>
      <c r="U823" s="5">
        <f>Data!U823</f>
        <v>0</v>
      </c>
      <c r="Y823" s="5">
        <f>Data!Y823</f>
        <v>0</v>
      </c>
    </row>
    <row r="824" spans="1:25" x14ac:dyDescent="0.5">
      <c r="A824">
        <f>Data!A824</f>
        <v>0</v>
      </c>
      <c r="J824" s="20">
        <f>Data!J824</f>
        <v>0</v>
      </c>
      <c r="K824" s="20">
        <f>Data!K824</f>
        <v>0</v>
      </c>
      <c r="L824" s="5">
        <f>Data!L824</f>
        <v>0</v>
      </c>
      <c r="M824" s="5">
        <f>Data!M824</f>
        <v>0</v>
      </c>
      <c r="P824" s="5">
        <f>Data!P824</f>
        <v>0</v>
      </c>
      <c r="U824" s="5">
        <f>Data!U824</f>
        <v>0</v>
      </c>
      <c r="Y824" s="5">
        <f>Data!Y824</f>
        <v>0</v>
      </c>
    </row>
    <row r="825" spans="1:25" x14ac:dyDescent="0.5">
      <c r="A825">
        <f>Data!A825</f>
        <v>0</v>
      </c>
      <c r="J825" s="20">
        <f>Data!J825</f>
        <v>0</v>
      </c>
      <c r="K825" s="20">
        <f>Data!K825</f>
        <v>0</v>
      </c>
      <c r="L825" s="5">
        <f>Data!L825</f>
        <v>0</v>
      </c>
      <c r="M825" s="5">
        <f>Data!M825</f>
        <v>0</v>
      </c>
      <c r="P825" s="5">
        <f>Data!P825</f>
        <v>0</v>
      </c>
      <c r="U825" s="5">
        <f>Data!U825</f>
        <v>0</v>
      </c>
      <c r="Y825" s="5">
        <f>Data!Y825</f>
        <v>0</v>
      </c>
    </row>
    <row r="826" spans="1:25" x14ac:dyDescent="0.5">
      <c r="A826">
        <f>Data!A826</f>
        <v>0</v>
      </c>
      <c r="J826" s="20">
        <f>Data!J826</f>
        <v>0</v>
      </c>
      <c r="K826" s="20">
        <f>Data!K826</f>
        <v>0</v>
      </c>
      <c r="L826" s="5">
        <f>Data!L826</f>
        <v>0</v>
      </c>
      <c r="M826" s="5">
        <f>Data!M826</f>
        <v>0</v>
      </c>
      <c r="P826" s="5">
        <f>Data!P826</f>
        <v>0</v>
      </c>
      <c r="U826" s="5">
        <f>Data!U826</f>
        <v>0</v>
      </c>
      <c r="Y826" s="5">
        <f>Data!Y826</f>
        <v>0</v>
      </c>
    </row>
    <row r="827" spans="1:25" x14ac:dyDescent="0.5">
      <c r="A827">
        <f>Data!A827</f>
        <v>0</v>
      </c>
      <c r="J827" s="20">
        <f>Data!J827</f>
        <v>0</v>
      </c>
      <c r="K827" s="20">
        <f>Data!K827</f>
        <v>0</v>
      </c>
      <c r="L827" s="5">
        <f>Data!L827</f>
        <v>0</v>
      </c>
      <c r="M827" s="5">
        <f>Data!M827</f>
        <v>0</v>
      </c>
      <c r="P827" s="5">
        <f>Data!P827</f>
        <v>0</v>
      </c>
      <c r="U827" s="5">
        <f>Data!U827</f>
        <v>0</v>
      </c>
      <c r="Y827" s="5">
        <f>Data!Y827</f>
        <v>0</v>
      </c>
    </row>
    <row r="828" spans="1:25" x14ac:dyDescent="0.5">
      <c r="A828">
        <f>Data!A828</f>
        <v>0</v>
      </c>
      <c r="J828" s="20">
        <f>Data!J828</f>
        <v>0</v>
      </c>
      <c r="K828" s="20">
        <f>Data!K828</f>
        <v>0</v>
      </c>
      <c r="L828" s="5">
        <f>Data!L828</f>
        <v>0</v>
      </c>
      <c r="M828" s="5">
        <f>Data!M828</f>
        <v>0</v>
      </c>
      <c r="P828" s="5">
        <f>Data!P828</f>
        <v>0</v>
      </c>
      <c r="U828" s="5">
        <f>Data!U828</f>
        <v>0</v>
      </c>
      <c r="Y828" s="5">
        <f>Data!Y828</f>
        <v>0</v>
      </c>
    </row>
    <row r="829" spans="1:25" x14ac:dyDescent="0.5">
      <c r="A829">
        <f>Data!A829</f>
        <v>0</v>
      </c>
      <c r="J829" s="20">
        <f>Data!J829</f>
        <v>0</v>
      </c>
      <c r="K829" s="20">
        <f>Data!K829</f>
        <v>0</v>
      </c>
      <c r="L829" s="5">
        <f>Data!L829</f>
        <v>0</v>
      </c>
      <c r="M829" s="5">
        <f>Data!M829</f>
        <v>0</v>
      </c>
      <c r="P829" s="5">
        <f>Data!P829</f>
        <v>0</v>
      </c>
      <c r="U829" s="5">
        <f>Data!U829</f>
        <v>0</v>
      </c>
      <c r="Y829" s="5">
        <f>Data!Y829</f>
        <v>0</v>
      </c>
    </row>
    <row r="830" spans="1:25" x14ac:dyDescent="0.5">
      <c r="A830">
        <f>Data!A830</f>
        <v>0</v>
      </c>
      <c r="J830" s="20">
        <f>Data!J830</f>
        <v>0</v>
      </c>
      <c r="K830" s="20">
        <f>Data!K830</f>
        <v>0</v>
      </c>
      <c r="L830" s="5">
        <f>Data!L830</f>
        <v>0</v>
      </c>
      <c r="M830" s="5">
        <f>Data!M830</f>
        <v>0</v>
      </c>
      <c r="P830" s="5">
        <f>Data!P830</f>
        <v>0</v>
      </c>
      <c r="U830" s="5">
        <f>Data!U830</f>
        <v>0</v>
      </c>
      <c r="Y830" s="5">
        <f>Data!Y830</f>
        <v>0</v>
      </c>
    </row>
    <row r="831" spans="1:25" x14ac:dyDescent="0.5">
      <c r="A831">
        <f>Data!A831</f>
        <v>0</v>
      </c>
      <c r="J831" s="20">
        <f>Data!J831</f>
        <v>0</v>
      </c>
      <c r="K831" s="20">
        <f>Data!K831</f>
        <v>0</v>
      </c>
      <c r="L831" s="5">
        <f>Data!L831</f>
        <v>0</v>
      </c>
      <c r="M831" s="5">
        <f>Data!M831</f>
        <v>0</v>
      </c>
      <c r="P831" s="5">
        <f>Data!P831</f>
        <v>0</v>
      </c>
      <c r="U831" s="5">
        <f>Data!U831</f>
        <v>0</v>
      </c>
      <c r="Y831" s="5">
        <f>Data!Y831</f>
        <v>0</v>
      </c>
    </row>
    <row r="832" spans="1:25" x14ac:dyDescent="0.5">
      <c r="A832">
        <f>Data!A832</f>
        <v>0</v>
      </c>
      <c r="J832" s="20">
        <f>Data!J832</f>
        <v>0</v>
      </c>
      <c r="K832" s="20">
        <f>Data!K832</f>
        <v>0</v>
      </c>
      <c r="L832" s="5">
        <f>Data!L832</f>
        <v>0</v>
      </c>
      <c r="M832" s="5">
        <f>Data!M832</f>
        <v>0</v>
      </c>
      <c r="P832" s="5">
        <f>Data!P832</f>
        <v>0</v>
      </c>
      <c r="U832" s="5">
        <f>Data!U832</f>
        <v>0</v>
      </c>
      <c r="Y832" s="5">
        <f>Data!Y832</f>
        <v>0</v>
      </c>
    </row>
    <row r="833" spans="1:25" x14ac:dyDescent="0.5">
      <c r="A833">
        <f>Data!A833</f>
        <v>0</v>
      </c>
      <c r="J833" s="20">
        <f>Data!J833</f>
        <v>0</v>
      </c>
      <c r="K833" s="20">
        <f>Data!K833</f>
        <v>0</v>
      </c>
      <c r="L833" s="5">
        <f>Data!L833</f>
        <v>0</v>
      </c>
      <c r="M833" s="5">
        <f>Data!M833</f>
        <v>0</v>
      </c>
      <c r="P833" s="5">
        <f>Data!P833</f>
        <v>0</v>
      </c>
      <c r="U833" s="5">
        <f>Data!U833</f>
        <v>0</v>
      </c>
      <c r="Y833" s="5">
        <f>Data!Y833</f>
        <v>0</v>
      </c>
    </row>
    <row r="834" spans="1:25" x14ac:dyDescent="0.5">
      <c r="A834">
        <f>Data!A834</f>
        <v>0</v>
      </c>
      <c r="J834" s="20">
        <f>Data!J834</f>
        <v>0</v>
      </c>
      <c r="K834" s="20">
        <f>Data!K834</f>
        <v>0</v>
      </c>
      <c r="L834" s="5">
        <f>Data!L834</f>
        <v>0</v>
      </c>
      <c r="M834" s="5">
        <f>Data!M834</f>
        <v>0</v>
      </c>
      <c r="P834" s="5">
        <f>Data!P834</f>
        <v>0</v>
      </c>
      <c r="U834" s="5">
        <f>Data!U834</f>
        <v>0</v>
      </c>
      <c r="Y834" s="5">
        <f>Data!Y834</f>
        <v>0</v>
      </c>
    </row>
    <row r="835" spans="1:25" x14ac:dyDescent="0.5">
      <c r="A835">
        <f>Data!A835</f>
        <v>0</v>
      </c>
      <c r="J835" s="20">
        <f>Data!J835</f>
        <v>0</v>
      </c>
      <c r="K835" s="20">
        <f>Data!K835</f>
        <v>0</v>
      </c>
      <c r="L835" s="5">
        <f>Data!L835</f>
        <v>0</v>
      </c>
      <c r="M835" s="5">
        <f>Data!M835</f>
        <v>0</v>
      </c>
      <c r="P835" s="5">
        <f>Data!P835</f>
        <v>0</v>
      </c>
      <c r="U835" s="5">
        <f>Data!U835</f>
        <v>0</v>
      </c>
      <c r="Y835" s="5">
        <f>Data!Y835</f>
        <v>0</v>
      </c>
    </row>
    <row r="836" spans="1:25" x14ac:dyDescent="0.5">
      <c r="A836">
        <f>Data!A836</f>
        <v>0</v>
      </c>
      <c r="J836" s="20">
        <f>Data!J836</f>
        <v>0</v>
      </c>
      <c r="K836" s="20">
        <f>Data!K836</f>
        <v>0</v>
      </c>
      <c r="L836" s="5">
        <f>Data!L836</f>
        <v>0</v>
      </c>
      <c r="M836" s="5">
        <f>Data!M836</f>
        <v>0</v>
      </c>
      <c r="P836" s="5">
        <f>Data!P836</f>
        <v>0</v>
      </c>
      <c r="U836" s="5">
        <f>Data!U836</f>
        <v>0</v>
      </c>
      <c r="Y836" s="5">
        <f>Data!Y836</f>
        <v>0</v>
      </c>
    </row>
    <row r="837" spans="1:25" x14ac:dyDescent="0.5">
      <c r="A837">
        <f>Data!A837</f>
        <v>0</v>
      </c>
      <c r="J837" s="20">
        <f>Data!J837</f>
        <v>0</v>
      </c>
      <c r="K837" s="20">
        <f>Data!K837</f>
        <v>0</v>
      </c>
      <c r="L837" s="5">
        <f>Data!L837</f>
        <v>0</v>
      </c>
      <c r="M837" s="5">
        <f>Data!M837</f>
        <v>0</v>
      </c>
      <c r="P837" s="5">
        <f>Data!P837</f>
        <v>0</v>
      </c>
      <c r="U837" s="5">
        <f>Data!U837</f>
        <v>0</v>
      </c>
      <c r="Y837" s="5">
        <f>Data!Y837</f>
        <v>0</v>
      </c>
    </row>
    <row r="838" spans="1:25" x14ac:dyDescent="0.5">
      <c r="A838">
        <f>Data!A838</f>
        <v>0</v>
      </c>
      <c r="J838" s="20">
        <f>Data!J838</f>
        <v>0</v>
      </c>
      <c r="K838" s="20">
        <f>Data!K838</f>
        <v>0</v>
      </c>
      <c r="L838" s="5">
        <f>Data!L838</f>
        <v>0</v>
      </c>
      <c r="M838" s="5">
        <f>Data!M838</f>
        <v>0</v>
      </c>
      <c r="P838" s="5">
        <f>Data!P838</f>
        <v>0</v>
      </c>
      <c r="U838" s="5">
        <f>Data!U838</f>
        <v>0</v>
      </c>
      <c r="Y838" s="5">
        <f>Data!Y838</f>
        <v>0</v>
      </c>
    </row>
    <row r="839" spans="1:25" x14ac:dyDescent="0.5">
      <c r="A839">
        <f>Data!A839</f>
        <v>0</v>
      </c>
      <c r="J839" s="20">
        <f>Data!J839</f>
        <v>0</v>
      </c>
      <c r="K839" s="20">
        <f>Data!K839</f>
        <v>0</v>
      </c>
      <c r="L839" s="5">
        <f>Data!L839</f>
        <v>0</v>
      </c>
      <c r="M839" s="5">
        <f>Data!M839</f>
        <v>0</v>
      </c>
      <c r="P839" s="5">
        <f>Data!P839</f>
        <v>0</v>
      </c>
      <c r="U839" s="5">
        <f>Data!U839</f>
        <v>0</v>
      </c>
      <c r="Y839" s="5">
        <f>Data!Y839</f>
        <v>0</v>
      </c>
    </row>
    <row r="840" spans="1:25" x14ac:dyDescent="0.5">
      <c r="A840">
        <f>Data!A840</f>
        <v>0</v>
      </c>
      <c r="J840" s="20">
        <f>Data!J840</f>
        <v>0</v>
      </c>
      <c r="K840" s="20">
        <f>Data!K840</f>
        <v>0</v>
      </c>
      <c r="L840" s="5">
        <f>Data!L840</f>
        <v>0</v>
      </c>
      <c r="M840" s="5">
        <f>Data!M840</f>
        <v>0</v>
      </c>
      <c r="P840" s="5">
        <f>Data!P840</f>
        <v>0</v>
      </c>
      <c r="U840" s="5">
        <f>Data!U840</f>
        <v>0</v>
      </c>
      <c r="Y840" s="5">
        <f>Data!Y840</f>
        <v>0</v>
      </c>
    </row>
    <row r="841" spans="1:25" x14ac:dyDescent="0.5">
      <c r="A841">
        <f>Data!A841</f>
        <v>0</v>
      </c>
      <c r="J841" s="20">
        <f>Data!J841</f>
        <v>0</v>
      </c>
      <c r="K841" s="20">
        <f>Data!K841</f>
        <v>0</v>
      </c>
      <c r="L841" s="5">
        <f>Data!L841</f>
        <v>0</v>
      </c>
      <c r="M841" s="5">
        <f>Data!M841</f>
        <v>0</v>
      </c>
      <c r="P841" s="5">
        <f>Data!P841</f>
        <v>0</v>
      </c>
      <c r="U841" s="5">
        <f>Data!U841</f>
        <v>0</v>
      </c>
      <c r="Y841" s="5">
        <f>Data!Y841</f>
        <v>0</v>
      </c>
    </row>
    <row r="842" spans="1:25" x14ac:dyDescent="0.5">
      <c r="A842">
        <f>Data!A842</f>
        <v>0</v>
      </c>
      <c r="J842" s="20">
        <f>Data!J842</f>
        <v>0</v>
      </c>
      <c r="K842" s="20">
        <f>Data!K842</f>
        <v>0</v>
      </c>
      <c r="L842" s="5">
        <f>Data!L842</f>
        <v>0</v>
      </c>
      <c r="M842" s="5">
        <f>Data!M842</f>
        <v>0</v>
      </c>
      <c r="P842" s="5">
        <f>Data!P842</f>
        <v>0</v>
      </c>
      <c r="U842" s="5">
        <f>Data!U842</f>
        <v>0</v>
      </c>
      <c r="Y842" s="5">
        <f>Data!Y842</f>
        <v>0</v>
      </c>
    </row>
    <row r="843" spans="1:25" x14ac:dyDescent="0.5">
      <c r="A843">
        <f>Data!A843</f>
        <v>0</v>
      </c>
      <c r="J843" s="20">
        <f>Data!J843</f>
        <v>0</v>
      </c>
      <c r="K843" s="20">
        <f>Data!K843</f>
        <v>0</v>
      </c>
      <c r="L843" s="5">
        <f>Data!L843</f>
        <v>0</v>
      </c>
      <c r="M843" s="5">
        <f>Data!M843</f>
        <v>0</v>
      </c>
      <c r="P843" s="5">
        <f>Data!P843</f>
        <v>0</v>
      </c>
      <c r="U843" s="5">
        <f>Data!U843</f>
        <v>0</v>
      </c>
      <c r="Y843" s="5">
        <f>Data!Y843</f>
        <v>0</v>
      </c>
    </row>
    <row r="844" spans="1:25" x14ac:dyDescent="0.5">
      <c r="A844">
        <f>Data!A844</f>
        <v>0</v>
      </c>
      <c r="J844" s="20">
        <f>Data!J844</f>
        <v>0</v>
      </c>
      <c r="K844" s="20">
        <f>Data!K844</f>
        <v>0</v>
      </c>
      <c r="L844" s="5">
        <f>Data!L844</f>
        <v>0</v>
      </c>
      <c r="M844" s="5">
        <f>Data!M844</f>
        <v>0</v>
      </c>
      <c r="P844" s="5">
        <f>Data!P844</f>
        <v>0</v>
      </c>
      <c r="U844" s="5">
        <f>Data!U844</f>
        <v>0</v>
      </c>
      <c r="Y844" s="5">
        <f>Data!Y844</f>
        <v>0</v>
      </c>
    </row>
    <row r="845" spans="1:25" x14ac:dyDescent="0.5">
      <c r="A845">
        <f>Data!A845</f>
        <v>0</v>
      </c>
      <c r="J845" s="20">
        <f>Data!J845</f>
        <v>0</v>
      </c>
      <c r="K845" s="20">
        <f>Data!K845</f>
        <v>0</v>
      </c>
      <c r="L845" s="5">
        <f>Data!L845</f>
        <v>0</v>
      </c>
      <c r="M845" s="5">
        <f>Data!M845</f>
        <v>0</v>
      </c>
      <c r="P845" s="5">
        <f>Data!P845</f>
        <v>0</v>
      </c>
      <c r="U845" s="5">
        <f>Data!U845</f>
        <v>0</v>
      </c>
      <c r="Y845" s="5">
        <f>Data!Y845</f>
        <v>0</v>
      </c>
    </row>
    <row r="846" spans="1:25" x14ac:dyDescent="0.5">
      <c r="A846">
        <f>Data!A846</f>
        <v>0</v>
      </c>
      <c r="J846" s="20">
        <f>Data!J846</f>
        <v>0</v>
      </c>
      <c r="K846" s="20">
        <f>Data!K846</f>
        <v>0</v>
      </c>
      <c r="L846" s="5">
        <f>Data!L846</f>
        <v>0</v>
      </c>
      <c r="M846" s="5">
        <f>Data!M846</f>
        <v>0</v>
      </c>
      <c r="P846" s="5">
        <f>Data!P846</f>
        <v>0</v>
      </c>
      <c r="U846" s="5">
        <f>Data!U846</f>
        <v>0</v>
      </c>
      <c r="Y846" s="5">
        <f>Data!Y846</f>
        <v>0</v>
      </c>
    </row>
    <row r="847" spans="1:25" x14ac:dyDescent="0.5">
      <c r="A847">
        <f>Data!A847</f>
        <v>0</v>
      </c>
      <c r="J847" s="20">
        <f>Data!J847</f>
        <v>0</v>
      </c>
      <c r="K847" s="20">
        <f>Data!K847</f>
        <v>0</v>
      </c>
      <c r="L847" s="5">
        <f>Data!L847</f>
        <v>0</v>
      </c>
      <c r="M847" s="5">
        <f>Data!M847</f>
        <v>0</v>
      </c>
      <c r="P847" s="5">
        <f>Data!P847</f>
        <v>0</v>
      </c>
      <c r="U847" s="5">
        <f>Data!U847</f>
        <v>0</v>
      </c>
      <c r="Y847" s="5">
        <f>Data!Y847</f>
        <v>0</v>
      </c>
    </row>
    <row r="848" spans="1:25" x14ac:dyDescent="0.5">
      <c r="A848">
        <f>Data!A848</f>
        <v>0</v>
      </c>
      <c r="J848" s="20">
        <f>Data!J848</f>
        <v>0</v>
      </c>
      <c r="K848" s="20">
        <f>Data!K848</f>
        <v>0</v>
      </c>
      <c r="L848" s="5">
        <f>Data!L848</f>
        <v>0</v>
      </c>
      <c r="M848" s="5">
        <f>Data!M848</f>
        <v>0</v>
      </c>
      <c r="P848" s="5">
        <f>Data!P848</f>
        <v>0</v>
      </c>
      <c r="U848" s="5">
        <f>Data!U848</f>
        <v>0</v>
      </c>
      <c r="Y848" s="5">
        <f>Data!Y848</f>
        <v>0</v>
      </c>
    </row>
    <row r="849" spans="1:25" x14ac:dyDescent="0.5">
      <c r="A849">
        <f>Data!A849</f>
        <v>0</v>
      </c>
      <c r="J849" s="20">
        <f>Data!J849</f>
        <v>0</v>
      </c>
      <c r="K849" s="20">
        <f>Data!K849</f>
        <v>0</v>
      </c>
      <c r="L849" s="5">
        <f>Data!L849</f>
        <v>0</v>
      </c>
      <c r="M849" s="5">
        <f>Data!M849</f>
        <v>0</v>
      </c>
      <c r="P849" s="5">
        <f>Data!P849</f>
        <v>0</v>
      </c>
      <c r="U849" s="5">
        <f>Data!U849</f>
        <v>0</v>
      </c>
      <c r="Y849" s="5">
        <f>Data!Y849</f>
        <v>0</v>
      </c>
    </row>
    <row r="850" spans="1:25" x14ac:dyDescent="0.5">
      <c r="A850">
        <f>Data!A850</f>
        <v>0</v>
      </c>
      <c r="J850" s="20">
        <f>Data!J850</f>
        <v>0</v>
      </c>
      <c r="K850" s="20">
        <f>Data!K850</f>
        <v>0</v>
      </c>
      <c r="L850" s="5">
        <f>Data!L850</f>
        <v>0</v>
      </c>
      <c r="M850" s="5">
        <f>Data!M850</f>
        <v>0</v>
      </c>
      <c r="P850" s="5">
        <f>Data!P850</f>
        <v>0</v>
      </c>
      <c r="U850" s="5">
        <f>Data!U850</f>
        <v>0</v>
      </c>
      <c r="Y850" s="5">
        <f>Data!Y850</f>
        <v>0</v>
      </c>
    </row>
    <row r="851" spans="1:25" x14ac:dyDescent="0.5">
      <c r="A851">
        <f>Data!A851</f>
        <v>0</v>
      </c>
      <c r="J851" s="20">
        <f>Data!J851</f>
        <v>0</v>
      </c>
      <c r="K851" s="20">
        <f>Data!K851</f>
        <v>0</v>
      </c>
      <c r="L851" s="5">
        <f>Data!L851</f>
        <v>0</v>
      </c>
      <c r="M851" s="5">
        <f>Data!M851</f>
        <v>0</v>
      </c>
      <c r="P851" s="5">
        <f>Data!P851</f>
        <v>0</v>
      </c>
      <c r="U851" s="5">
        <f>Data!U851</f>
        <v>0</v>
      </c>
      <c r="Y851" s="5">
        <f>Data!Y851</f>
        <v>0</v>
      </c>
    </row>
    <row r="852" spans="1:25" x14ac:dyDescent="0.5">
      <c r="A852">
        <f>Data!A852</f>
        <v>0</v>
      </c>
      <c r="J852" s="20">
        <f>Data!J852</f>
        <v>0</v>
      </c>
      <c r="K852" s="20">
        <f>Data!K852</f>
        <v>0</v>
      </c>
      <c r="L852" s="5">
        <f>Data!L852</f>
        <v>0</v>
      </c>
      <c r="M852" s="5">
        <f>Data!M852</f>
        <v>0</v>
      </c>
      <c r="P852" s="5">
        <f>Data!P852</f>
        <v>0</v>
      </c>
      <c r="U852" s="5">
        <f>Data!U852</f>
        <v>0</v>
      </c>
      <c r="Y852" s="5">
        <f>Data!Y852</f>
        <v>0</v>
      </c>
    </row>
    <row r="853" spans="1:25" x14ac:dyDescent="0.5">
      <c r="A853">
        <f>Data!A853</f>
        <v>0</v>
      </c>
      <c r="J853" s="20">
        <f>Data!J853</f>
        <v>0</v>
      </c>
      <c r="K853" s="20">
        <f>Data!K853</f>
        <v>0</v>
      </c>
      <c r="L853" s="5">
        <f>Data!L853</f>
        <v>0</v>
      </c>
      <c r="M853" s="5">
        <f>Data!M853</f>
        <v>0</v>
      </c>
      <c r="P853" s="5">
        <f>Data!P853</f>
        <v>0</v>
      </c>
      <c r="U853" s="5">
        <f>Data!U853</f>
        <v>0</v>
      </c>
      <c r="Y853" s="5">
        <f>Data!Y853</f>
        <v>0</v>
      </c>
    </row>
    <row r="854" spans="1:25" x14ac:dyDescent="0.5">
      <c r="A854">
        <f>Data!A854</f>
        <v>0</v>
      </c>
      <c r="J854" s="20">
        <f>Data!J854</f>
        <v>0</v>
      </c>
      <c r="K854" s="20">
        <f>Data!K854</f>
        <v>0</v>
      </c>
      <c r="L854" s="5">
        <f>Data!L854</f>
        <v>0</v>
      </c>
      <c r="M854" s="5">
        <f>Data!M854</f>
        <v>0</v>
      </c>
      <c r="P854" s="5">
        <f>Data!P854</f>
        <v>0</v>
      </c>
      <c r="U854" s="5">
        <f>Data!U854</f>
        <v>0</v>
      </c>
      <c r="Y854" s="5">
        <f>Data!Y854</f>
        <v>0</v>
      </c>
    </row>
    <row r="855" spans="1:25" x14ac:dyDescent="0.5">
      <c r="A855">
        <f>Data!A855</f>
        <v>0</v>
      </c>
      <c r="J855" s="20">
        <f>Data!J855</f>
        <v>0</v>
      </c>
      <c r="K855" s="20">
        <f>Data!K855</f>
        <v>0</v>
      </c>
      <c r="L855" s="5">
        <f>Data!L855</f>
        <v>0</v>
      </c>
      <c r="M855" s="5">
        <f>Data!M855</f>
        <v>0</v>
      </c>
      <c r="P855" s="5">
        <f>Data!P855</f>
        <v>0</v>
      </c>
      <c r="U855" s="5">
        <f>Data!U855</f>
        <v>0</v>
      </c>
      <c r="Y855" s="5">
        <f>Data!Y855</f>
        <v>0</v>
      </c>
    </row>
    <row r="856" spans="1:25" x14ac:dyDescent="0.5">
      <c r="A856">
        <f>Data!A856</f>
        <v>0</v>
      </c>
      <c r="J856" s="20">
        <f>Data!J856</f>
        <v>0</v>
      </c>
      <c r="K856" s="20">
        <f>Data!K856</f>
        <v>0</v>
      </c>
      <c r="L856" s="5">
        <f>Data!L856</f>
        <v>0</v>
      </c>
      <c r="M856" s="5">
        <f>Data!M856</f>
        <v>0</v>
      </c>
      <c r="P856" s="5">
        <f>Data!P856</f>
        <v>0</v>
      </c>
      <c r="U856" s="5">
        <f>Data!U856</f>
        <v>0</v>
      </c>
      <c r="Y856" s="5">
        <f>Data!Y856</f>
        <v>0</v>
      </c>
    </row>
    <row r="857" spans="1:25" x14ac:dyDescent="0.5">
      <c r="A857">
        <f>Data!A857</f>
        <v>0</v>
      </c>
      <c r="J857" s="20">
        <f>Data!J857</f>
        <v>0</v>
      </c>
      <c r="K857" s="20">
        <f>Data!K857</f>
        <v>0</v>
      </c>
      <c r="L857" s="5">
        <f>Data!L857</f>
        <v>0</v>
      </c>
      <c r="M857" s="5">
        <f>Data!M857</f>
        <v>0</v>
      </c>
      <c r="P857" s="5">
        <f>Data!P857</f>
        <v>0</v>
      </c>
      <c r="U857" s="5">
        <f>Data!U857</f>
        <v>0</v>
      </c>
      <c r="Y857" s="5">
        <f>Data!Y857</f>
        <v>0</v>
      </c>
    </row>
    <row r="858" spans="1:25" x14ac:dyDescent="0.5">
      <c r="A858">
        <f>Data!A858</f>
        <v>0</v>
      </c>
      <c r="J858" s="20">
        <f>Data!J858</f>
        <v>0</v>
      </c>
      <c r="K858" s="20">
        <f>Data!K858</f>
        <v>0</v>
      </c>
      <c r="L858" s="5">
        <f>Data!L858</f>
        <v>0</v>
      </c>
      <c r="M858" s="5">
        <f>Data!M858</f>
        <v>0</v>
      </c>
      <c r="P858" s="5">
        <f>Data!P858</f>
        <v>0</v>
      </c>
      <c r="U858" s="5">
        <f>Data!U858</f>
        <v>0</v>
      </c>
      <c r="Y858" s="5">
        <f>Data!Y858</f>
        <v>0</v>
      </c>
    </row>
    <row r="859" spans="1:25" x14ac:dyDescent="0.5">
      <c r="A859">
        <f>Data!A859</f>
        <v>0</v>
      </c>
      <c r="J859" s="20">
        <f>Data!J859</f>
        <v>0</v>
      </c>
      <c r="K859" s="20">
        <f>Data!K859</f>
        <v>0</v>
      </c>
      <c r="L859" s="5">
        <f>Data!L859</f>
        <v>0</v>
      </c>
      <c r="M859" s="5">
        <f>Data!M859</f>
        <v>0</v>
      </c>
      <c r="P859" s="5">
        <f>Data!P859</f>
        <v>0</v>
      </c>
      <c r="U859" s="5">
        <f>Data!U859</f>
        <v>0</v>
      </c>
      <c r="Y859" s="5">
        <f>Data!Y859</f>
        <v>0</v>
      </c>
    </row>
    <row r="860" spans="1:25" x14ac:dyDescent="0.5">
      <c r="A860">
        <f>Data!A860</f>
        <v>0</v>
      </c>
      <c r="J860" s="20">
        <f>Data!J860</f>
        <v>0</v>
      </c>
      <c r="K860" s="20">
        <f>Data!K860</f>
        <v>0</v>
      </c>
      <c r="L860" s="5">
        <f>Data!L860</f>
        <v>0</v>
      </c>
      <c r="M860" s="5">
        <f>Data!M860</f>
        <v>0</v>
      </c>
      <c r="P860" s="5">
        <f>Data!P860</f>
        <v>0</v>
      </c>
      <c r="U860" s="5">
        <f>Data!U860</f>
        <v>0</v>
      </c>
      <c r="Y860" s="5">
        <f>Data!Y860</f>
        <v>0</v>
      </c>
    </row>
    <row r="861" spans="1:25" x14ac:dyDescent="0.5">
      <c r="A861">
        <f>Data!A861</f>
        <v>0</v>
      </c>
      <c r="J861" s="20">
        <f>Data!J861</f>
        <v>0</v>
      </c>
      <c r="K861" s="20">
        <f>Data!K861</f>
        <v>0</v>
      </c>
      <c r="L861" s="5">
        <f>Data!L861</f>
        <v>0</v>
      </c>
      <c r="M861" s="5">
        <f>Data!M861</f>
        <v>0</v>
      </c>
      <c r="P861" s="5">
        <f>Data!P861</f>
        <v>0</v>
      </c>
      <c r="U861" s="5">
        <f>Data!U861</f>
        <v>0</v>
      </c>
      <c r="Y861" s="5">
        <f>Data!Y861</f>
        <v>0</v>
      </c>
    </row>
    <row r="862" spans="1:25" x14ac:dyDescent="0.5">
      <c r="A862">
        <f>Data!A862</f>
        <v>0</v>
      </c>
      <c r="J862" s="20">
        <f>Data!J862</f>
        <v>0</v>
      </c>
      <c r="K862" s="20">
        <f>Data!K862</f>
        <v>0</v>
      </c>
      <c r="L862" s="5">
        <f>Data!L862</f>
        <v>0</v>
      </c>
      <c r="M862" s="5">
        <f>Data!M862</f>
        <v>0</v>
      </c>
      <c r="P862" s="5">
        <f>Data!P862</f>
        <v>0</v>
      </c>
      <c r="U862" s="5">
        <f>Data!U862</f>
        <v>0</v>
      </c>
      <c r="Y862" s="5">
        <f>Data!Y862</f>
        <v>0</v>
      </c>
    </row>
    <row r="863" spans="1:25" x14ac:dyDescent="0.5">
      <c r="A863">
        <f>Data!A863</f>
        <v>0</v>
      </c>
      <c r="J863" s="20">
        <f>Data!J863</f>
        <v>0</v>
      </c>
      <c r="K863" s="20">
        <f>Data!K863</f>
        <v>0</v>
      </c>
      <c r="L863" s="5">
        <f>Data!L863</f>
        <v>0</v>
      </c>
      <c r="M863" s="5">
        <f>Data!M863</f>
        <v>0</v>
      </c>
      <c r="P863" s="5">
        <f>Data!P863</f>
        <v>0</v>
      </c>
      <c r="U863" s="5">
        <f>Data!U863</f>
        <v>0</v>
      </c>
      <c r="Y863" s="5">
        <f>Data!Y863</f>
        <v>0</v>
      </c>
    </row>
    <row r="864" spans="1:25" x14ac:dyDescent="0.5">
      <c r="A864">
        <f>Data!A864</f>
        <v>0</v>
      </c>
      <c r="J864" s="20">
        <f>Data!J864</f>
        <v>0</v>
      </c>
      <c r="K864" s="20">
        <f>Data!K864</f>
        <v>0</v>
      </c>
      <c r="L864" s="5">
        <f>Data!L864</f>
        <v>0</v>
      </c>
      <c r="M864" s="5">
        <f>Data!M864</f>
        <v>0</v>
      </c>
      <c r="P864" s="5">
        <f>Data!P864</f>
        <v>0</v>
      </c>
      <c r="U864" s="5">
        <f>Data!U864</f>
        <v>0</v>
      </c>
      <c r="Y864" s="5">
        <f>Data!Y864</f>
        <v>0</v>
      </c>
    </row>
    <row r="865" spans="1:25" x14ac:dyDescent="0.5">
      <c r="A865">
        <f>Data!A865</f>
        <v>0</v>
      </c>
      <c r="J865" s="20">
        <f>Data!J865</f>
        <v>0</v>
      </c>
      <c r="K865" s="20">
        <f>Data!K865</f>
        <v>0</v>
      </c>
      <c r="L865" s="5">
        <f>Data!L865</f>
        <v>0</v>
      </c>
      <c r="M865" s="5">
        <f>Data!M865</f>
        <v>0</v>
      </c>
      <c r="P865" s="5">
        <f>Data!P865</f>
        <v>0</v>
      </c>
      <c r="U865" s="5">
        <f>Data!U865</f>
        <v>0</v>
      </c>
      <c r="Y865" s="5">
        <f>Data!Y865</f>
        <v>0</v>
      </c>
    </row>
    <row r="866" spans="1:25" x14ac:dyDescent="0.5">
      <c r="A866">
        <f>Data!A866</f>
        <v>0</v>
      </c>
      <c r="J866" s="20">
        <f>Data!J866</f>
        <v>0</v>
      </c>
      <c r="K866" s="20">
        <f>Data!K866</f>
        <v>0</v>
      </c>
      <c r="L866" s="5">
        <f>Data!L866</f>
        <v>0</v>
      </c>
      <c r="M866" s="5">
        <f>Data!M866</f>
        <v>0</v>
      </c>
      <c r="P866" s="5">
        <f>Data!P866</f>
        <v>0</v>
      </c>
      <c r="U866" s="5">
        <f>Data!U866</f>
        <v>0</v>
      </c>
      <c r="Y866" s="5">
        <f>Data!Y866</f>
        <v>0</v>
      </c>
    </row>
    <row r="867" spans="1:25" x14ac:dyDescent="0.5">
      <c r="A867">
        <f>Data!A867</f>
        <v>0</v>
      </c>
      <c r="J867" s="20">
        <f>Data!J867</f>
        <v>0</v>
      </c>
      <c r="K867" s="20">
        <f>Data!K867</f>
        <v>0</v>
      </c>
      <c r="L867" s="5">
        <f>Data!L867</f>
        <v>0</v>
      </c>
      <c r="M867" s="5">
        <f>Data!M867</f>
        <v>0</v>
      </c>
      <c r="P867" s="5">
        <f>Data!P867</f>
        <v>0</v>
      </c>
      <c r="U867" s="5">
        <f>Data!U867</f>
        <v>0</v>
      </c>
      <c r="Y867" s="5">
        <f>Data!Y867</f>
        <v>0</v>
      </c>
    </row>
    <row r="868" spans="1:25" x14ac:dyDescent="0.5">
      <c r="A868">
        <f>Data!A868</f>
        <v>0</v>
      </c>
      <c r="J868" s="20">
        <f>Data!J868</f>
        <v>0</v>
      </c>
      <c r="K868" s="20">
        <f>Data!K868</f>
        <v>0</v>
      </c>
      <c r="L868" s="5">
        <f>Data!L868</f>
        <v>0</v>
      </c>
      <c r="M868" s="5">
        <f>Data!M868</f>
        <v>0</v>
      </c>
      <c r="P868" s="5">
        <f>Data!P868</f>
        <v>0</v>
      </c>
      <c r="U868" s="5">
        <f>Data!U868</f>
        <v>0</v>
      </c>
      <c r="Y868" s="5">
        <f>Data!Y868</f>
        <v>0</v>
      </c>
    </row>
    <row r="869" spans="1:25" x14ac:dyDescent="0.5">
      <c r="A869">
        <f>Data!A869</f>
        <v>0</v>
      </c>
      <c r="J869" s="20">
        <f>Data!J869</f>
        <v>0</v>
      </c>
      <c r="K869" s="20">
        <f>Data!K869</f>
        <v>0</v>
      </c>
      <c r="L869" s="5">
        <f>Data!L869</f>
        <v>0</v>
      </c>
      <c r="M869" s="5">
        <f>Data!M869</f>
        <v>0</v>
      </c>
      <c r="P869" s="5">
        <f>Data!P869</f>
        <v>0</v>
      </c>
      <c r="U869" s="5">
        <f>Data!U869</f>
        <v>0</v>
      </c>
      <c r="Y869" s="5">
        <f>Data!Y869</f>
        <v>0</v>
      </c>
    </row>
    <row r="870" spans="1:25" x14ac:dyDescent="0.5">
      <c r="A870">
        <f>Data!A870</f>
        <v>0</v>
      </c>
      <c r="J870" s="20">
        <f>Data!J870</f>
        <v>0</v>
      </c>
      <c r="K870" s="20">
        <f>Data!K870</f>
        <v>0</v>
      </c>
      <c r="L870" s="5">
        <f>Data!L870</f>
        <v>0</v>
      </c>
      <c r="M870" s="5">
        <f>Data!M870</f>
        <v>0</v>
      </c>
      <c r="P870" s="5">
        <f>Data!P870</f>
        <v>0</v>
      </c>
      <c r="U870" s="5">
        <f>Data!U870</f>
        <v>0</v>
      </c>
      <c r="Y870" s="5">
        <f>Data!Y870</f>
        <v>0</v>
      </c>
    </row>
    <row r="871" spans="1:25" x14ac:dyDescent="0.5">
      <c r="A871">
        <f>Data!A871</f>
        <v>0</v>
      </c>
      <c r="J871" s="20">
        <f>Data!J871</f>
        <v>0</v>
      </c>
      <c r="K871" s="20">
        <f>Data!K871</f>
        <v>0</v>
      </c>
      <c r="L871" s="5">
        <f>Data!L871</f>
        <v>0</v>
      </c>
      <c r="M871" s="5">
        <f>Data!M871</f>
        <v>0</v>
      </c>
      <c r="P871" s="5">
        <f>Data!P871</f>
        <v>0</v>
      </c>
      <c r="U871" s="5">
        <f>Data!U871</f>
        <v>0</v>
      </c>
      <c r="Y871" s="5">
        <f>Data!Y871</f>
        <v>0</v>
      </c>
    </row>
    <row r="872" spans="1:25" x14ac:dyDescent="0.5">
      <c r="A872">
        <f>Data!A872</f>
        <v>0</v>
      </c>
      <c r="J872" s="20">
        <f>Data!J872</f>
        <v>0</v>
      </c>
      <c r="K872" s="20">
        <f>Data!K872</f>
        <v>0</v>
      </c>
      <c r="L872" s="5">
        <f>Data!L872</f>
        <v>0</v>
      </c>
      <c r="M872" s="5">
        <f>Data!M872</f>
        <v>0</v>
      </c>
      <c r="P872" s="5">
        <f>Data!P872</f>
        <v>0</v>
      </c>
      <c r="U872" s="5">
        <f>Data!U872</f>
        <v>0</v>
      </c>
      <c r="Y872" s="5">
        <f>Data!Y872</f>
        <v>0</v>
      </c>
    </row>
    <row r="873" spans="1:25" x14ac:dyDescent="0.5">
      <c r="A873">
        <f>Data!A873</f>
        <v>0</v>
      </c>
      <c r="J873" s="20">
        <f>Data!J873</f>
        <v>0</v>
      </c>
      <c r="K873" s="20">
        <f>Data!K873</f>
        <v>0</v>
      </c>
      <c r="L873" s="5">
        <f>Data!L873</f>
        <v>0</v>
      </c>
      <c r="M873" s="5">
        <f>Data!M873</f>
        <v>0</v>
      </c>
      <c r="P873" s="5">
        <f>Data!P873</f>
        <v>0</v>
      </c>
      <c r="U873" s="5">
        <f>Data!U873</f>
        <v>0</v>
      </c>
      <c r="Y873" s="5">
        <f>Data!Y873</f>
        <v>0</v>
      </c>
    </row>
    <row r="874" spans="1:25" x14ac:dyDescent="0.5">
      <c r="A874">
        <f>Data!A874</f>
        <v>0</v>
      </c>
      <c r="J874" s="20">
        <f>Data!J874</f>
        <v>0</v>
      </c>
      <c r="K874" s="20">
        <f>Data!K874</f>
        <v>0</v>
      </c>
      <c r="L874" s="5">
        <f>Data!L874</f>
        <v>0</v>
      </c>
      <c r="M874" s="5">
        <f>Data!M874</f>
        <v>0</v>
      </c>
      <c r="P874" s="5">
        <f>Data!P874</f>
        <v>0</v>
      </c>
      <c r="U874" s="5">
        <f>Data!U874</f>
        <v>0</v>
      </c>
      <c r="Y874" s="5">
        <f>Data!Y874</f>
        <v>0</v>
      </c>
    </row>
    <row r="875" spans="1:25" x14ac:dyDescent="0.5">
      <c r="A875">
        <f>Data!A875</f>
        <v>0</v>
      </c>
      <c r="J875" s="20">
        <f>Data!J875</f>
        <v>0</v>
      </c>
      <c r="K875" s="20">
        <f>Data!K875</f>
        <v>0</v>
      </c>
      <c r="L875" s="5">
        <f>Data!L875</f>
        <v>0</v>
      </c>
      <c r="M875" s="5">
        <f>Data!M875</f>
        <v>0</v>
      </c>
      <c r="P875" s="5">
        <f>Data!P875</f>
        <v>0</v>
      </c>
      <c r="U875" s="5">
        <f>Data!U875</f>
        <v>0</v>
      </c>
      <c r="Y875" s="5">
        <f>Data!Y875</f>
        <v>0</v>
      </c>
    </row>
    <row r="876" spans="1:25" x14ac:dyDescent="0.5">
      <c r="A876">
        <f>Data!A876</f>
        <v>0</v>
      </c>
      <c r="J876" s="20">
        <f>Data!J876</f>
        <v>0</v>
      </c>
      <c r="K876" s="20">
        <f>Data!K876</f>
        <v>0</v>
      </c>
      <c r="L876" s="5">
        <f>Data!L876</f>
        <v>0</v>
      </c>
      <c r="M876" s="5">
        <f>Data!M876</f>
        <v>0</v>
      </c>
      <c r="P876" s="5">
        <f>Data!P876</f>
        <v>0</v>
      </c>
      <c r="U876" s="5">
        <f>Data!U876</f>
        <v>0</v>
      </c>
      <c r="Y876" s="5">
        <f>Data!Y876</f>
        <v>0</v>
      </c>
    </row>
    <row r="877" spans="1:25" x14ac:dyDescent="0.5">
      <c r="A877">
        <f>Data!A877</f>
        <v>0</v>
      </c>
      <c r="J877" s="20">
        <f>Data!J877</f>
        <v>0</v>
      </c>
      <c r="K877" s="20">
        <f>Data!K877</f>
        <v>0</v>
      </c>
      <c r="L877" s="5">
        <f>Data!L877</f>
        <v>0</v>
      </c>
      <c r="M877" s="5">
        <f>Data!M877</f>
        <v>0</v>
      </c>
      <c r="P877" s="5">
        <f>Data!P877</f>
        <v>0</v>
      </c>
      <c r="U877" s="5">
        <f>Data!U877</f>
        <v>0</v>
      </c>
      <c r="Y877" s="5">
        <f>Data!Y877</f>
        <v>0</v>
      </c>
    </row>
    <row r="878" spans="1:25" x14ac:dyDescent="0.5">
      <c r="A878">
        <f>Data!A878</f>
        <v>0</v>
      </c>
      <c r="J878" s="20">
        <f>Data!J878</f>
        <v>0</v>
      </c>
      <c r="K878" s="20">
        <f>Data!K878</f>
        <v>0</v>
      </c>
      <c r="L878" s="5">
        <f>Data!L878</f>
        <v>0</v>
      </c>
      <c r="M878" s="5">
        <f>Data!M878</f>
        <v>0</v>
      </c>
      <c r="P878" s="5">
        <f>Data!P878</f>
        <v>0</v>
      </c>
      <c r="U878" s="5">
        <f>Data!U878</f>
        <v>0</v>
      </c>
      <c r="Y878" s="5">
        <f>Data!Y878</f>
        <v>0</v>
      </c>
    </row>
    <row r="879" spans="1:25" x14ac:dyDescent="0.5">
      <c r="A879">
        <f>Data!A879</f>
        <v>0</v>
      </c>
      <c r="J879" s="20">
        <f>Data!J879</f>
        <v>0</v>
      </c>
      <c r="K879" s="20">
        <f>Data!K879</f>
        <v>0</v>
      </c>
      <c r="L879" s="5">
        <f>Data!L879</f>
        <v>0</v>
      </c>
      <c r="M879" s="5">
        <f>Data!M879</f>
        <v>0</v>
      </c>
      <c r="P879" s="5">
        <f>Data!P879</f>
        <v>0</v>
      </c>
      <c r="U879" s="5">
        <f>Data!U879</f>
        <v>0</v>
      </c>
      <c r="Y879" s="5">
        <f>Data!Y879</f>
        <v>0</v>
      </c>
    </row>
    <row r="880" spans="1:25" x14ac:dyDescent="0.5">
      <c r="A880">
        <f>Data!A880</f>
        <v>0</v>
      </c>
      <c r="J880" s="20">
        <f>Data!J880</f>
        <v>0</v>
      </c>
      <c r="K880" s="20">
        <f>Data!K880</f>
        <v>0</v>
      </c>
      <c r="L880" s="5">
        <f>Data!L880</f>
        <v>0</v>
      </c>
      <c r="M880" s="5">
        <f>Data!M880</f>
        <v>0</v>
      </c>
      <c r="P880" s="5">
        <f>Data!P880</f>
        <v>0</v>
      </c>
      <c r="U880" s="5">
        <f>Data!U880</f>
        <v>0</v>
      </c>
      <c r="Y880" s="5">
        <f>Data!Y880</f>
        <v>0</v>
      </c>
    </row>
    <row r="881" spans="1:25" x14ac:dyDescent="0.5">
      <c r="A881">
        <f>Data!A881</f>
        <v>0</v>
      </c>
      <c r="J881" s="20">
        <f>Data!J881</f>
        <v>0</v>
      </c>
      <c r="K881" s="20">
        <f>Data!K881</f>
        <v>0</v>
      </c>
      <c r="L881" s="5">
        <f>Data!L881</f>
        <v>0</v>
      </c>
      <c r="M881" s="5">
        <f>Data!M881</f>
        <v>0</v>
      </c>
      <c r="P881" s="5">
        <f>Data!P881</f>
        <v>0</v>
      </c>
      <c r="U881" s="5">
        <f>Data!U881</f>
        <v>0</v>
      </c>
      <c r="Y881" s="5">
        <f>Data!Y881</f>
        <v>0</v>
      </c>
    </row>
    <row r="882" spans="1:25" x14ac:dyDescent="0.5">
      <c r="A882">
        <f>Data!A882</f>
        <v>0</v>
      </c>
      <c r="J882" s="20">
        <f>Data!J882</f>
        <v>0</v>
      </c>
      <c r="K882" s="20">
        <f>Data!K882</f>
        <v>0</v>
      </c>
      <c r="L882" s="5">
        <f>Data!L882</f>
        <v>0</v>
      </c>
      <c r="M882" s="5">
        <f>Data!M882</f>
        <v>0</v>
      </c>
      <c r="P882" s="5">
        <f>Data!P882</f>
        <v>0</v>
      </c>
      <c r="U882" s="5">
        <f>Data!U882</f>
        <v>0</v>
      </c>
      <c r="Y882" s="5">
        <f>Data!Y882</f>
        <v>0</v>
      </c>
    </row>
    <row r="883" spans="1:25" x14ac:dyDescent="0.5">
      <c r="A883">
        <f>Data!A883</f>
        <v>0</v>
      </c>
      <c r="J883" s="20">
        <f>Data!J883</f>
        <v>0</v>
      </c>
      <c r="K883" s="20">
        <f>Data!K883</f>
        <v>0</v>
      </c>
      <c r="L883" s="5">
        <f>Data!L883</f>
        <v>0</v>
      </c>
      <c r="M883" s="5">
        <f>Data!M883</f>
        <v>0</v>
      </c>
      <c r="P883" s="5">
        <f>Data!P883</f>
        <v>0</v>
      </c>
      <c r="U883" s="5">
        <f>Data!U883</f>
        <v>0</v>
      </c>
      <c r="Y883" s="5">
        <f>Data!Y883</f>
        <v>0</v>
      </c>
    </row>
    <row r="884" spans="1:25" x14ac:dyDescent="0.5">
      <c r="A884">
        <f>Data!A884</f>
        <v>0</v>
      </c>
      <c r="J884" s="20">
        <f>Data!J884</f>
        <v>0</v>
      </c>
      <c r="K884" s="20">
        <f>Data!K884</f>
        <v>0</v>
      </c>
      <c r="L884" s="5">
        <f>Data!L884</f>
        <v>0</v>
      </c>
      <c r="M884" s="5">
        <f>Data!M884</f>
        <v>0</v>
      </c>
      <c r="P884" s="5">
        <f>Data!P884</f>
        <v>0</v>
      </c>
      <c r="U884" s="5">
        <f>Data!U884</f>
        <v>0</v>
      </c>
      <c r="Y884" s="5">
        <f>Data!Y884</f>
        <v>0</v>
      </c>
    </row>
    <row r="885" spans="1:25" x14ac:dyDescent="0.5">
      <c r="A885">
        <f>Data!A885</f>
        <v>0</v>
      </c>
      <c r="J885" s="20">
        <f>Data!J885</f>
        <v>0</v>
      </c>
      <c r="K885" s="20">
        <f>Data!K885</f>
        <v>0</v>
      </c>
      <c r="L885" s="5">
        <f>Data!L885</f>
        <v>0</v>
      </c>
      <c r="M885" s="5">
        <f>Data!M885</f>
        <v>0</v>
      </c>
      <c r="P885" s="5">
        <f>Data!P885</f>
        <v>0</v>
      </c>
      <c r="U885" s="5">
        <f>Data!U885</f>
        <v>0</v>
      </c>
      <c r="Y885" s="5">
        <f>Data!Y885</f>
        <v>0</v>
      </c>
    </row>
    <row r="886" spans="1:25" x14ac:dyDescent="0.5">
      <c r="A886">
        <f>Data!A886</f>
        <v>0</v>
      </c>
      <c r="J886" s="20">
        <f>Data!J886</f>
        <v>0</v>
      </c>
      <c r="K886" s="20">
        <f>Data!K886</f>
        <v>0</v>
      </c>
      <c r="L886" s="5">
        <f>Data!L886</f>
        <v>0</v>
      </c>
      <c r="M886" s="5">
        <f>Data!M886</f>
        <v>0</v>
      </c>
      <c r="P886" s="5">
        <f>Data!P886</f>
        <v>0</v>
      </c>
      <c r="U886" s="5">
        <f>Data!U886</f>
        <v>0</v>
      </c>
      <c r="Y886" s="5">
        <f>Data!Y886</f>
        <v>0</v>
      </c>
    </row>
    <row r="887" spans="1:25" x14ac:dyDescent="0.5">
      <c r="A887">
        <f>Data!A887</f>
        <v>0</v>
      </c>
      <c r="J887" s="20">
        <f>Data!J887</f>
        <v>0</v>
      </c>
      <c r="K887" s="20">
        <f>Data!K887</f>
        <v>0</v>
      </c>
      <c r="L887" s="5">
        <f>Data!L887</f>
        <v>0</v>
      </c>
      <c r="M887" s="5">
        <f>Data!M887</f>
        <v>0</v>
      </c>
      <c r="P887" s="5">
        <f>Data!P887</f>
        <v>0</v>
      </c>
      <c r="U887" s="5">
        <f>Data!U887</f>
        <v>0</v>
      </c>
      <c r="Y887" s="5">
        <f>Data!Y887</f>
        <v>0</v>
      </c>
    </row>
    <row r="888" spans="1:25" x14ac:dyDescent="0.5">
      <c r="A888">
        <f>Data!A888</f>
        <v>0</v>
      </c>
      <c r="J888" s="20">
        <f>Data!J888</f>
        <v>0</v>
      </c>
      <c r="K888" s="20">
        <f>Data!K888</f>
        <v>0</v>
      </c>
      <c r="L888" s="5">
        <f>Data!L888</f>
        <v>0</v>
      </c>
      <c r="M888" s="5">
        <f>Data!M888</f>
        <v>0</v>
      </c>
      <c r="P888" s="5">
        <f>Data!P888</f>
        <v>0</v>
      </c>
      <c r="U888" s="5">
        <f>Data!U888</f>
        <v>0</v>
      </c>
      <c r="Y888" s="5">
        <f>Data!Y888</f>
        <v>0</v>
      </c>
    </row>
    <row r="889" spans="1:25" x14ac:dyDescent="0.5">
      <c r="A889">
        <f>Data!A889</f>
        <v>0</v>
      </c>
      <c r="J889" s="20">
        <f>Data!J889</f>
        <v>0</v>
      </c>
      <c r="K889" s="20">
        <f>Data!K889</f>
        <v>0</v>
      </c>
      <c r="L889" s="5">
        <f>Data!L889</f>
        <v>0</v>
      </c>
      <c r="M889" s="5">
        <f>Data!M889</f>
        <v>0</v>
      </c>
      <c r="P889" s="5">
        <f>Data!P889</f>
        <v>0</v>
      </c>
      <c r="U889" s="5">
        <f>Data!U889</f>
        <v>0</v>
      </c>
      <c r="Y889" s="5">
        <f>Data!Y889</f>
        <v>0</v>
      </c>
    </row>
    <row r="890" spans="1:25" x14ac:dyDescent="0.5">
      <c r="A890">
        <f>Data!A890</f>
        <v>0</v>
      </c>
      <c r="J890" s="20">
        <f>Data!J890</f>
        <v>0</v>
      </c>
      <c r="K890" s="20">
        <f>Data!K890</f>
        <v>0</v>
      </c>
      <c r="L890" s="5">
        <f>Data!L890</f>
        <v>0</v>
      </c>
      <c r="M890" s="5">
        <f>Data!M890</f>
        <v>0</v>
      </c>
      <c r="P890" s="5">
        <f>Data!P890</f>
        <v>0</v>
      </c>
      <c r="U890" s="5">
        <f>Data!U890</f>
        <v>0</v>
      </c>
      <c r="Y890" s="5">
        <f>Data!Y890</f>
        <v>0</v>
      </c>
    </row>
    <row r="891" spans="1:25" x14ac:dyDescent="0.5">
      <c r="A891">
        <f>Data!A891</f>
        <v>0</v>
      </c>
      <c r="J891" s="20">
        <f>Data!J891</f>
        <v>0</v>
      </c>
      <c r="K891" s="20">
        <f>Data!K891</f>
        <v>0</v>
      </c>
      <c r="L891" s="5">
        <f>Data!L891</f>
        <v>0</v>
      </c>
      <c r="M891" s="5">
        <f>Data!M891</f>
        <v>0</v>
      </c>
      <c r="P891" s="5">
        <f>Data!P891</f>
        <v>0</v>
      </c>
      <c r="U891" s="5">
        <f>Data!U891</f>
        <v>0</v>
      </c>
      <c r="Y891" s="5">
        <f>Data!Y891</f>
        <v>0</v>
      </c>
    </row>
    <row r="892" spans="1:25" x14ac:dyDescent="0.5">
      <c r="A892">
        <f>Data!A892</f>
        <v>0</v>
      </c>
      <c r="J892" s="20">
        <f>Data!J892</f>
        <v>0</v>
      </c>
      <c r="K892" s="20">
        <f>Data!K892</f>
        <v>0</v>
      </c>
      <c r="L892" s="5">
        <f>Data!L892</f>
        <v>0</v>
      </c>
      <c r="M892" s="5">
        <f>Data!M892</f>
        <v>0</v>
      </c>
      <c r="P892" s="5">
        <f>Data!P892</f>
        <v>0</v>
      </c>
      <c r="U892" s="5">
        <f>Data!U892</f>
        <v>0</v>
      </c>
      <c r="Y892" s="5">
        <f>Data!Y892</f>
        <v>0</v>
      </c>
    </row>
    <row r="893" spans="1:25" x14ac:dyDescent="0.5">
      <c r="A893">
        <f>Data!A893</f>
        <v>0</v>
      </c>
      <c r="J893" s="20">
        <f>Data!J893</f>
        <v>0</v>
      </c>
      <c r="K893" s="20">
        <f>Data!K893</f>
        <v>0</v>
      </c>
      <c r="L893" s="5">
        <f>Data!L893</f>
        <v>0</v>
      </c>
      <c r="M893" s="5">
        <f>Data!M893</f>
        <v>0</v>
      </c>
      <c r="P893" s="5">
        <f>Data!P893</f>
        <v>0</v>
      </c>
      <c r="U893" s="5">
        <f>Data!U893</f>
        <v>0</v>
      </c>
      <c r="Y893" s="5">
        <f>Data!Y893</f>
        <v>0</v>
      </c>
    </row>
    <row r="894" spans="1:25" x14ac:dyDescent="0.5">
      <c r="A894">
        <f>Data!A894</f>
        <v>0</v>
      </c>
      <c r="J894" s="20">
        <f>Data!J894</f>
        <v>0</v>
      </c>
      <c r="K894" s="20">
        <f>Data!K894</f>
        <v>0</v>
      </c>
      <c r="L894" s="5">
        <f>Data!L894</f>
        <v>0</v>
      </c>
      <c r="M894" s="5">
        <f>Data!M894</f>
        <v>0</v>
      </c>
      <c r="P894" s="5">
        <f>Data!P894</f>
        <v>0</v>
      </c>
      <c r="U894" s="5">
        <f>Data!U894</f>
        <v>0</v>
      </c>
      <c r="Y894" s="5">
        <f>Data!Y894</f>
        <v>0</v>
      </c>
    </row>
    <row r="895" spans="1:25" x14ac:dyDescent="0.5">
      <c r="A895">
        <f>Data!A895</f>
        <v>0</v>
      </c>
      <c r="J895" s="20">
        <f>Data!J895</f>
        <v>0</v>
      </c>
      <c r="K895" s="20">
        <f>Data!K895</f>
        <v>0</v>
      </c>
      <c r="L895" s="5">
        <f>Data!L895</f>
        <v>0</v>
      </c>
      <c r="M895" s="5">
        <f>Data!M895</f>
        <v>0</v>
      </c>
      <c r="P895" s="5">
        <f>Data!P895</f>
        <v>0</v>
      </c>
      <c r="U895" s="5">
        <f>Data!U895</f>
        <v>0</v>
      </c>
      <c r="Y895" s="5">
        <f>Data!Y895</f>
        <v>0</v>
      </c>
    </row>
    <row r="896" spans="1:25" x14ac:dyDescent="0.5">
      <c r="A896">
        <f>Data!A896</f>
        <v>0</v>
      </c>
      <c r="J896" s="20">
        <f>Data!J896</f>
        <v>0</v>
      </c>
      <c r="K896" s="20">
        <f>Data!K896</f>
        <v>0</v>
      </c>
      <c r="L896" s="5">
        <f>Data!L896</f>
        <v>0</v>
      </c>
      <c r="M896" s="5">
        <f>Data!M896</f>
        <v>0</v>
      </c>
      <c r="P896" s="5">
        <f>Data!P896</f>
        <v>0</v>
      </c>
      <c r="U896" s="5">
        <f>Data!U896</f>
        <v>0</v>
      </c>
      <c r="Y896" s="5">
        <f>Data!Y896</f>
        <v>0</v>
      </c>
    </row>
    <row r="897" spans="1:25" x14ac:dyDescent="0.5">
      <c r="A897">
        <f>Data!A897</f>
        <v>0</v>
      </c>
      <c r="J897" s="20">
        <f>Data!J897</f>
        <v>0</v>
      </c>
      <c r="K897" s="20">
        <f>Data!K897</f>
        <v>0</v>
      </c>
      <c r="L897" s="5">
        <f>Data!L897</f>
        <v>0</v>
      </c>
      <c r="M897" s="5">
        <f>Data!M897</f>
        <v>0</v>
      </c>
      <c r="P897" s="5">
        <f>Data!P897</f>
        <v>0</v>
      </c>
      <c r="U897" s="5">
        <f>Data!U897</f>
        <v>0</v>
      </c>
      <c r="Y897" s="5">
        <f>Data!Y897</f>
        <v>0</v>
      </c>
    </row>
    <row r="898" spans="1:25" x14ac:dyDescent="0.5">
      <c r="A898">
        <f>Data!A898</f>
        <v>0</v>
      </c>
      <c r="J898" s="20">
        <f>Data!J898</f>
        <v>0</v>
      </c>
      <c r="K898" s="20">
        <f>Data!K898</f>
        <v>0</v>
      </c>
      <c r="L898" s="5">
        <f>Data!L898</f>
        <v>0</v>
      </c>
      <c r="M898" s="5">
        <f>Data!M898</f>
        <v>0</v>
      </c>
      <c r="P898" s="5">
        <f>Data!P898</f>
        <v>0</v>
      </c>
      <c r="U898" s="5">
        <f>Data!U898</f>
        <v>0</v>
      </c>
      <c r="Y898" s="5">
        <f>Data!Y898</f>
        <v>0</v>
      </c>
    </row>
    <row r="899" spans="1:25" x14ac:dyDescent="0.5">
      <c r="A899">
        <f>Data!A899</f>
        <v>0</v>
      </c>
      <c r="J899" s="20">
        <f>Data!J899</f>
        <v>0</v>
      </c>
      <c r="K899" s="20">
        <f>Data!K899</f>
        <v>0</v>
      </c>
      <c r="L899" s="5">
        <f>Data!L899</f>
        <v>0</v>
      </c>
      <c r="M899" s="5">
        <f>Data!M899</f>
        <v>0</v>
      </c>
      <c r="P899" s="5">
        <f>Data!P899</f>
        <v>0</v>
      </c>
      <c r="U899" s="5">
        <f>Data!U899</f>
        <v>0</v>
      </c>
      <c r="Y899" s="5">
        <f>Data!Y899</f>
        <v>0</v>
      </c>
    </row>
    <row r="900" spans="1:25" x14ac:dyDescent="0.5">
      <c r="A900">
        <f>Data!A900</f>
        <v>0</v>
      </c>
      <c r="J900" s="20">
        <f>Data!J900</f>
        <v>0</v>
      </c>
      <c r="K900" s="20">
        <f>Data!K900</f>
        <v>0</v>
      </c>
      <c r="L900" s="5">
        <f>Data!L900</f>
        <v>0</v>
      </c>
      <c r="M900" s="5">
        <f>Data!M900</f>
        <v>0</v>
      </c>
      <c r="P900" s="5">
        <f>Data!P900</f>
        <v>0</v>
      </c>
      <c r="U900" s="5">
        <f>Data!U900</f>
        <v>0</v>
      </c>
      <c r="Y900" s="5">
        <f>Data!Y900</f>
        <v>0</v>
      </c>
    </row>
    <row r="901" spans="1:25" x14ac:dyDescent="0.5">
      <c r="A901">
        <f>Data!A901</f>
        <v>0</v>
      </c>
      <c r="J901" s="20">
        <f>Data!J901</f>
        <v>0</v>
      </c>
      <c r="K901" s="20">
        <f>Data!K901</f>
        <v>0</v>
      </c>
      <c r="L901" s="5">
        <f>Data!L901</f>
        <v>0</v>
      </c>
      <c r="M901" s="5">
        <f>Data!M901</f>
        <v>0</v>
      </c>
      <c r="P901" s="5">
        <f>Data!P901</f>
        <v>0</v>
      </c>
      <c r="U901" s="5">
        <f>Data!U901</f>
        <v>0</v>
      </c>
      <c r="Y901" s="5">
        <f>Data!Y901</f>
        <v>0</v>
      </c>
    </row>
    <row r="902" spans="1:25" x14ac:dyDescent="0.5">
      <c r="A902">
        <f>Data!A902</f>
        <v>0</v>
      </c>
      <c r="J902" s="20">
        <f>Data!J902</f>
        <v>0</v>
      </c>
      <c r="K902" s="20">
        <f>Data!K902</f>
        <v>0</v>
      </c>
      <c r="L902" s="5">
        <f>Data!L902</f>
        <v>0</v>
      </c>
      <c r="M902" s="5">
        <f>Data!M902</f>
        <v>0</v>
      </c>
      <c r="P902" s="5">
        <f>Data!P902</f>
        <v>0</v>
      </c>
      <c r="U902" s="5">
        <f>Data!U902</f>
        <v>0</v>
      </c>
      <c r="Y902" s="5">
        <f>Data!Y902</f>
        <v>0</v>
      </c>
    </row>
    <row r="903" spans="1:25" x14ac:dyDescent="0.5">
      <c r="A903">
        <f>Data!A903</f>
        <v>0</v>
      </c>
      <c r="J903" s="20">
        <f>Data!J903</f>
        <v>0</v>
      </c>
      <c r="K903" s="20">
        <f>Data!K903</f>
        <v>0</v>
      </c>
      <c r="L903" s="5">
        <f>Data!L903</f>
        <v>0</v>
      </c>
      <c r="M903" s="5">
        <f>Data!M903</f>
        <v>0</v>
      </c>
      <c r="P903" s="5">
        <f>Data!P903</f>
        <v>0</v>
      </c>
      <c r="U903" s="5">
        <f>Data!U903</f>
        <v>0</v>
      </c>
      <c r="Y903" s="5">
        <f>Data!Y903</f>
        <v>0</v>
      </c>
    </row>
    <row r="904" spans="1:25" x14ac:dyDescent="0.5">
      <c r="A904">
        <f>Data!A904</f>
        <v>0</v>
      </c>
      <c r="J904" s="20">
        <f>Data!J904</f>
        <v>0</v>
      </c>
      <c r="K904" s="20">
        <f>Data!K904</f>
        <v>0</v>
      </c>
      <c r="L904" s="5">
        <f>Data!L904</f>
        <v>0</v>
      </c>
      <c r="M904" s="5">
        <f>Data!M904</f>
        <v>0</v>
      </c>
      <c r="P904" s="5">
        <f>Data!P904</f>
        <v>0</v>
      </c>
      <c r="U904" s="5">
        <f>Data!U904</f>
        <v>0</v>
      </c>
      <c r="Y904" s="5">
        <f>Data!Y904</f>
        <v>0</v>
      </c>
    </row>
    <row r="905" spans="1:25" x14ac:dyDescent="0.5">
      <c r="A905">
        <f>Data!A905</f>
        <v>0</v>
      </c>
      <c r="J905" s="20">
        <f>Data!J905</f>
        <v>0</v>
      </c>
      <c r="K905" s="20">
        <f>Data!K905</f>
        <v>0</v>
      </c>
      <c r="L905" s="5">
        <f>Data!L905</f>
        <v>0</v>
      </c>
      <c r="M905" s="5">
        <f>Data!M905</f>
        <v>0</v>
      </c>
      <c r="P905" s="5">
        <f>Data!P905</f>
        <v>0</v>
      </c>
      <c r="U905" s="5">
        <f>Data!U905</f>
        <v>0</v>
      </c>
      <c r="Y905" s="5">
        <f>Data!Y905</f>
        <v>0</v>
      </c>
    </row>
    <row r="906" spans="1:25" x14ac:dyDescent="0.5">
      <c r="A906">
        <f>Data!A906</f>
        <v>0</v>
      </c>
      <c r="J906" s="20">
        <f>Data!J906</f>
        <v>0</v>
      </c>
      <c r="K906" s="20">
        <f>Data!K906</f>
        <v>0</v>
      </c>
      <c r="L906" s="5">
        <f>Data!L906</f>
        <v>0</v>
      </c>
      <c r="M906" s="5">
        <f>Data!M906</f>
        <v>0</v>
      </c>
      <c r="P906" s="5">
        <f>Data!P906</f>
        <v>0</v>
      </c>
      <c r="U906" s="5">
        <f>Data!U906</f>
        <v>0</v>
      </c>
      <c r="Y906" s="5">
        <f>Data!Y906</f>
        <v>0</v>
      </c>
    </row>
    <row r="907" spans="1:25" x14ac:dyDescent="0.5">
      <c r="A907">
        <f>Data!A907</f>
        <v>0</v>
      </c>
      <c r="J907" s="20">
        <f>Data!J907</f>
        <v>0</v>
      </c>
      <c r="K907" s="20">
        <f>Data!K907</f>
        <v>0</v>
      </c>
      <c r="L907" s="5">
        <f>Data!L907</f>
        <v>0</v>
      </c>
      <c r="M907" s="5">
        <f>Data!M907</f>
        <v>0</v>
      </c>
      <c r="P907" s="5">
        <f>Data!P907</f>
        <v>0</v>
      </c>
      <c r="U907" s="5">
        <f>Data!U907</f>
        <v>0</v>
      </c>
      <c r="Y907" s="5">
        <f>Data!Y907</f>
        <v>0</v>
      </c>
    </row>
    <row r="908" spans="1:25" x14ac:dyDescent="0.5">
      <c r="A908">
        <f>Data!A908</f>
        <v>0</v>
      </c>
      <c r="J908" s="20">
        <f>Data!J908</f>
        <v>0</v>
      </c>
      <c r="K908" s="20">
        <f>Data!K908</f>
        <v>0</v>
      </c>
      <c r="L908" s="5">
        <f>Data!L908</f>
        <v>0</v>
      </c>
      <c r="M908" s="5">
        <f>Data!M908</f>
        <v>0</v>
      </c>
      <c r="P908" s="5">
        <f>Data!P908</f>
        <v>0</v>
      </c>
      <c r="U908" s="5">
        <f>Data!U908</f>
        <v>0</v>
      </c>
      <c r="Y908" s="5">
        <f>Data!Y908</f>
        <v>0</v>
      </c>
    </row>
    <row r="909" spans="1:25" x14ac:dyDescent="0.5">
      <c r="A909">
        <f>Data!A909</f>
        <v>0</v>
      </c>
      <c r="J909" s="20">
        <f>Data!J909</f>
        <v>0</v>
      </c>
      <c r="K909" s="20">
        <f>Data!K909</f>
        <v>0</v>
      </c>
      <c r="L909" s="5">
        <f>Data!L909</f>
        <v>0</v>
      </c>
      <c r="M909" s="5">
        <f>Data!M909</f>
        <v>0</v>
      </c>
      <c r="P909" s="5">
        <f>Data!P909</f>
        <v>0</v>
      </c>
      <c r="U909" s="5">
        <f>Data!U909</f>
        <v>0</v>
      </c>
      <c r="Y909" s="5">
        <f>Data!Y909</f>
        <v>0</v>
      </c>
    </row>
    <row r="910" spans="1:25" x14ac:dyDescent="0.5">
      <c r="A910">
        <f>Data!A910</f>
        <v>0</v>
      </c>
      <c r="J910" s="20">
        <f>Data!J910</f>
        <v>0</v>
      </c>
      <c r="K910" s="20">
        <f>Data!K910</f>
        <v>0</v>
      </c>
      <c r="L910" s="5">
        <f>Data!L910</f>
        <v>0</v>
      </c>
      <c r="M910" s="5">
        <f>Data!M910</f>
        <v>0</v>
      </c>
      <c r="P910" s="5">
        <f>Data!P910</f>
        <v>0</v>
      </c>
      <c r="U910" s="5">
        <f>Data!U910</f>
        <v>0</v>
      </c>
      <c r="Y910" s="5">
        <f>Data!Y910</f>
        <v>0</v>
      </c>
    </row>
    <row r="911" spans="1:25" x14ac:dyDescent="0.5">
      <c r="A911">
        <f>Data!A911</f>
        <v>0</v>
      </c>
      <c r="J911" s="20">
        <f>Data!J911</f>
        <v>0</v>
      </c>
      <c r="K911" s="20">
        <f>Data!K911</f>
        <v>0</v>
      </c>
      <c r="L911" s="5">
        <f>Data!L911</f>
        <v>0</v>
      </c>
      <c r="M911" s="5">
        <f>Data!M911</f>
        <v>0</v>
      </c>
      <c r="P911" s="5">
        <f>Data!P911</f>
        <v>0</v>
      </c>
      <c r="U911" s="5">
        <f>Data!U911</f>
        <v>0</v>
      </c>
      <c r="Y911" s="5">
        <f>Data!Y911</f>
        <v>0</v>
      </c>
    </row>
    <row r="912" spans="1:25" x14ac:dyDescent="0.5">
      <c r="A912">
        <f>Data!A912</f>
        <v>0</v>
      </c>
      <c r="J912" s="20">
        <f>Data!J912</f>
        <v>0</v>
      </c>
      <c r="K912" s="20">
        <f>Data!K912</f>
        <v>0</v>
      </c>
      <c r="L912" s="5">
        <f>Data!L912</f>
        <v>0</v>
      </c>
      <c r="M912" s="5">
        <f>Data!M912</f>
        <v>0</v>
      </c>
      <c r="P912" s="5">
        <f>Data!P912</f>
        <v>0</v>
      </c>
      <c r="U912" s="5">
        <f>Data!U912</f>
        <v>0</v>
      </c>
      <c r="Y912" s="5">
        <f>Data!Y912</f>
        <v>0</v>
      </c>
    </row>
    <row r="913" spans="1:25" x14ac:dyDescent="0.5">
      <c r="A913">
        <f>Data!A913</f>
        <v>0</v>
      </c>
      <c r="J913" s="20">
        <f>Data!J913</f>
        <v>0</v>
      </c>
      <c r="K913" s="20">
        <f>Data!K913</f>
        <v>0</v>
      </c>
      <c r="L913" s="5">
        <f>Data!L913</f>
        <v>0</v>
      </c>
      <c r="M913" s="5">
        <f>Data!M913</f>
        <v>0</v>
      </c>
      <c r="P913" s="5">
        <f>Data!P913</f>
        <v>0</v>
      </c>
      <c r="U913" s="5">
        <f>Data!U913</f>
        <v>0</v>
      </c>
      <c r="Y913" s="5">
        <f>Data!Y913</f>
        <v>0</v>
      </c>
    </row>
    <row r="914" spans="1:25" x14ac:dyDescent="0.5">
      <c r="A914">
        <f>Data!A914</f>
        <v>0</v>
      </c>
      <c r="J914" s="20">
        <f>Data!J914</f>
        <v>0</v>
      </c>
      <c r="K914" s="20">
        <f>Data!K914</f>
        <v>0</v>
      </c>
      <c r="L914" s="5">
        <f>Data!L914</f>
        <v>0</v>
      </c>
      <c r="M914" s="5">
        <f>Data!M914</f>
        <v>0</v>
      </c>
      <c r="P914" s="5">
        <f>Data!P914</f>
        <v>0</v>
      </c>
      <c r="U914" s="5">
        <f>Data!U914</f>
        <v>0</v>
      </c>
      <c r="Y914" s="5">
        <f>Data!Y914</f>
        <v>0</v>
      </c>
    </row>
    <row r="915" spans="1:25" x14ac:dyDescent="0.5">
      <c r="A915">
        <f>Data!A915</f>
        <v>0</v>
      </c>
      <c r="J915" s="20">
        <f>Data!J915</f>
        <v>0</v>
      </c>
      <c r="K915" s="20">
        <f>Data!K915</f>
        <v>0</v>
      </c>
      <c r="L915" s="5">
        <f>Data!L915</f>
        <v>0</v>
      </c>
      <c r="M915" s="5">
        <f>Data!M915</f>
        <v>0</v>
      </c>
      <c r="P915" s="5">
        <f>Data!P915</f>
        <v>0</v>
      </c>
      <c r="U915" s="5">
        <f>Data!U915</f>
        <v>0</v>
      </c>
      <c r="Y915" s="5">
        <f>Data!Y915</f>
        <v>0</v>
      </c>
    </row>
    <row r="916" spans="1:25" x14ac:dyDescent="0.5">
      <c r="A916">
        <f>Data!A916</f>
        <v>0</v>
      </c>
      <c r="J916" s="20">
        <f>Data!J916</f>
        <v>0</v>
      </c>
      <c r="K916" s="20">
        <f>Data!K916</f>
        <v>0</v>
      </c>
      <c r="L916" s="5">
        <f>Data!L916</f>
        <v>0</v>
      </c>
      <c r="M916" s="5">
        <f>Data!M916</f>
        <v>0</v>
      </c>
      <c r="P916" s="5">
        <f>Data!P916</f>
        <v>0</v>
      </c>
      <c r="U916" s="5">
        <f>Data!U916</f>
        <v>0</v>
      </c>
      <c r="Y916" s="5">
        <f>Data!Y916</f>
        <v>0</v>
      </c>
    </row>
    <row r="917" spans="1:25" x14ac:dyDescent="0.5">
      <c r="A917">
        <f>Data!A917</f>
        <v>0</v>
      </c>
      <c r="J917" s="20">
        <f>Data!J917</f>
        <v>0</v>
      </c>
      <c r="K917" s="20">
        <f>Data!K917</f>
        <v>0</v>
      </c>
      <c r="L917" s="5">
        <f>Data!L917</f>
        <v>0</v>
      </c>
      <c r="M917" s="5">
        <f>Data!M917</f>
        <v>0</v>
      </c>
      <c r="P917" s="5">
        <f>Data!P917</f>
        <v>0</v>
      </c>
      <c r="U917" s="5">
        <f>Data!U917</f>
        <v>0</v>
      </c>
      <c r="Y917" s="5">
        <f>Data!Y917</f>
        <v>0</v>
      </c>
    </row>
    <row r="918" spans="1:25" x14ac:dyDescent="0.5">
      <c r="A918">
        <f>Data!A918</f>
        <v>0</v>
      </c>
      <c r="J918" s="20">
        <f>Data!J918</f>
        <v>0</v>
      </c>
      <c r="K918" s="20">
        <f>Data!K918</f>
        <v>0</v>
      </c>
      <c r="L918" s="5">
        <f>Data!L918</f>
        <v>0</v>
      </c>
      <c r="M918" s="5">
        <f>Data!M918</f>
        <v>0</v>
      </c>
      <c r="P918" s="5">
        <f>Data!P918</f>
        <v>0</v>
      </c>
      <c r="U918" s="5">
        <f>Data!U918</f>
        <v>0</v>
      </c>
      <c r="Y918" s="5">
        <f>Data!Y918</f>
        <v>0</v>
      </c>
    </row>
    <row r="919" spans="1:25" x14ac:dyDescent="0.5">
      <c r="A919">
        <f>Data!A919</f>
        <v>0</v>
      </c>
      <c r="J919" s="20">
        <f>Data!J919</f>
        <v>0</v>
      </c>
      <c r="K919" s="20">
        <f>Data!K919</f>
        <v>0</v>
      </c>
      <c r="L919" s="5">
        <f>Data!L919</f>
        <v>0</v>
      </c>
      <c r="M919" s="5">
        <f>Data!M919</f>
        <v>0</v>
      </c>
      <c r="P919" s="5">
        <f>Data!P919</f>
        <v>0</v>
      </c>
      <c r="U919" s="5">
        <f>Data!U919</f>
        <v>0</v>
      </c>
      <c r="Y919" s="5">
        <f>Data!Y919</f>
        <v>0</v>
      </c>
    </row>
    <row r="920" spans="1:25" x14ac:dyDescent="0.5">
      <c r="A920">
        <f>Data!A920</f>
        <v>0</v>
      </c>
      <c r="J920" s="20">
        <f>Data!J920</f>
        <v>0</v>
      </c>
      <c r="K920" s="20">
        <f>Data!K920</f>
        <v>0</v>
      </c>
      <c r="L920" s="5">
        <f>Data!L920</f>
        <v>0</v>
      </c>
      <c r="M920" s="5">
        <f>Data!M920</f>
        <v>0</v>
      </c>
      <c r="P920" s="5">
        <f>Data!P920</f>
        <v>0</v>
      </c>
      <c r="U920" s="5">
        <f>Data!U920</f>
        <v>0</v>
      </c>
      <c r="Y920" s="5">
        <f>Data!Y920</f>
        <v>0</v>
      </c>
    </row>
    <row r="921" spans="1:25" x14ac:dyDescent="0.5">
      <c r="A921">
        <f>Data!A921</f>
        <v>0</v>
      </c>
      <c r="J921" s="20">
        <f>Data!J921</f>
        <v>0</v>
      </c>
      <c r="K921" s="20">
        <f>Data!K921</f>
        <v>0</v>
      </c>
      <c r="L921" s="5">
        <f>Data!L921</f>
        <v>0</v>
      </c>
      <c r="M921" s="5">
        <f>Data!M921</f>
        <v>0</v>
      </c>
      <c r="P921" s="5">
        <f>Data!P921</f>
        <v>0</v>
      </c>
      <c r="U921" s="5">
        <f>Data!U921</f>
        <v>0</v>
      </c>
      <c r="Y921" s="5">
        <f>Data!Y921</f>
        <v>0</v>
      </c>
    </row>
    <row r="922" spans="1:25" x14ac:dyDescent="0.5">
      <c r="A922">
        <f>Data!A922</f>
        <v>0</v>
      </c>
      <c r="J922" s="20">
        <f>Data!J922</f>
        <v>0</v>
      </c>
      <c r="K922" s="20">
        <f>Data!K922</f>
        <v>0</v>
      </c>
      <c r="L922" s="5">
        <f>Data!L922</f>
        <v>0</v>
      </c>
      <c r="M922" s="5">
        <f>Data!M922</f>
        <v>0</v>
      </c>
      <c r="P922" s="5">
        <f>Data!P922</f>
        <v>0</v>
      </c>
      <c r="U922" s="5">
        <f>Data!U922</f>
        <v>0</v>
      </c>
      <c r="Y922" s="5">
        <f>Data!Y922</f>
        <v>0</v>
      </c>
    </row>
    <row r="923" spans="1:25" x14ac:dyDescent="0.5">
      <c r="A923">
        <f>Data!A923</f>
        <v>0</v>
      </c>
      <c r="J923" s="20">
        <f>Data!J923</f>
        <v>0</v>
      </c>
      <c r="K923" s="20">
        <f>Data!K923</f>
        <v>0</v>
      </c>
      <c r="L923" s="5">
        <f>Data!L923</f>
        <v>0</v>
      </c>
      <c r="M923" s="5">
        <f>Data!M923</f>
        <v>0</v>
      </c>
      <c r="P923" s="5">
        <f>Data!P923</f>
        <v>0</v>
      </c>
      <c r="U923" s="5">
        <f>Data!U923</f>
        <v>0</v>
      </c>
      <c r="Y923" s="5">
        <f>Data!Y923</f>
        <v>0</v>
      </c>
    </row>
    <row r="924" spans="1:25" x14ac:dyDescent="0.5">
      <c r="A924">
        <f>Data!A924</f>
        <v>0</v>
      </c>
      <c r="J924" s="20">
        <f>Data!J924</f>
        <v>0</v>
      </c>
      <c r="K924" s="20">
        <f>Data!K924</f>
        <v>0</v>
      </c>
      <c r="L924" s="5">
        <f>Data!L924</f>
        <v>0</v>
      </c>
      <c r="M924" s="5">
        <f>Data!M924</f>
        <v>0</v>
      </c>
      <c r="P924" s="5">
        <f>Data!P924</f>
        <v>0</v>
      </c>
      <c r="U924" s="5">
        <f>Data!U924</f>
        <v>0</v>
      </c>
      <c r="Y924" s="5">
        <f>Data!Y924</f>
        <v>0</v>
      </c>
    </row>
    <row r="925" spans="1:25" x14ac:dyDescent="0.5">
      <c r="A925">
        <f>Data!A925</f>
        <v>0</v>
      </c>
      <c r="J925" s="20">
        <f>Data!J925</f>
        <v>0</v>
      </c>
      <c r="K925" s="20">
        <f>Data!K925</f>
        <v>0</v>
      </c>
      <c r="L925" s="5">
        <f>Data!L925</f>
        <v>0</v>
      </c>
      <c r="M925" s="5">
        <f>Data!M925</f>
        <v>0</v>
      </c>
      <c r="P925" s="5">
        <f>Data!P925</f>
        <v>0</v>
      </c>
      <c r="U925" s="5">
        <f>Data!U925</f>
        <v>0</v>
      </c>
      <c r="Y925" s="5">
        <f>Data!Y925</f>
        <v>0</v>
      </c>
    </row>
    <row r="926" spans="1:25" x14ac:dyDescent="0.5">
      <c r="A926">
        <f>Data!A926</f>
        <v>0</v>
      </c>
      <c r="J926" s="20">
        <f>Data!J926</f>
        <v>0</v>
      </c>
      <c r="K926" s="20">
        <f>Data!K926</f>
        <v>0</v>
      </c>
      <c r="L926" s="5">
        <f>Data!L926</f>
        <v>0</v>
      </c>
      <c r="M926" s="5">
        <f>Data!M926</f>
        <v>0</v>
      </c>
      <c r="P926" s="5">
        <f>Data!P926</f>
        <v>0</v>
      </c>
      <c r="U926" s="5">
        <f>Data!U926</f>
        <v>0</v>
      </c>
      <c r="Y926" s="5">
        <f>Data!Y926</f>
        <v>0</v>
      </c>
    </row>
    <row r="927" spans="1:25" x14ac:dyDescent="0.5">
      <c r="A927">
        <f>Data!A927</f>
        <v>0</v>
      </c>
      <c r="J927" s="20">
        <f>Data!J927</f>
        <v>0</v>
      </c>
      <c r="K927" s="20">
        <f>Data!K927</f>
        <v>0</v>
      </c>
      <c r="L927" s="5">
        <f>Data!L927</f>
        <v>0</v>
      </c>
      <c r="M927" s="5">
        <f>Data!M927</f>
        <v>0</v>
      </c>
      <c r="P927" s="5">
        <f>Data!P927</f>
        <v>0</v>
      </c>
      <c r="U927" s="5">
        <f>Data!U927</f>
        <v>0</v>
      </c>
      <c r="Y927" s="5">
        <f>Data!Y927</f>
        <v>0</v>
      </c>
    </row>
    <row r="928" spans="1:25" x14ac:dyDescent="0.5">
      <c r="A928">
        <f>Data!A928</f>
        <v>0</v>
      </c>
      <c r="J928" s="20">
        <f>Data!J928</f>
        <v>0</v>
      </c>
      <c r="K928" s="20">
        <f>Data!K928</f>
        <v>0</v>
      </c>
      <c r="L928" s="5">
        <f>Data!L928</f>
        <v>0</v>
      </c>
      <c r="M928" s="5">
        <f>Data!M928</f>
        <v>0</v>
      </c>
      <c r="P928" s="5">
        <f>Data!P928</f>
        <v>0</v>
      </c>
      <c r="U928" s="5">
        <f>Data!U928</f>
        <v>0</v>
      </c>
      <c r="Y928" s="5">
        <f>Data!Y928</f>
        <v>0</v>
      </c>
    </row>
    <row r="929" spans="1:25" x14ac:dyDescent="0.5">
      <c r="A929">
        <f>Data!A929</f>
        <v>0</v>
      </c>
      <c r="J929" s="20">
        <f>Data!J929</f>
        <v>0</v>
      </c>
      <c r="K929" s="20">
        <f>Data!K929</f>
        <v>0</v>
      </c>
      <c r="L929" s="5">
        <f>Data!L929</f>
        <v>0</v>
      </c>
      <c r="M929" s="5">
        <f>Data!M929</f>
        <v>0</v>
      </c>
      <c r="P929" s="5">
        <f>Data!P929</f>
        <v>0</v>
      </c>
      <c r="U929" s="5">
        <f>Data!U929</f>
        <v>0</v>
      </c>
      <c r="Y929" s="5">
        <f>Data!Y929</f>
        <v>0</v>
      </c>
    </row>
    <row r="930" spans="1:25" x14ac:dyDescent="0.5">
      <c r="A930">
        <f>Data!A930</f>
        <v>0</v>
      </c>
      <c r="J930" s="20">
        <f>Data!J930</f>
        <v>0</v>
      </c>
      <c r="K930" s="20">
        <f>Data!K930</f>
        <v>0</v>
      </c>
      <c r="L930" s="5">
        <f>Data!L930</f>
        <v>0</v>
      </c>
      <c r="M930" s="5">
        <f>Data!M930</f>
        <v>0</v>
      </c>
      <c r="P930" s="5">
        <f>Data!P930</f>
        <v>0</v>
      </c>
      <c r="U930" s="5">
        <f>Data!U930</f>
        <v>0</v>
      </c>
      <c r="Y930" s="5">
        <f>Data!Y930</f>
        <v>0</v>
      </c>
    </row>
    <row r="931" spans="1:25" x14ac:dyDescent="0.5">
      <c r="A931">
        <f>Data!A931</f>
        <v>0</v>
      </c>
      <c r="J931" s="20">
        <f>Data!J931</f>
        <v>0</v>
      </c>
      <c r="K931" s="20">
        <f>Data!K931</f>
        <v>0</v>
      </c>
      <c r="L931" s="5">
        <f>Data!L931</f>
        <v>0</v>
      </c>
      <c r="M931" s="5">
        <f>Data!M931</f>
        <v>0</v>
      </c>
      <c r="P931" s="5">
        <f>Data!P931</f>
        <v>0</v>
      </c>
      <c r="U931" s="5">
        <f>Data!U931</f>
        <v>0</v>
      </c>
      <c r="Y931" s="5">
        <f>Data!Y931</f>
        <v>0</v>
      </c>
    </row>
    <row r="932" spans="1:25" x14ac:dyDescent="0.5">
      <c r="A932">
        <f>Data!A932</f>
        <v>0</v>
      </c>
      <c r="J932" s="20">
        <f>Data!J932</f>
        <v>0</v>
      </c>
      <c r="K932" s="20">
        <f>Data!K932</f>
        <v>0</v>
      </c>
      <c r="L932" s="5">
        <f>Data!L932</f>
        <v>0</v>
      </c>
      <c r="M932" s="5">
        <f>Data!M932</f>
        <v>0</v>
      </c>
      <c r="P932" s="5">
        <f>Data!P932</f>
        <v>0</v>
      </c>
      <c r="U932" s="5">
        <f>Data!U932</f>
        <v>0</v>
      </c>
      <c r="Y932" s="5">
        <f>Data!Y932</f>
        <v>0</v>
      </c>
    </row>
    <row r="933" spans="1:25" x14ac:dyDescent="0.5">
      <c r="A933">
        <f>Data!A933</f>
        <v>0</v>
      </c>
      <c r="J933" s="20">
        <f>Data!J933</f>
        <v>0</v>
      </c>
      <c r="K933" s="20">
        <f>Data!K933</f>
        <v>0</v>
      </c>
      <c r="L933" s="5">
        <f>Data!L933</f>
        <v>0</v>
      </c>
      <c r="M933" s="5">
        <f>Data!M933</f>
        <v>0</v>
      </c>
      <c r="P933" s="5">
        <f>Data!P933</f>
        <v>0</v>
      </c>
      <c r="U933" s="5">
        <f>Data!U933</f>
        <v>0</v>
      </c>
      <c r="Y933" s="5">
        <f>Data!Y933</f>
        <v>0</v>
      </c>
    </row>
    <row r="934" spans="1:25" x14ac:dyDescent="0.5">
      <c r="A934">
        <f>Data!A934</f>
        <v>0</v>
      </c>
      <c r="J934" s="20">
        <f>Data!J934</f>
        <v>0</v>
      </c>
      <c r="K934" s="20">
        <f>Data!K934</f>
        <v>0</v>
      </c>
      <c r="L934" s="5">
        <f>Data!L934</f>
        <v>0</v>
      </c>
      <c r="M934" s="5">
        <f>Data!M934</f>
        <v>0</v>
      </c>
      <c r="P934" s="5">
        <f>Data!P934</f>
        <v>0</v>
      </c>
      <c r="U934" s="5">
        <f>Data!U934</f>
        <v>0</v>
      </c>
      <c r="Y934" s="5">
        <f>Data!Y934</f>
        <v>0</v>
      </c>
    </row>
    <row r="935" spans="1:25" x14ac:dyDescent="0.5">
      <c r="A935">
        <f>Data!A935</f>
        <v>0</v>
      </c>
      <c r="J935" s="20">
        <f>Data!J935</f>
        <v>0</v>
      </c>
      <c r="K935" s="20">
        <f>Data!K935</f>
        <v>0</v>
      </c>
      <c r="L935" s="5">
        <f>Data!L935</f>
        <v>0</v>
      </c>
      <c r="M935" s="5">
        <f>Data!M935</f>
        <v>0</v>
      </c>
      <c r="P935" s="5">
        <f>Data!P935</f>
        <v>0</v>
      </c>
      <c r="U935" s="5">
        <f>Data!U935</f>
        <v>0</v>
      </c>
      <c r="Y935" s="5">
        <f>Data!Y935</f>
        <v>0</v>
      </c>
    </row>
    <row r="936" spans="1:25" x14ac:dyDescent="0.5">
      <c r="A936">
        <f>Data!A936</f>
        <v>0</v>
      </c>
      <c r="J936" s="20">
        <f>Data!J936</f>
        <v>0</v>
      </c>
      <c r="K936" s="20">
        <f>Data!K936</f>
        <v>0</v>
      </c>
      <c r="L936" s="5">
        <f>Data!L936</f>
        <v>0</v>
      </c>
      <c r="M936" s="5">
        <f>Data!M936</f>
        <v>0</v>
      </c>
      <c r="P936" s="5">
        <f>Data!P936</f>
        <v>0</v>
      </c>
      <c r="U936" s="5">
        <f>Data!U936</f>
        <v>0</v>
      </c>
      <c r="Y936" s="5">
        <f>Data!Y936</f>
        <v>0</v>
      </c>
    </row>
    <row r="937" spans="1:25" x14ac:dyDescent="0.5">
      <c r="A937">
        <f>Data!A937</f>
        <v>0</v>
      </c>
      <c r="J937" s="20">
        <f>Data!J937</f>
        <v>0</v>
      </c>
      <c r="K937" s="20">
        <f>Data!K937</f>
        <v>0</v>
      </c>
      <c r="L937" s="5">
        <f>Data!L937</f>
        <v>0</v>
      </c>
      <c r="M937" s="5">
        <f>Data!M937</f>
        <v>0</v>
      </c>
      <c r="P937" s="5">
        <f>Data!P937</f>
        <v>0</v>
      </c>
      <c r="U937" s="5">
        <f>Data!U937</f>
        <v>0</v>
      </c>
      <c r="Y937" s="5">
        <f>Data!Y937</f>
        <v>0</v>
      </c>
    </row>
    <row r="938" spans="1:25" x14ac:dyDescent="0.5">
      <c r="A938">
        <f>Data!A938</f>
        <v>0</v>
      </c>
      <c r="J938" s="20">
        <f>Data!J938</f>
        <v>0</v>
      </c>
      <c r="K938" s="20">
        <f>Data!K938</f>
        <v>0</v>
      </c>
      <c r="L938" s="5">
        <f>Data!L938</f>
        <v>0</v>
      </c>
      <c r="M938" s="5">
        <f>Data!M938</f>
        <v>0</v>
      </c>
      <c r="P938" s="5">
        <f>Data!P938</f>
        <v>0</v>
      </c>
      <c r="U938" s="5">
        <f>Data!U938</f>
        <v>0</v>
      </c>
      <c r="Y938" s="5">
        <f>Data!Y938</f>
        <v>0</v>
      </c>
    </row>
    <row r="939" spans="1:25" x14ac:dyDescent="0.5">
      <c r="A939">
        <f>Data!A939</f>
        <v>0</v>
      </c>
      <c r="J939" s="20">
        <f>Data!J939</f>
        <v>0</v>
      </c>
      <c r="K939" s="20">
        <f>Data!K939</f>
        <v>0</v>
      </c>
      <c r="L939" s="5">
        <f>Data!L939</f>
        <v>0</v>
      </c>
      <c r="M939" s="5">
        <f>Data!M939</f>
        <v>0</v>
      </c>
      <c r="P939" s="5">
        <f>Data!P939</f>
        <v>0</v>
      </c>
      <c r="U939" s="5">
        <f>Data!U939</f>
        <v>0</v>
      </c>
      <c r="Y939" s="5">
        <f>Data!Y939</f>
        <v>0</v>
      </c>
    </row>
    <row r="940" spans="1:25" x14ac:dyDescent="0.5">
      <c r="A940">
        <f>Data!A940</f>
        <v>0</v>
      </c>
      <c r="J940" s="20">
        <f>Data!J940</f>
        <v>0</v>
      </c>
      <c r="K940" s="20">
        <f>Data!K940</f>
        <v>0</v>
      </c>
      <c r="L940" s="5">
        <f>Data!L940</f>
        <v>0</v>
      </c>
      <c r="M940" s="5">
        <f>Data!M940</f>
        <v>0</v>
      </c>
      <c r="P940" s="5">
        <f>Data!P940</f>
        <v>0</v>
      </c>
      <c r="U940" s="5">
        <f>Data!U940</f>
        <v>0</v>
      </c>
      <c r="Y940" s="5">
        <f>Data!Y940</f>
        <v>0</v>
      </c>
    </row>
    <row r="941" spans="1:25" x14ac:dyDescent="0.5">
      <c r="A941">
        <f>Data!A941</f>
        <v>0</v>
      </c>
      <c r="J941" s="20">
        <f>Data!J941</f>
        <v>0</v>
      </c>
      <c r="K941" s="20">
        <f>Data!K941</f>
        <v>0</v>
      </c>
      <c r="L941" s="5">
        <f>Data!L941</f>
        <v>0</v>
      </c>
      <c r="M941" s="5">
        <f>Data!M941</f>
        <v>0</v>
      </c>
      <c r="P941" s="5">
        <f>Data!P941</f>
        <v>0</v>
      </c>
      <c r="U941" s="5">
        <f>Data!U941</f>
        <v>0</v>
      </c>
      <c r="Y941" s="5">
        <f>Data!Y941</f>
        <v>0</v>
      </c>
    </row>
    <row r="942" spans="1:25" x14ac:dyDescent="0.5">
      <c r="A942">
        <f>Data!A942</f>
        <v>0</v>
      </c>
      <c r="J942" s="20">
        <f>Data!J942</f>
        <v>0</v>
      </c>
      <c r="K942" s="20">
        <f>Data!K942</f>
        <v>0</v>
      </c>
      <c r="L942" s="5">
        <f>Data!L942</f>
        <v>0</v>
      </c>
      <c r="M942" s="5">
        <f>Data!M942</f>
        <v>0</v>
      </c>
      <c r="P942" s="5">
        <f>Data!P942</f>
        <v>0</v>
      </c>
      <c r="U942" s="5">
        <f>Data!U942</f>
        <v>0</v>
      </c>
      <c r="Y942" s="5">
        <f>Data!Y942</f>
        <v>0</v>
      </c>
    </row>
    <row r="943" spans="1:25" x14ac:dyDescent="0.5">
      <c r="A943">
        <f>Data!A943</f>
        <v>0</v>
      </c>
      <c r="J943" s="20">
        <f>Data!J943</f>
        <v>0</v>
      </c>
      <c r="K943" s="20">
        <f>Data!K943</f>
        <v>0</v>
      </c>
      <c r="L943" s="5">
        <f>Data!L943</f>
        <v>0</v>
      </c>
      <c r="M943" s="5">
        <f>Data!M943</f>
        <v>0</v>
      </c>
      <c r="P943" s="5">
        <f>Data!P943</f>
        <v>0</v>
      </c>
      <c r="U943" s="5">
        <f>Data!U943</f>
        <v>0</v>
      </c>
      <c r="Y943" s="5">
        <f>Data!Y943</f>
        <v>0</v>
      </c>
    </row>
    <row r="944" spans="1:25" x14ac:dyDescent="0.5">
      <c r="A944">
        <f>Data!A944</f>
        <v>0</v>
      </c>
      <c r="J944" s="20">
        <f>Data!J944</f>
        <v>0</v>
      </c>
      <c r="K944" s="20">
        <f>Data!K944</f>
        <v>0</v>
      </c>
      <c r="L944" s="5">
        <f>Data!L944</f>
        <v>0</v>
      </c>
      <c r="M944" s="5">
        <f>Data!M944</f>
        <v>0</v>
      </c>
      <c r="P944" s="5">
        <f>Data!P944</f>
        <v>0</v>
      </c>
      <c r="U944" s="5">
        <f>Data!U944</f>
        <v>0</v>
      </c>
      <c r="Y944" s="5">
        <f>Data!Y944</f>
        <v>0</v>
      </c>
    </row>
    <row r="945" spans="1:25" x14ac:dyDescent="0.5">
      <c r="A945">
        <f>Data!A945</f>
        <v>0</v>
      </c>
      <c r="J945" s="20">
        <f>Data!J945</f>
        <v>0</v>
      </c>
      <c r="K945" s="20">
        <f>Data!K945</f>
        <v>0</v>
      </c>
      <c r="L945" s="5">
        <f>Data!L945</f>
        <v>0</v>
      </c>
      <c r="M945" s="5">
        <f>Data!M945</f>
        <v>0</v>
      </c>
      <c r="P945" s="5">
        <f>Data!P945</f>
        <v>0</v>
      </c>
      <c r="U945" s="5">
        <f>Data!U945</f>
        <v>0</v>
      </c>
      <c r="Y945" s="5">
        <f>Data!Y945</f>
        <v>0</v>
      </c>
    </row>
    <row r="946" spans="1:25" x14ac:dyDescent="0.5">
      <c r="A946">
        <f>Data!A946</f>
        <v>0</v>
      </c>
      <c r="J946" s="20">
        <f>Data!J946</f>
        <v>0</v>
      </c>
      <c r="K946" s="20">
        <f>Data!K946</f>
        <v>0</v>
      </c>
      <c r="L946" s="5">
        <f>Data!L946</f>
        <v>0</v>
      </c>
      <c r="M946" s="5">
        <f>Data!M946</f>
        <v>0</v>
      </c>
      <c r="P946" s="5">
        <f>Data!P946</f>
        <v>0</v>
      </c>
      <c r="U946" s="5">
        <f>Data!U946</f>
        <v>0</v>
      </c>
      <c r="Y946" s="5">
        <f>Data!Y946</f>
        <v>0</v>
      </c>
    </row>
    <row r="947" spans="1:25" x14ac:dyDescent="0.5">
      <c r="A947">
        <f>Data!A947</f>
        <v>0</v>
      </c>
      <c r="J947" s="20">
        <f>Data!J947</f>
        <v>0</v>
      </c>
      <c r="K947" s="20">
        <f>Data!K947</f>
        <v>0</v>
      </c>
      <c r="L947" s="5">
        <f>Data!L947</f>
        <v>0</v>
      </c>
      <c r="M947" s="5">
        <f>Data!M947</f>
        <v>0</v>
      </c>
      <c r="P947" s="5">
        <f>Data!P947</f>
        <v>0</v>
      </c>
      <c r="U947" s="5">
        <f>Data!U947</f>
        <v>0</v>
      </c>
      <c r="Y947" s="5">
        <f>Data!Y947</f>
        <v>0</v>
      </c>
    </row>
    <row r="948" spans="1:25" x14ac:dyDescent="0.5">
      <c r="A948">
        <f>Data!A948</f>
        <v>0</v>
      </c>
      <c r="J948" s="20">
        <f>Data!J948</f>
        <v>0</v>
      </c>
      <c r="K948" s="20">
        <f>Data!K948</f>
        <v>0</v>
      </c>
      <c r="L948" s="5">
        <f>Data!L948</f>
        <v>0</v>
      </c>
      <c r="M948" s="5">
        <f>Data!M948</f>
        <v>0</v>
      </c>
      <c r="P948" s="5">
        <f>Data!P948</f>
        <v>0</v>
      </c>
      <c r="U948" s="5">
        <f>Data!U948</f>
        <v>0</v>
      </c>
      <c r="Y948" s="5">
        <f>Data!Y948</f>
        <v>0</v>
      </c>
    </row>
    <row r="949" spans="1:25" x14ac:dyDescent="0.5">
      <c r="A949">
        <f>Data!A949</f>
        <v>0</v>
      </c>
      <c r="J949" s="20">
        <f>Data!J949</f>
        <v>0</v>
      </c>
      <c r="K949" s="20">
        <f>Data!K949</f>
        <v>0</v>
      </c>
      <c r="L949" s="5">
        <f>Data!L949</f>
        <v>0</v>
      </c>
      <c r="M949" s="5">
        <f>Data!M949</f>
        <v>0</v>
      </c>
      <c r="P949" s="5">
        <f>Data!P949</f>
        <v>0</v>
      </c>
      <c r="U949" s="5">
        <f>Data!U949</f>
        <v>0</v>
      </c>
      <c r="Y949" s="5">
        <f>Data!Y949</f>
        <v>0</v>
      </c>
    </row>
    <row r="950" spans="1:25" x14ac:dyDescent="0.5">
      <c r="A950">
        <f>Data!A950</f>
        <v>0</v>
      </c>
      <c r="J950" s="20">
        <f>Data!J950</f>
        <v>0</v>
      </c>
      <c r="K950" s="20">
        <f>Data!K950</f>
        <v>0</v>
      </c>
      <c r="L950" s="5">
        <f>Data!L950</f>
        <v>0</v>
      </c>
      <c r="M950" s="5">
        <f>Data!M950</f>
        <v>0</v>
      </c>
      <c r="P950" s="5">
        <f>Data!P950</f>
        <v>0</v>
      </c>
      <c r="U950" s="5">
        <f>Data!U950</f>
        <v>0</v>
      </c>
      <c r="Y950" s="5">
        <f>Data!Y950</f>
        <v>0</v>
      </c>
    </row>
    <row r="951" spans="1:25" x14ac:dyDescent="0.5">
      <c r="A951">
        <f>Data!A951</f>
        <v>0</v>
      </c>
      <c r="J951" s="20">
        <f>Data!J951</f>
        <v>0</v>
      </c>
      <c r="K951" s="20">
        <f>Data!K951</f>
        <v>0</v>
      </c>
      <c r="L951" s="5">
        <f>Data!L951</f>
        <v>0</v>
      </c>
      <c r="M951" s="5">
        <f>Data!M951</f>
        <v>0</v>
      </c>
      <c r="P951" s="5">
        <f>Data!P951</f>
        <v>0</v>
      </c>
      <c r="U951" s="5">
        <f>Data!U951</f>
        <v>0</v>
      </c>
      <c r="Y951" s="5">
        <f>Data!Y951</f>
        <v>0</v>
      </c>
    </row>
    <row r="952" spans="1:25" x14ac:dyDescent="0.5">
      <c r="A952">
        <f>Data!A952</f>
        <v>0</v>
      </c>
      <c r="J952" s="20">
        <f>Data!J952</f>
        <v>0</v>
      </c>
      <c r="K952" s="20">
        <f>Data!K952</f>
        <v>0</v>
      </c>
      <c r="L952" s="5">
        <f>Data!L952</f>
        <v>0</v>
      </c>
      <c r="M952" s="5">
        <f>Data!M952</f>
        <v>0</v>
      </c>
      <c r="P952" s="5">
        <f>Data!P952</f>
        <v>0</v>
      </c>
      <c r="U952" s="5">
        <f>Data!U952</f>
        <v>0</v>
      </c>
      <c r="Y952" s="5">
        <f>Data!Y952</f>
        <v>0</v>
      </c>
    </row>
    <row r="953" spans="1:25" x14ac:dyDescent="0.5">
      <c r="A953">
        <f>Data!A953</f>
        <v>0</v>
      </c>
      <c r="J953" s="20">
        <f>Data!J953</f>
        <v>0</v>
      </c>
      <c r="K953" s="20">
        <f>Data!K953</f>
        <v>0</v>
      </c>
      <c r="L953" s="5">
        <f>Data!L953</f>
        <v>0</v>
      </c>
      <c r="M953" s="5">
        <f>Data!M953</f>
        <v>0</v>
      </c>
      <c r="P953" s="5">
        <f>Data!P953</f>
        <v>0</v>
      </c>
      <c r="U953" s="5">
        <f>Data!U953</f>
        <v>0</v>
      </c>
      <c r="Y953" s="5">
        <f>Data!Y953</f>
        <v>0</v>
      </c>
    </row>
    <row r="954" spans="1:25" x14ac:dyDescent="0.5">
      <c r="A954">
        <f>Data!A954</f>
        <v>0</v>
      </c>
      <c r="J954" s="20">
        <f>Data!J954</f>
        <v>0</v>
      </c>
      <c r="K954" s="20">
        <f>Data!K954</f>
        <v>0</v>
      </c>
      <c r="L954" s="5">
        <f>Data!L954</f>
        <v>0</v>
      </c>
      <c r="M954" s="5">
        <f>Data!M954</f>
        <v>0</v>
      </c>
      <c r="P954" s="5">
        <f>Data!P954</f>
        <v>0</v>
      </c>
      <c r="U954" s="5">
        <f>Data!U954</f>
        <v>0</v>
      </c>
      <c r="Y954" s="5">
        <f>Data!Y954</f>
        <v>0</v>
      </c>
    </row>
    <row r="955" spans="1:25" x14ac:dyDescent="0.5">
      <c r="A955">
        <f>Data!A955</f>
        <v>0</v>
      </c>
      <c r="J955" s="20">
        <f>Data!J955</f>
        <v>0</v>
      </c>
      <c r="K955" s="20">
        <f>Data!K955</f>
        <v>0</v>
      </c>
      <c r="L955" s="5">
        <f>Data!L955</f>
        <v>0</v>
      </c>
      <c r="M955" s="5">
        <f>Data!M955</f>
        <v>0</v>
      </c>
      <c r="P955" s="5">
        <f>Data!P955</f>
        <v>0</v>
      </c>
      <c r="U955" s="5">
        <f>Data!U955</f>
        <v>0</v>
      </c>
      <c r="Y955" s="5">
        <f>Data!Y955</f>
        <v>0</v>
      </c>
    </row>
    <row r="956" spans="1:25" x14ac:dyDescent="0.5">
      <c r="A956">
        <f>Data!A956</f>
        <v>0</v>
      </c>
      <c r="J956" s="20">
        <f>Data!J956</f>
        <v>0</v>
      </c>
      <c r="K956" s="20">
        <f>Data!K956</f>
        <v>0</v>
      </c>
      <c r="L956" s="5">
        <f>Data!L956</f>
        <v>0</v>
      </c>
      <c r="M956" s="5">
        <f>Data!M956</f>
        <v>0</v>
      </c>
      <c r="P956" s="5">
        <f>Data!P956</f>
        <v>0</v>
      </c>
      <c r="U956" s="5">
        <f>Data!U956</f>
        <v>0</v>
      </c>
      <c r="Y956" s="5">
        <f>Data!Y956</f>
        <v>0</v>
      </c>
    </row>
    <row r="957" spans="1:25" x14ac:dyDescent="0.5">
      <c r="A957">
        <f>Data!A957</f>
        <v>0</v>
      </c>
      <c r="J957" s="20">
        <f>Data!J957</f>
        <v>0</v>
      </c>
      <c r="K957" s="20">
        <f>Data!K957</f>
        <v>0</v>
      </c>
      <c r="L957" s="5">
        <f>Data!L957</f>
        <v>0</v>
      </c>
      <c r="M957" s="5">
        <f>Data!M957</f>
        <v>0</v>
      </c>
      <c r="P957" s="5">
        <f>Data!P957</f>
        <v>0</v>
      </c>
      <c r="U957" s="5">
        <f>Data!U957</f>
        <v>0</v>
      </c>
      <c r="Y957" s="5">
        <f>Data!Y957</f>
        <v>0</v>
      </c>
    </row>
    <row r="958" spans="1:25" x14ac:dyDescent="0.5">
      <c r="A958">
        <f>Data!A958</f>
        <v>0</v>
      </c>
      <c r="J958" s="20">
        <f>Data!J958</f>
        <v>0</v>
      </c>
      <c r="K958" s="20">
        <f>Data!K958</f>
        <v>0</v>
      </c>
      <c r="L958" s="5">
        <f>Data!L958</f>
        <v>0</v>
      </c>
      <c r="M958" s="5">
        <f>Data!M958</f>
        <v>0</v>
      </c>
      <c r="P958" s="5">
        <f>Data!P958</f>
        <v>0</v>
      </c>
      <c r="U958" s="5">
        <f>Data!U958</f>
        <v>0</v>
      </c>
      <c r="Y958" s="5">
        <f>Data!Y958</f>
        <v>0</v>
      </c>
    </row>
    <row r="959" spans="1:25" x14ac:dyDescent="0.5">
      <c r="A959">
        <f>Data!A959</f>
        <v>0</v>
      </c>
      <c r="J959" s="20">
        <f>Data!J959</f>
        <v>0</v>
      </c>
      <c r="K959" s="20">
        <f>Data!K959</f>
        <v>0</v>
      </c>
      <c r="L959" s="5">
        <f>Data!L959</f>
        <v>0</v>
      </c>
      <c r="M959" s="5">
        <f>Data!M959</f>
        <v>0</v>
      </c>
      <c r="P959" s="5">
        <f>Data!P959</f>
        <v>0</v>
      </c>
      <c r="U959" s="5">
        <f>Data!U959</f>
        <v>0</v>
      </c>
      <c r="Y959" s="5">
        <f>Data!Y959</f>
        <v>0</v>
      </c>
    </row>
    <row r="960" spans="1:25" x14ac:dyDescent="0.5">
      <c r="A960">
        <f>Data!A960</f>
        <v>0</v>
      </c>
      <c r="J960" s="20">
        <f>Data!J960</f>
        <v>0</v>
      </c>
      <c r="K960" s="20">
        <f>Data!K960</f>
        <v>0</v>
      </c>
      <c r="L960" s="5">
        <f>Data!L960</f>
        <v>0</v>
      </c>
      <c r="M960" s="5">
        <f>Data!M960</f>
        <v>0</v>
      </c>
      <c r="P960" s="5">
        <f>Data!P960</f>
        <v>0</v>
      </c>
      <c r="U960" s="5">
        <f>Data!U960</f>
        <v>0</v>
      </c>
      <c r="Y960" s="5">
        <f>Data!Y960</f>
        <v>0</v>
      </c>
    </row>
    <row r="961" spans="1:25" x14ac:dyDescent="0.5">
      <c r="A961">
        <f>Data!A961</f>
        <v>0</v>
      </c>
      <c r="J961" s="20">
        <f>Data!J961</f>
        <v>0</v>
      </c>
      <c r="K961" s="20">
        <f>Data!K961</f>
        <v>0</v>
      </c>
      <c r="L961" s="5">
        <f>Data!L961</f>
        <v>0</v>
      </c>
      <c r="M961" s="5">
        <f>Data!M961</f>
        <v>0</v>
      </c>
      <c r="P961" s="5">
        <f>Data!P961</f>
        <v>0</v>
      </c>
      <c r="U961" s="5">
        <f>Data!U961</f>
        <v>0</v>
      </c>
      <c r="Y961" s="5">
        <f>Data!Y961</f>
        <v>0</v>
      </c>
    </row>
    <row r="962" spans="1:25" x14ac:dyDescent="0.5">
      <c r="A962">
        <f>Data!A962</f>
        <v>0</v>
      </c>
      <c r="J962" s="20">
        <f>Data!J962</f>
        <v>0</v>
      </c>
      <c r="K962" s="20">
        <f>Data!K962</f>
        <v>0</v>
      </c>
      <c r="L962" s="5">
        <f>Data!L962</f>
        <v>0</v>
      </c>
      <c r="M962" s="5">
        <f>Data!M962</f>
        <v>0</v>
      </c>
      <c r="P962" s="5">
        <f>Data!P962</f>
        <v>0</v>
      </c>
      <c r="U962" s="5">
        <f>Data!U962</f>
        <v>0</v>
      </c>
      <c r="Y962" s="5">
        <f>Data!Y962</f>
        <v>0</v>
      </c>
    </row>
    <row r="963" spans="1:25" x14ac:dyDescent="0.5">
      <c r="A963">
        <f>Data!A963</f>
        <v>0</v>
      </c>
      <c r="J963" s="20">
        <f>Data!J963</f>
        <v>0</v>
      </c>
      <c r="K963" s="20">
        <f>Data!K963</f>
        <v>0</v>
      </c>
      <c r="L963" s="5">
        <f>Data!L963</f>
        <v>0</v>
      </c>
      <c r="M963" s="5">
        <f>Data!M963</f>
        <v>0</v>
      </c>
      <c r="P963" s="5">
        <f>Data!P963</f>
        <v>0</v>
      </c>
      <c r="U963" s="5">
        <f>Data!U963</f>
        <v>0</v>
      </c>
      <c r="Y963" s="5">
        <f>Data!Y963</f>
        <v>0</v>
      </c>
    </row>
    <row r="964" spans="1:25" x14ac:dyDescent="0.5">
      <c r="A964">
        <f>Data!A964</f>
        <v>0</v>
      </c>
      <c r="J964" s="20">
        <f>Data!J964</f>
        <v>0</v>
      </c>
      <c r="K964" s="20">
        <f>Data!K964</f>
        <v>0</v>
      </c>
      <c r="L964" s="5">
        <f>Data!L964</f>
        <v>0</v>
      </c>
      <c r="M964" s="5">
        <f>Data!M964</f>
        <v>0</v>
      </c>
      <c r="P964" s="5">
        <f>Data!P964</f>
        <v>0</v>
      </c>
      <c r="U964" s="5">
        <f>Data!U964</f>
        <v>0</v>
      </c>
      <c r="Y964" s="5">
        <f>Data!Y964</f>
        <v>0</v>
      </c>
    </row>
    <row r="965" spans="1:25" x14ac:dyDescent="0.5">
      <c r="A965">
        <f>Data!A965</f>
        <v>0</v>
      </c>
      <c r="J965" s="20">
        <f>Data!J965</f>
        <v>0</v>
      </c>
      <c r="K965" s="20">
        <f>Data!K965</f>
        <v>0</v>
      </c>
      <c r="L965" s="5">
        <f>Data!L965</f>
        <v>0</v>
      </c>
      <c r="M965" s="5">
        <f>Data!M965</f>
        <v>0</v>
      </c>
      <c r="P965" s="5">
        <f>Data!P965</f>
        <v>0</v>
      </c>
      <c r="U965" s="5">
        <f>Data!U965</f>
        <v>0</v>
      </c>
      <c r="Y965" s="5">
        <f>Data!Y965</f>
        <v>0</v>
      </c>
    </row>
    <row r="966" spans="1:25" x14ac:dyDescent="0.5">
      <c r="A966">
        <f>Data!A966</f>
        <v>0</v>
      </c>
      <c r="J966" s="20">
        <f>Data!J966</f>
        <v>0</v>
      </c>
      <c r="K966" s="20">
        <f>Data!K966</f>
        <v>0</v>
      </c>
      <c r="L966" s="5">
        <f>Data!L966</f>
        <v>0</v>
      </c>
      <c r="M966" s="5">
        <f>Data!M966</f>
        <v>0</v>
      </c>
      <c r="P966" s="5">
        <f>Data!P966</f>
        <v>0</v>
      </c>
      <c r="U966" s="5">
        <f>Data!U966</f>
        <v>0</v>
      </c>
      <c r="Y966" s="5">
        <f>Data!Y966</f>
        <v>0</v>
      </c>
    </row>
    <row r="967" spans="1:25" x14ac:dyDescent="0.5">
      <c r="A967">
        <f>Data!A967</f>
        <v>0</v>
      </c>
      <c r="J967" s="20">
        <f>Data!J967</f>
        <v>0</v>
      </c>
      <c r="K967" s="20">
        <f>Data!K967</f>
        <v>0</v>
      </c>
      <c r="L967" s="5">
        <f>Data!L967</f>
        <v>0</v>
      </c>
      <c r="M967" s="5">
        <f>Data!M967</f>
        <v>0</v>
      </c>
      <c r="P967" s="5">
        <f>Data!P967</f>
        <v>0</v>
      </c>
      <c r="U967" s="5">
        <f>Data!U967</f>
        <v>0</v>
      </c>
      <c r="Y967" s="5">
        <f>Data!Y967</f>
        <v>0</v>
      </c>
    </row>
    <row r="968" spans="1:25" x14ac:dyDescent="0.5">
      <c r="A968">
        <f>Data!A968</f>
        <v>0</v>
      </c>
      <c r="J968" s="20">
        <f>Data!J968</f>
        <v>0</v>
      </c>
      <c r="K968" s="20">
        <f>Data!K968</f>
        <v>0</v>
      </c>
      <c r="L968" s="5">
        <f>Data!L968</f>
        <v>0</v>
      </c>
      <c r="M968" s="5">
        <f>Data!M968</f>
        <v>0</v>
      </c>
      <c r="P968" s="5">
        <f>Data!P968</f>
        <v>0</v>
      </c>
      <c r="U968" s="5">
        <f>Data!U968</f>
        <v>0</v>
      </c>
      <c r="Y968" s="5">
        <f>Data!Y968</f>
        <v>0</v>
      </c>
    </row>
    <row r="969" spans="1:25" x14ac:dyDescent="0.5">
      <c r="A969">
        <f>Data!A969</f>
        <v>0</v>
      </c>
      <c r="J969" s="20">
        <f>Data!J969</f>
        <v>0</v>
      </c>
      <c r="K969" s="20">
        <f>Data!K969</f>
        <v>0</v>
      </c>
      <c r="L969" s="5">
        <f>Data!L969</f>
        <v>0</v>
      </c>
      <c r="M969" s="5">
        <f>Data!M969</f>
        <v>0</v>
      </c>
      <c r="P969" s="5">
        <f>Data!P969</f>
        <v>0</v>
      </c>
      <c r="U969" s="5">
        <f>Data!U969</f>
        <v>0</v>
      </c>
      <c r="Y969" s="5">
        <f>Data!Y969</f>
        <v>0</v>
      </c>
    </row>
    <row r="970" spans="1:25" x14ac:dyDescent="0.5">
      <c r="A970">
        <f>Data!A970</f>
        <v>0</v>
      </c>
      <c r="J970" s="20">
        <f>Data!J970</f>
        <v>0</v>
      </c>
      <c r="K970" s="20">
        <f>Data!K970</f>
        <v>0</v>
      </c>
      <c r="L970" s="5">
        <f>Data!L970</f>
        <v>0</v>
      </c>
      <c r="M970" s="5">
        <f>Data!M970</f>
        <v>0</v>
      </c>
      <c r="P970" s="5">
        <f>Data!P970</f>
        <v>0</v>
      </c>
      <c r="U970" s="5">
        <f>Data!U970</f>
        <v>0</v>
      </c>
      <c r="Y970" s="5">
        <f>Data!Y970</f>
        <v>0</v>
      </c>
    </row>
    <row r="971" spans="1:25" x14ac:dyDescent="0.5">
      <c r="A971">
        <f>Data!A971</f>
        <v>0</v>
      </c>
      <c r="J971" s="20">
        <f>Data!J971</f>
        <v>0</v>
      </c>
      <c r="K971" s="20">
        <f>Data!K971</f>
        <v>0</v>
      </c>
      <c r="L971" s="5">
        <f>Data!L971</f>
        <v>0</v>
      </c>
      <c r="M971" s="5">
        <f>Data!M971</f>
        <v>0</v>
      </c>
      <c r="P971" s="5">
        <f>Data!P971</f>
        <v>0</v>
      </c>
      <c r="U971" s="5">
        <f>Data!U971</f>
        <v>0</v>
      </c>
      <c r="Y971" s="5">
        <f>Data!Y971</f>
        <v>0</v>
      </c>
    </row>
    <row r="972" spans="1:25" x14ac:dyDescent="0.5">
      <c r="A972">
        <f>Data!A972</f>
        <v>0</v>
      </c>
      <c r="J972" s="20">
        <f>Data!J972</f>
        <v>0</v>
      </c>
      <c r="K972" s="20">
        <f>Data!K972</f>
        <v>0</v>
      </c>
      <c r="L972" s="5">
        <f>Data!L972</f>
        <v>0</v>
      </c>
      <c r="M972" s="5">
        <f>Data!M972</f>
        <v>0</v>
      </c>
      <c r="P972" s="5">
        <f>Data!P972</f>
        <v>0</v>
      </c>
      <c r="U972" s="5">
        <f>Data!U972</f>
        <v>0</v>
      </c>
      <c r="Y972" s="5">
        <f>Data!Y972</f>
        <v>0</v>
      </c>
    </row>
    <row r="973" spans="1:25" x14ac:dyDescent="0.5">
      <c r="A973">
        <f>Data!A973</f>
        <v>0</v>
      </c>
      <c r="J973" s="20">
        <f>Data!J973</f>
        <v>0</v>
      </c>
      <c r="K973" s="20">
        <f>Data!K973</f>
        <v>0</v>
      </c>
      <c r="L973" s="5">
        <f>Data!L973</f>
        <v>0</v>
      </c>
      <c r="M973" s="5">
        <f>Data!M973</f>
        <v>0</v>
      </c>
      <c r="P973" s="5">
        <f>Data!P973</f>
        <v>0</v>
      </c>
      <c r="U973" s="5">
        <f>Data!U973</f>
        <v>0</v>
      </c>
      <c r="Y973" s="5">
        <f>Data!Y973</f>
        <v>0</v>
      </c>
    </row>
    <row r="974" spans="1:25" x14ac:dyDescent="0.5">
      <c r="A974">
        <f>Data!A974</f>
        <v>0</v>
      </c>
      <c r="J974" s="20">
        <f>Data!J974</f>
        <v>0</v>
      </c>
      <c r="K974" s="20">
        <f>Data!K974</f>
        <v>0</v>
      </c>
      <c r="L974" s="5">
        <f>Data!L974</f>
        <v>0</v>
      </c>
      <c r="M974" s="5">
        <f>Data!M974</f>
        <v>0</v>
      </c>
      <c r="P974" s="5">
        <f>Data!P974</f>
        <v>0</v>
      </c>
      <c r="U974" s="5">
        <f>Data!U974</f>
        <v>0</v>
      </c>
      <c r="Y974" s="5">
        <f>Data!Y974</f>
        <v>0</v>
      </c>
    </row>
    <row r="975" spans="1:25" x14ac:dyDescent="0.5">
      <c r="A975">
        <f>Data!A975</f>
        <v>0</v>
      </c>
      <c r="J975" s="20">
        <f>Data!J975</f>
        <v>0</v>
      </c>
      <c r="K975" s="20">
        <f>Data!K975</f>
        <v>0</v>
      </c>
      <c r="L975" s="5">
        <f>Data!L975</f>
        <v>0</v>
      </c>
      <c r="M975" s="5">
        <f>Data!M975</f>
        <v>0</v>
      </c>
      <c r="P975" s="5">
        <f>Data!P975</f>
        <v>0</v>
      </c>
      <c r="U975" s="5">
        <f>Data!U975</f>
        <v>0</v>
      </c>
      <c r="Y975" s="5">
        <f>Data!Y975</f>
        <v>0</v>
      </c>
    </row>
    <row r="976" spans="1:25" x14ac:dyDescent="0.5">
      <c r="A976">
        <f>Data!A976</f>
        <v>0</v>
      </c>
      <c r="J976" s="20">
        <f>Data!J976</f>
        <v>0</v>
      </c>
      <c r="K976" s="20">
        <f>Data!K976</f>
        <v>0</v>
      </c>
      <c r="L976" s="5">
        <f>Data!L976</f>
        <v>0</v>
      </c>
      <c r="M976" s="5">
        <f>Data!M976</f>
        <v>0</v>
      </c>
      <c r="P976" s="5">
        <f>Data!P976</f>
        <v>0</v>
      </c>
      <c r="U976" s="5">
        <f>Data!U976</f>
        <v>0</v>
      </c>
      <c r="Y976" s="5">
        <f>Data!Y976</f>
        <v>0</v>
      </c>
    </row>
    <row r="977" spans="1:25" x14ac:dyDescent="0.5">
      <c r="A977">
        <f>Data!A977</f>
        <v>0</v>
      </c>
      <c r="J977" s="20">
        <f>Data!J977</f>
        <v>0</v>
      </c>
      <c r="K977" s="20">
        <f>Data!K977</f>
        <v>0</v>
      </c>
      <c r="L977" s="5">
        <f>Data!L977</f>
        <v>0</v>
      </c>
      <c r="M977" s="5">
        <f>Data!M977</f>
        <v>0</v>
      </c>
      <c r="P977" s="5">
        <f>Data!P977</f>
        <v>0</v>
      </c>
      <c r="U977" s="5">
        <f>Data!U977</f>
        <v>0</v>
      </c>
      <c r="Y977" s="5">
        <f>Data!Y977</f>
        <v>0</v>
      </c>
    </row>
    <row r="978" spans="1:25" x14ac:dyDescent="0.5">
      <c r="A978">
        <f>Data!A978</f>
        <v>0</v>
      </c>
      <c r="J978" s="20">
        <f>Data!J978</f>
        <v>0</v>
      </c>
      <c r="K978" s="20">
        <f>Data!K978</f>
        <v>0</v>
      </c>
      <c r="L978" s="5">
        <f>Data!L978</f>
        <v>0</v>
      </c>
      <c r="M978" s="5">
        <f>Data!M978</f>
        <v>0</v>
      </c>
      <c r="P978" s="5">
        <f>Data!P978</f>
        <v>0</v>
      </c>
      <c r="U978" s="5">
        <f>Data!U978</f>
        <v>0</v>
      </c>
      <c r="Y978" s="5">
        <f>Data!Y978</f>
        <v>0</v>
      </c>
    </row>
    <row r="979" spans="1:25" x14ac:dyDescent="0.5">
      <c r="A979">
        <f>Data!A979</f>
        <v>0</v>
      </c>
      <c r="J979" s="20">
        <f>Data!J979</f>
        <v>0</v>
      </c>
      <c r="K979" s="20">
        <f>Data!K979</f>
        <v>0</v>
      </c>
      <c r="L979" s="5">
        <f>Data!L979</f>
        <v>0</v>
      </c>
      <c r="M979" s="5">
        <f>Data!M979</f>
        <v>0</v>
      </c>
      <c r="P979" s="5">
        <f>Data!P979</f>
        <v>0</v>
      </c>
      <c r="U979" s="5">
        <f>Data!U979</f>
        <v>0</v>
      </c>
      <c r="Y979" s="5">
        <f>Data!Y979</f>
        <v>0</v>
      </c>
    </row>
    <row r="980" spans="1:25" x14ac:dyDescent="0.5">
      <c r="A980">
        <f>Data!A980</f>
        <v>0</v>
      </c>
      <c r="J980" s="20">
        <f>Data!J980</f>
        <v>0</v>
      </c>
      <c r="K980" s="20">
        <f>Data!K980</f>
        <v>0</v>
      </c>
      <c r="L980" s="5">
        <f>Data!L980</f>
        <v>0</v>
      </c>
      <c r="M980" s="5">
        <f>Data!M980</f>
        <v>0</v>
      </c>
      <c r="P980" s="5">
        <f>Data!P980</f>
        <v>0</v>
      </c>
      <c r="U980" s="5">
        <f>Data!U980</f>
        <v>0</v>
      </c>
      <c r="Y980" s="5">
        <f>Data!Y980</f>
        <v>0</v>
      </c>
    </row>
    <row r="981" spans="1:25" x14ac:dyDescent="0.5">
      <c r="A981">
        <f>Data!A981</f>
        <v>0</v>
      </c>
      <c r="J981" s="20">
        <f>Data!J981</f>
        <v>0</v>
      </c>
      <c r="K981" s="20">
        <f>Data!K981</f>
        <v>0</v>
      </c>
      <c r="L981" s="5">
        <f>Data!L981</f>
        <v>0</v>
      </c>
      <c r="M981" s="5">
        <f>Data!M981</f>
        <v>0</v>
      </c>
      <c r="P981" s="5">
        <f>Data!P981</f>
        <v>0</v>
      </c>
      <c r="U981" s="5">
        <f>Data!U981</f>
        <v>0</v>
      </c>
      <c r="Y981" s="5">
        <f>Data!Y981</f>
        <v>0</v>
      </c>
    </row>
    <row r="982" spans="1:25" x14ac:dyDescent="0.5">
      <c r="A982">
        <f>Data!A982</f>
        <v>0</v>
      </c>
      <c r="J982" s="20">
        <f>Data!J982</f>
        <v>0</v>
      </c>
      <c r="K982" s="20">
        <f>Data!K982</f>
        <v>0</v>
      </c>
      <c r="L982" s="5">
        <f>Data!L982</f>
        <v>0</v>
      </c>
      <c r="M982" s="5">
        <f>Data!M982</f>
        <v>0</v>
      </c>
      <c r="P982" s="5">
        <f>Data!P982</f>
        <v>0</v>
      </c>
      <c r="U982" s="5">
        <f>Data!U982</f>
        <v>0</v>
      </c>
      <c r="Y982" s="5">
        <f>Data!Y982</f>
        <v>0</v>
      </c>
    </row>
    <row r="983" spans="1:25" x14ac:dyDescent="0.5">
      <c r="A983">
        <f>Data!A983</f>
        <v>0</v>
      </c>
      <c r="J983" s="20">
        <f>Data!J983</f>
        <v>0</v>
      </c>
      <c r="K983" s="20">
        <f>Data!K983</f>
        <v>0</v>
      </c>
      <c r="L983" s="5">
        <f>Data!L983</f>
        <v>0</v>
      </c>
      <c r="M983" s="5">
        <f>Data!M983</f>
        <v>0</v>
      </c>
      <c r="P983" s="5">
        <f>Data!P983</f>
        <v>0</v>
      </c>
      <c r="U983" s="5">
        <f>Data!U983</f>
        <v>0</v>
      </c>
      <c r="Y983" s="5">
        <f>Data!Y983</f>
        <v>0</v>
      </c>
    </row>
    <row r="984" spans="1:25" x14ac:dyDescent="0.5">
      <c r="A984">
        <f>Data!A984</f>
        <v>0</v>
      </c>
      <c r="J984" s="20">
        <f>Data!J984</f>
        <v>0</v>
      </c>
      <c r="K984" s="20">
        <f>Data!K984</f>
        <v>0</v>
      </c>
      <c r="L984" s="5">
        <f>Data!L984</f>
        <v>0</v>
      </c>
      <c r="M984" s="5">
        <f>Data!M984</f>
        <v>0</v>
      </c>
      <c r="P984" s="5">
        <f>Data!P984</f>
        <v>0</v>
      </c>
      <c r="U984" s="5">
        <f>Data!U984</f>
        <v>0</v>
      </c>
      <c r="Y984" s="5">
        <f>Data!Y984</f>
        <v>0</v>
      </c>
    </row>
    <row r="985" spans="1:25" x14ac:dyDescent="0.5">
      <c r="A985">
        <f>Data!A985</f>
        <v>0</v>
      </c>
      <c r="J985" s="20">
        <f>Data!J985</f>
        <v>0</v>
      </c>
      <c r="K985" s="20">
        <f>Data!K985</f>
        <v>0</v>
      </c>
      <c r="L985" s="5">
        <f>Data!L985</f>
        <v>0</v>
      </c>
      <c r="M985" s="5">
        <f>Data!M985</f>
        <v>0</v>
      </c>
      <c r="P985" s="5">
        <f>Data!P985</f>
        <v>0</v>
      </c>
      <c r="U985" s="5">
        <f>Data!U985</f>
        <v>0</v>
      </c>
      <c r="Y985" s="5">
        <f>Data!Y985</f>
        <v>0</v>
      </c>
    </row>
    <row r="986" spans="1:25" x14ac:dyDescent="0.5">
      <c r="A986">
        <f>Data!A986</f>
        <v>0</v>
      </c>
      <c r="J986" s="20">
        <f>Data!J986</f>
        <v>0</v>
      </c>
      <c r="K986" s="20">
        <f>Data!K986</f>
        <v>0</v>
      </c>
      <c r="L986" s="5">
        <f>Data!L986</f>
        <v>0</v>
      </c>
      <c r="M986" s="5">
        <f>Data!M986</f>
        <v>0</v>
      </c>
      <c r="P986" s="5">
        <f>Data!P986</f>
        <v>0</v>
      </c>
      <c r="U986" s="5">
        <f>Data!U986</f>
        <v>0</v>
      </c>
      <c r="Y986" s="5">
        <f>Data!Y986</f>
        <v>0</v>
      </c>
    </row>
    <row r="987" spans="1:25" x14ac:dyDescent="0.5">
      <c r="A987">
        <f>Data!A987</f>
        <v>0</v>
      </c>
      <c r="J987" s="20">
        <f>Data!J987</f>
        <v>0</v>
      </c>
      <c r="K987" s="20">
        <f>Data!K987</f>
        <v>0</v>
      </c>
      <c r="L987" s="5">
        <f>Data!L987</f>
        <v>0</v>
      </c>
      <c r="M987" s="5">
        <f>Data!M987</f>
        <v>0</v>
      </c>
      <c r="P987" s="5">
        <f>Data!P987</f>
        <v>0</v>
      </c>
      <c r="U987" s="5">
        <f>Data!U987</f>
        <v>0</v>
      </c>
      <c r="Y987" s="5">
        <f>Data!Y987</f>
        <v>0</v>
      </c>
    </row>
    <row r="988" spans="1:25" x14ac:dyDescent="0.5">
      <c r="A988">
        <f>Data!A988</f>
        <v>0</v>
      </c>
      <c r="J988" s="20">
        <f>Data!J988</f>
        <v>0</v>
      </c>
      <c r="K988" s="20">
        <f>Data!K988</f>
        <v>0</v>
      </c>
      <c r="L988" s="5">
        <f>Data!L988</f>
        <v>0</v>
      </c>
      <c r="M988" s="5">
        <f>Data!M988</f>
        <v>0</v>
      </c>
      <c r="P988" s="5">
        <f>Data!P988</f>
        <v>0</v>
      </c>
      <c r="U988" s="5">
        <f>Data!U988</f>
        <v>0</v>
      </c>
      <c r="Y988" s="5">
        <f>Data!Y988</f>
        <v>0</v>
      </c>
    </row>
    <row r="989" spans="1:25" x14ac:dyDescent="0.5">
      <c r="A989">
        <f>Data!A989</f>
        <v>0</v>
      </c>
      <c r="J989" s="20">
        <f>Data!J989</f>
        <v>0</v>
      </c>
      <c r="K989" s="20">
        <f>Data!K989</f>
        <v>0</v>
      </c>
      <c r="L989" s="5">
        <f>Data!L989</f>
        <v>0</v>
      </c>
      <c r="M989" s="5">
        <f>Data!M989</f>
        <v>0</v>
      </c>
      <c r="P989" s="5">
        <f>Data!P989</f>
        <v>0</v>
      </c>
      <c r="U989" s="5">
        <f>Data!U989</f>
        <v>0</v>
      </c>
      <c r="Y989" s="5">
        <f>Data!Y989</f>
        <v>0</v>
      </c>
    </row>
    <row r="990" spans="1:25" x14ac:dyDescent="0.5">
      <c r="A990">
        <f>Data!A990</f>
        <v>0</v>
      </c>
      <c r="J990" s="20">
        <f>Data!J990</f>
        <v>0</v>
      </c>
      <c r="K990" s="20">
        <f>Data!K990</f>
        <v>0</v>
      </c>
      <c r="L990" s="5">
        <f>Data!L990</f>
        <v>0</v>
      </c>
      <c r="M990" s="5">
        <f>Data!M990</f>
        <v>0</v>
      </c>
      <c r="P990" s="5">
        <f>Data!P990</f>
        <v>0</v>
      </c>
      <c r="U990" s="5">
        <f>Data!U990</f>
        <v>0</v>
      </c>
      <c r="Y990" s="5">
        <f>Data!Y990</f>
        <v>0</v>
      </c>
    </row>
    <row r="991" spans="1:25" x14ac:dyDescent="0.5">
      <c r="A991">
        <f>Data!A991</f>
        <v>0</v>
      </c>
      <c r="J991" s="20">
        <f>Data!J991</f>
        <v>0</v>
      </c>
      <c r="K991" s="20">
        <f>Data!K991</f>
        <v>0</v>
      </c>
      <c r="L991" s="5">
        <f>Data!L991</f>
        <v>0</v>
      </c>
      <c r="M991" s="5">
        <f>Data!M991</f>
        <v>0</v>
      </c>
      <c r="P991" s="5">
        <f>Data!P991</f>
        <v>0</v>
      </c>
      <c r="U991" s="5">
        <f>Data!U991</f>
        <v>0</v>
      </c>
      <c r="Y991" s="5">
        <f>Data!Y991</f>
        <v>0</v>
      </c>
    </row>
    <row r="992" spans="1:25" x14ac:dyDescent="0.5">
      <c r="A992">
        <f>Data!A992</f>
        <v>0</v>
      </c>
      <c r="J992" s="20">
        <f>Data!J992</f>
        <v>0</v>
      </c>
      <c r="K992" s="20">
        <f>Data!K992</f>
        <v>0</v>
      </c>
      <c r="L992" s="5">
        <f>Data!L992</f>
        <v>0</v>
      </c>
      <c r="M992" s="5">
        <f>Data!M992</f>
        <v>0</v>
      </c>
      <c r="P992" s="5">
        <f>Data!P992</f>
        <v>0</v>
      </c>
      <c r="U992" s="5">
        <f>Data!U992</f>
        <v>0</v>
      </c>
      <c r="Y992" s="5">
        <f>Data!Y992</f>
        <v>0</v>
      </c>
    </row>
    <row r="993" spans="1:25" x14ac:dyDescent="0.5">
      <c r="A993">
        <f>Data!A993</f>
        <v>0</v>
      </c>
      <c r="J993" s="20">
        <f>Data!J993</f>
        <v>0</v>
      </c>
      <c r="K993" s="20">
        <f>Data!K993</f>
        <v>0</v>
      </c>
      <c r="L993" s="5">
        <f>Data!L993</f>
        <v>0</v>
      </c>
      <c r="M993" s="5">
        <f>Data!M993</f>
        <v>0</v>
      </c>
      <c r="P993" s="5">
        <f>Data!P993</f>
        <v>0</v>
      </c>
      <c r="U993" s="5">
        <f>Data!U993</f>
        <v>0</v>
      </c>
      <c r="Y993" s="5">
        <f>Data!Y993</f>
        <v>0</v>
      </c>
    </row>
    <row r="994" spans="1:25" x14ac:dyDescent="0.5">
      <c r="A994">
        <f>Data!A994</f>
        <v>0</v>
      </c>
      <c r="J994" s="20">
        <f>Data!J994</f>
        <v>0</v>
      </c>
      <c r="K994" s="20">
        <f>Data!K994</f>
        <v>0</v>
      </c>
      <c r="L994" s="5">
        <f>Data!L994</f>
        <v>0</v>
      </c>
      <c r="M994" s="5">
        <f>Data!M994</f>
        <v>0</v>
      </c>
      <c r="P994" s="5">
        <f>Data!P994</f>
        <v>0</v>
      </c>
      <c r="U994" s="5">
        <f>Data!U994</f>
        <v>0</v>
      </c>
      <c r="Y994" s="5">
        <f>Data!Y994</f>
        <v>0</v>
      </c>
    </row>
    <row r="995" spans="1:25" x14ac:dyDescent="0.5">
      <c r="A995">
        <f>Data!A995</f>
        <v>0</v>
      </c>
      <c r="J995" s="20">
        <f>Data!J995</f>
        <v>0</v>
      </c>
      <c r="K995" s="20">
        <f>Data!K995</f>
        <v>0</v>
      </c>
      <c r="L995" s="5">
        <f>Data!L995</f>
        <v>0</v>
      </c>
      <c r="M995" s="5">
        <f>Data!M995</f>
        <v>0</v>
      </c>
      <c r="P995" s="5">
        <f>Data!P995</f>
        <v>0</v>
      </c>
      <c r="U995" s="5">
        <f>Data!U995</f>
        <v>0</v>
      </c>
      <c r="Y995" s="5">
        <f>Data!Y995</f>
        <v>0</v>
      </c>
    </row>
    <row r="996" spans="1:25" x14ac:dyDescent="0.5">
      <c r="A996">
        <f>Data!A996</f>
        <v>0</v>
      </c>
      <c r="J996" s="20">
        <f>Data!J996</f>
        <v>0</v>
      </c>
      <c r="K996" s="20">
        <f>Data!K996</f>
        <v>0</v>
      </c>
      <c r="L996" s="5">
        <f>Data!L996</f>
        <v>0</v>
      </c>
      <c r="M996" s="5">
        <f>Data!M996</f>
        <v>0</v>
      </c>
      <c r="P996" s="5">
        <f>Data!P996</f>
        <v>0</v>
      </c>
      <c r="U996" s="5">
        <f>Data!U996</f>
        <v>0</v>
      </c>
      <c r="Y996" s="5">
        <f>Data!Y996</f>
        <v>0</v>
      </c>
    </row>
    <row r="997" spans="1:25" x14ac:dyDescent="0.5">
      <c r="A997">
        <f>Data!A997</f>
        <v>0</v>
      </c>
      <c r="J997" s="20">
        <f>Data!J997</f>
        <v>0</v>
      </c>
      <c r="K997" s="20">
        <f>Data!K997</f>
        <v>0</v>
      </c>
      <c r="L997" s="5">
        <f>Data!L997</f>
        <v>0</v>
      </c>
      <c r="M997" s="5">
        <f>Data!M997</f>
        <v>0</v>
      </c>
      <c r="P997" s="5">
        <f>Data!P997</f>
        <v>0</v>
      </c>
      <c r="U997" s="5">
        <f>Data!U997</f>
        <v>0</v>
      </c>
      <c r="Y997" s="5">
        <f>Data!Y997</f>
        <v>0</v>
      </c>
    </row>
    <row r="998" spans="1:25" x14ac:dyDescent="0.5">
      <c r="A998">
        <f>Data!A998</f>
        <v>0</v>
      </c>
      <c r="J998" s="20">
        <f>Data!J998</f>
        <v>0</v>
      </c>
      <c r="K998" s="20">
        <f>Data!K998</f>
        <v>0</v>
      </c>
      <c r="L998" s="5">
        <f>Data!L998</f>
        <v>0</v>
      </c>
      <c r="M998" s="5">
        <f>Data!M998</f>
        <v>0</v>
      </c>
      <c r="P998" s="5">
        <f>Data!P998</f>
        <v>0</v>
      </c>
      <c r="U998" s="5">
        <f>Data!U998</f>
        <v>0</v>
      </c>
      <c r="Y998" s="5">
        <f>Data!Y998</f>
        <v>0</v>
      </c>
    </row>
    <row r="999" spans="1:25" x14ac:dyDescent="0.5">
      <c r="A999">
        <f>Data!A999</f>
        <v>0</v>
      </c>
      <c r="J999" s="20">
        <f>Data!J999</f>
        <v>0</v>
      </c>
      <c r="K999" s="20">
        <f>Data!K999</f>
        <v>0</v>
      </c>
      <c r="L999" s="5">
        <f>Data!L999</f>
        <v>0</v>
      </c>
      <c r="M999" s="5">
        <f>Data!M999</f>
        <v>0</v>
      </c>
      <c r="P999" s="5">
        <f>Data!P999</f>
        <v>0</v>
      </c>
      <c r="U999" s="5">
        <f>Data!U999</f>
        <v>0</v>
      </c>
      <c r="Y999" s="5">
        <f>Data!Y999</f>
        <v>0</v>
      </c>
    </row>
    <row r="1000" spans="1:25" x14ac:dyDescent="0.5">
      <c r="A1000">
        <f>Data!A1000</f>
        <v>0</v>
      </c>
      <c r="J1000" s="20">
        <f>Data!J1000</f>
        <v>0</v>
      </c>
      <c r="K1000" s="20">
        <f>Data!K1000</f>
        <v>0</v>
      </c>
      <c r="L1000" s="5">
        <f>Data!L1000</f>
        <v>0</v>
      </c>
      <c r="M1000" s="5">
        <f>Data!M1000</f>
        <v>0</v>
      </c>
      <c r="P1000" s="5">
        <f>Data!P1000</f>
        <v>0</v>
      </c>
      <c r="U1000" s="5">
        <f>Data!U1000</f>
        <v>0</v>
      </c>
      <c r="Y1000" s="5">
        <f>Data!Y1000</f>
        <v>0</v>
      </c>
    </row>
    <row r="1001" spans="1:25" x14ac:dyDescent="0.5">
      <c r="J1001" s="20"/>
      <c r="K1001" s="20"/>
      <c r="L1001" s="5">
        <f>Data!L1001</f>
        <v>0</v>
      </c>
      <c r="M1001" s="5"/>
      <c r="P1001" s="5"/>
      <c r="U1001" s="5"/>
    </row>
    <row r="1002" spans="1:25" x14ac:dyDescent="0.5">
      <c r="J1002" s="20"/>
      <c r="K1002" s="20"/>
      <c r="L1002" s="5">
        <f>Data!L1002</f>
        <v>0</v>
      </c>
      <c r="M1002" s="5"/>
      <c r="P1002" s="5"/>
      <c r="U1002" s="5"/>
    </row>
    <row r="1003" spans="1:25" x14ac:dyDescent="0.5">
      <c r="J1003" s="20"/>
      <c r="K1003" s="20"/>
      <c r="L1003" s="5">
        <f>Data!L1003</f>
        <v>0</v>
      </c>
      <c r="M1003" s="5"/>
      <c r="P1003" s="5"/>
      <c r="U1003" s="5"/>
    </row>
    <row r="1004" spans="1:25" x14ac:dyDescent="0.5">
      <c r="J1004" s="20"/>
      <c r="K1004" s="20"/>
      <c r="L1004" s="5">
        <f>Data!L1004</f>
        <v>0</v>
      </c>
      <c r="M1004" s="5"/>
      <c r="P1004" s="5"/>
      <c r="U1004" s="5"/>
    </row>
    <row r="1005" spans="1:25" x14ac:dyDescent="0.5">
      <c r="J1005" s="20"/>
      <c r="K1005" s="20"/>
      <c r="L1005" s="5">
        <f>Data!L1005</f>
        <v>0</v>
      </c>
      <c r="M1005" s="5"/>
      <c r="P1005" s="5"/>
      <c r="U1005" s="5"/>
    </row>
    <row r="1006" spans="1:25" x14ac:dyDescent="0.5">
      <c r="J1006" s="20"/>
      <c r="K1006" s="20"/>
      <c r="L1006" s="5">
        <f>Data!L1006</f>
        <v>0</v>
      </c>
      <c r="M1006" s="5"/>
      <c r="P1006" s="5"/>
      <c r="U1006" s="5"/>
    </row>
    <row r="1007" spans="1:25" x14ac:dyDescent="0.5">
      <c r="J1007" s="20"/>
      <c r="K1007" s="20"/>
      <c r="L1007" s="5">
        <f>Data!L1007</f>
        <v>0</v>
      </c>
      <c r="M1007" s="5"/>
      <c r="P1007" s="5"/>
      <c r="U1007" s="5"/>
    </row>
    <row r="1008" spans="1:25" x14ac:dyDescent="0.5">
      <c r="J1008" s="20"/>
      <c r="K1008" s="20"/>
      <c r="L1008" s="5">
        <f>Data!L1008</f>
        <v>0</v>
      </c>
      <c r="M1008" s="5"/>
      <c r="P1008" s="5"/>
      <c r="U1008" s="5"/>
    </row>
    <row r="1009" spans="10:21" x14ac:dyDescent="0.5">
      <c r="J1009" s="20"/>
      <c r="K1009" s="20"/>
      <c r="L1009" s="5">
        <f>Data!L1009</f>
        <v>0</v>
      </c>
      <c r="M1009" s="5"/>
      <c r="P1009" s="5"/>
      <c r="U1009" s="5"/>
    </row>
    <row r="1010" spans="10:21" x14ac:dyDescent="0.5">
      <c r="J1010" s="20"/>
      <c r="K1010" s="20"/>
      <c r="L1010" s="5">
        <f>Data!L1010</f>
        <v>0</v>
      </c>
      <c r="M1010" s="5"/>
      <c r="P1010" s="5"/>
      <c r="U1010" s="5"/>
    </row>
    <row r="1011" spans="10:21" x14ac:dyDescent="0.5">
      <c r="J1011" s="20"/>
      <c r="K1011" s="20"/>
      <c r="L1011" s="5">
        <f>Data!L1011</f>
        <v>0</v>
      </c>
      <c r="M1011" s="5"/>
      <c r="P1011" s="5"/>
      <c r="U1011" s="5"/>
    </row>
    <row r="1012" spans="10:21" x14ac:dyDescent="0.5">
      <c r="J1012" s="20"/>
      <c r="K1012" s="20"/>
      <c r="L1012" s="5">
        <f>Data!L1012</f>
        <v>0</v>
      </c>
      <c r="M1012" s="5"/>
      <c r="P1012" s="5"/>
      <c r="U1012" s="5"/>
    </row>
    <row r="1013" spans="10:21" x14ac:dyDescent="0.5">
      <c r="J1013" s="20"/>
      <c r="K1013" s="20"/>
      <c r="L1013" s="5">
        <f>Data!L1013</f>
        <v>0</v>
      </c>
      <c r="M1013" s="5"/>
      <c r="P1013" s="5"/>
      <c r="U1013" s="5"/>
    </row>
    <row r="1014" spans="10:21" x14ac:dyDescent="0.5">
      <c r="J1014" s="20"/>
      <c r="K1014" s="20"/>
      <c r="L1014" s="5">
        <f>Data!L1014</f>
        <v>0</v>
      </c>
      <c r="M1014" s="5"/>
      <c r="P1014" s="5"/>
      <c r="U1014" s="5"/>
    </row>
    <row r="1015" spans="10:21" x14ac:dyDescent="0.5">
      <c r="J1015" s="20"/>
      <c r="K1015" s="20"/>
      <c r="L1015" s="5">
        <f>Data!L1015</f>
        <v>0</v>
      </c>
      <c r="M1015" s="5"/>
      <c r="P1015" s="5"/>
      <c r="U1015" s="5"/>
    </row>
    <row r="1016" spans="10:21" x14ac:dyDescent="0.5">
      <c r="J1016" s="20"/>
      <c r="K1016" s="20"/>
      <c r="L1016" s="5">
        <f>Data!L1016</f>
        <v>0</v>
      </c>
      <c r="M1016" s="5"/>
      <c r="P1016" s="5"/>
      <c r="U1016" s="5"/>
    </row>
    <row r="1017" spans="10:21" x14ac:dyDescent="0.5">
      <c r="J1017" s="20"/>
      <c r="K1017" s="20"/>
      <c r="L1017" s="5">
        <f>Data!L1017</f>
        <v>0</v>
      </c>
      <c r="M1017" s="5"/>
      <c r="P1017" s="5"/>
      <c r="U1017" s="5"/>
    </row>
    <row r="1018" spans="10:21" x14ac:dyDescent="0.5">
      <c r="J1018" s="20"/>
      <c r="K1018" s="20"/>
      <c r="L1018" s="5">
        <f>Data!L1018</f>
        <v>0</v>
      </c>
      <c r="M1018" s="5"/>
      <c r="P1018" s="5"/>
      <c r="U1018" s="5"/>
    </row>
    <row r="1019" spans="10:21" x14ac:dyDescent="0.5">
      <c r="J1019" s="20"/>
      <c r="K1019" s="20"/>
      <c r="L1019" s="5">
        <f>Data!L1019</f>
        <v>0</v>
      </c>
      <c r="M1019" s="5"/>
      <c r="P1019" s="5"/>
      <c r="U1019" s="5"/>
    </row>
    <row r="1020" spans="10:21" x14ac:dyDescent="0.5">
      <c r="J1020" s="20"/>
      <c r="K1020" s="20"/>
      <c r="L1020" s="5">
        <f>Data!L1020</f>
        <v>0</v>
      </c>
      <c r="M1020" s="5"/>
      <c r="P1020" s="5"/>
      <c r="U1020" s="5"/>
    </row>
    <row r="1021" spans="10:21" x14ac:dyDescent="0.5">
      <c r="J1021" s="20"/>
      <c r="K1021" s="20"/>
      <c r="L1021" s="5">
        <f>Data!L1021</f>
        <v>0</v>
      </c>
      <c r="M1021" s="5"/>
      <c r="P1021" s="5"/>
      <c r="U1021" s="5"/>
    </row>
    <row r="1022" spans="10:21" x14ac:dyDescent="0.5">
      <c r="J1022" s="20"/>
      <c r="K1022" s="20"/>
      <c r="L1022" s="5">
        <f>Data!L1022</f>
        <v>0</v>
      </c>
      <c r="M1022" s="5"/>
      <c r="P1022" s="5"/>
      <c r="U1022" s="5"/>
    </row>
    <row r="1023" spans="10:21" x14ac:dyDescent="0.5">
      <c r="J1023" s="20"/>
      <c r="K1023" s="20"/>
      <c r="L1023" s="5">
        <f>Data!L1023</f>
        <v>0</v>
      </c>
      <c r="M1023" s="5"/>
      <c r="P1023" s="5"/>
      <c r="U1023" s="5"/>
    </row>
    <row r="1024" spans="10:21" x14ac:dyDescent="0.5">
      <c r="J1024" s="20"/>
      <c r="K1024" s="20"/>
      <c r="L1024" s="5">
        <f>Data!L1024</f>
        <v>0</v>
      </c>
      <c r="M1024" s="5"/>
      <c r="P1024" s="5"/>
      <c r="U1024" s="5"/>
    </row>
    <row r="1025" spans="10:21" x14ac:dyDescent="0.5">
      <c r="J1025" s="20"/>
      <c r="K1025" s="20"/>
      <c r="L1025" s="5">
        <f>Data!L1025</f>
        <v>0</v>
      </c>
      <c r="M1025" s="5"/>
      <c r="P1025" s="5"/>
      <c r="U1025" s="5"/>
    </row>
    <row r="1026" spans="10:21" x14ac:dyDescent="0.5">
      <c r="J1026" s="20"/>
      <c r="K1026" s="20"/>
      <c r="L1026" s="5">
        <f>Data!L1026</f>
        <v>0</v>
      </c>
      <c r="M1026" s="5"/>
      <c r="P1026" s="5"/>
      <c r="U1026" s="5"/>
    </row>
    <row r="1027" spans="10:21" x14ac:dyDescent="0.5">
      <c r="J1027" s="20"/>
      <c r="K1027" s="20"/>
      <c r="L1027" s="5">
        <f>Data!L1027</f>
        <v>0</v>
      </c>
      <c r="M1027" s="5"/>
      <c r="P1027" s="5"/>
      <c r="U1027" s="5"/>
    </row>
    <row r="1028" spans="10:21" x14ac:dyDescent="0.5">
      <c r="J1028" s="20"/>
      <c r="K1028" s="20"/>
      <c r="L1028" s="5">
        <f>Data!L1028</f>
        <v>0</v>
      </c>
      <c r="M1028" s="5"/>
      <c r="P1028" s="5"/>
      <c r="U1028" s="5"/>
    </row>
    <row r="1029" spans="10:21" x14ac:dyDescent="0.5">
      <c r="J1029" s="20"/>
      <c r="K1029" s="20"/>
      <c r="L1029" s="5">
        <f>Data!L1029</f>
        <v>0</v>
      </c>
      <c r="M1029" s="5"/>
      <c r="P1029" s="5"/>
      <c r="U1029" s="5"/>
    </row>
    <row r="1030" spans="10:21" x14ac:dyDescent="0.5">
      <c r="J1030" s="20"/>
      <c r="K1030" s="20"/>
      <c r="L1030" s="5">
        <f>Data!L1030</f>
        <v>0</v>
      </c>
      <c r="M1030" s="5"/>
      <c r="P1030" s="5"/>
      <c r="U1030" s="5"/>
    </row>
    <row r="1031" spans="10:21" x14ac:dyDescent="0.5">
      <c r="J1031" s="20"/>
      <c r="K1031" s="20"/>
      <c r="L1031" s="5">
        <f>Data!L1031</f>
        <v>0</v>
      </c>
      <c r="M1031" s="5"/>
      <c r="P1031" s="5"/>
      <c r="U1031" s="5"/>
    </row>
    <row r="1032" spans="10:21" x14ac:dyDescent="0.5">
      <c r="J1032" s="20"/>
      <c r="K1032" s="20"/>
      <c r="L1032" s="5">
        <f>Data!L1032</f>
        <v>0</v>
      </c>
      <c r="M1032" s="5"/>
      <c r="P1032" s="5"/>
      <c r="U1032" s="5"/>
    </row>
    <row r="1033" spans="10:21" x14ac:dyDescent="0.5">
      <c r="J1033" s="20"/>
      <c r="K1033" s="20"/>
      <c r="L1033" s="5">
        <f>Data!L1033</f>
        <v>0</v>
      </c>
      <c r="M1033" s="5"/>
      <c r="P1033" s="5"/>
      <c r="U1033" s="5"/>
    </row>
    <row r="1034" spans="10:21" x14ac:dyDescent="0.5">
      <c r="J1034" s="20"/>
      <c r="K1034" s="20"/>
      <c r="L1034" s="5">
        <f>Data!L1034</f>
        <v>0</v>
      </c>
      <c r="M1034" s="5"/>
      <c r="P1034" s="5"/>
      <c r="U1034" s="5"/>
    </row>
    <row r="1035" spans="10:21" x14ac:dyDescent="0.5">
      <c r="J1035" s="20"/>
      <c r="K1035" s="20"/>
      <c r="L1035" s="5">
        <f>Data!L1035</f>
        <v>0</v>
      </c>
      <c r="M1035" s="5"/>
      <c r="P1035" s="5"/>
      <c r="U1035" s="5"/>
    </row>
    <row r="1036" spans="10:21" x14ac:dyDescent="0.5">
      <c r="J1036" s="20"/>
      <c r="K1036" s="20"/>
      <c r="L1036" s="5">
        <f>Data!L1036</f>
        <v>0</v>
      </c>
      <c r="M1036" s="5"/>
      <c r="P1036" s="5"/>
      <c r="U1036" s="5"/>
    </row>
    <row r="1037" spans="10:21" x14ac:dyDescent="0.5">
      <c r="J1037" s="20"/>
      <c r="K1037" s="20"/>
      <c r="L1037" s="5">
        <f>Data!L1037</f>
        <v>0</v>
      </c>
      <c r="M1037" s="5"/>
      <c r="P1037" s="5"/>
      <c r="U1037" s="5"/>
    </row>
    <row r="1038" spans="10:21" x14ac:dyDescent="0.5">
      <c r="J1038" s="20"/>
      <c r="K1038" s="20"/>
      <c r="L1038" s="5">
        <f>Data!L1038</f>
        <v>0</v>
      </c>
      <c r="M1038" s="5"/>
      <c r="P1038" s="5"/>
      <c r="U1038" s="5"/>
    </row>
    <row r="1039" spans="10:21" x14ac:dyDescent="0.5">
      <c r="J1039" s="20"/>
      <c r="K1039" s="20"/>
      <c r="L1039" s="5">
        <f>Data!L1039</f>
        <v>0</v>
      </c>
      <c r="M1039" s="5"/>
      <c r="P1039" s="5"/>
      <c r="U1039" s="5"/>
    </row>
    <row r="1040" spans="10:21" x14ac:dyDescent="0.5">
      <c r="J1040" s="20"/>
      <c r="K1040" s="20"/>
      <c r="L1040" s="5">
        <f>Data!L1040</f>
        <v>0</v>
      </c>
      <c r="M1040" s="5"/>
      <c r="P1040" s="5"/>
      <c r="U1040" s="5"/>
    </row>
    <row r="1041" spans="10:21" x14ac:dyDescent="0.5">
      <c r="J1041" s="20"/>
      <c r="K1041" s="20"/>
      <c r="L1041" s="5">
        <f>Data!L1041</f>
        <v>0</v>
      </c>
      <c r="M1041" s="5"/>
      <c r="P1041" s="5"/>
      <c r="U1041" s="5"/>
    </row>
    <row r="1042" spans="10:21" x14ac:dyDescent="0.5">
      <c r="J1042" s="20"/>
      <c r="K1042" s="20"/>
      <c r="L1042" s="5">
        <f>Data!L1042</f>
        <v>0</v>
      </c>
      <c r="M1042" s="5"/>
      <c r="P1042" s="5"/>
      <c r="U1042" s="5"/>
    </row>
    <row r="1043" spans="10:21" x14ac:dyDescent="0.5">
      <c r="J1043" s="20"/>
      <c r="K1043" s="20"/>
      <c r="L1043" s="5">
        <f>Data!L1043</f>
        <v>0</v>
      </c>
      <c r="M1043" s="5"/>
      <c r="P1043" s="5"/>
      <c r="U1043" s="5"/>
    </row>
    <row r="1044" spans="10:21" x14ac:dyDescent="0.5">
      <c r="J1044" s="20"/>
      <c r="K1044" s="20"/>
      <c r="L1044" s="5">
        <f>Data!L1044</f>
        <v>0</v>
      </c>
      <c r="M1044" s="5"/>
      <c r="P1044" s="5"/>
      <c r="U1044" s="5"/>
    </row>
    <row r="1045" spans="10:21" x14ac:dyDescent="0.5">
      <c r="J1045" s="20"/>
      <c r="K1045" s="20"/>
      <c r="L1045" s="5">
        <f>Data!L1045</f>
        <v>0</v>
      </c>
      <c r="M1045" s="5"/>
      <c r="P1045" s="5"/>
      <c r="U1045" s="5"/>
    </row>
    <row r="1046" spans="10:21" x14ac:dyDescent="0.5">
      <c r="J1046" s="20"/>
      <c r="K1046" s="20"/>
      <c r="L1046" s="5">
        <f>Data!L1046</f>
        <v>0</v>
      </c>
      <c r="M1046" s="5"/>
      <c r="P1046" s="5"/>
      <c r="U1046" s="5"/>
    </row>
    <row r="1047" spans="10:21" x14ac:dyDescent="0.5">
      <c r="J1047" s="20"/>
      <c r="K1047" s="20"/>
      <c r="L1047" s="5">
        <f>Data!L1047</f>
        <v>0</v>
      </c>
      <c r="M1047" s="5"/>
      <c r="P1047" s="5"/>
      <c r="U1047" s="5"/>
    </row>
    <row r="1048" spans="10:21" x14ac:dyDescent="0.5">
      <c r="J1048" s="20"/>
      <c r="K1048" s="20"/>
      <c r="L1048" s="5">
        <f>Data!L1048</f>
        <v>0</v>
      </c>
      <c r="M1048" s="5"/>
      <c r="P1048" s="5"/>
      <c r="U1048" s="5"/>
    </row>
    <row r="1049" spans="10:21" x14ac:dyDescent="0.5">
      <c r="J1049" s="20"/>
      <c r="K1049" s="20"/>
      <c r="L1049" s="5">
        <f>Data!L1049</f>
        <v>0</v>
      </c>
      <c r="M1049" s="5"/>
      <c r="P1049" s="5"/>
      <c r="U1049" s="5"/>
    </row>
    <row r="1050" spans="10:21" x14ac:dyDescent="0.5">
      <c r="J1050" s="20"/>
      <c r="K1050" s="20"/>
      <c r="L1050" s="5">
        <f>Data!L1050</f>
        <v>0</v>
      </c>
      <c r="M1050" s="5"/>
      <c r="P1050" s="5"/>
      <c r="U1050" s="5"/>
    </row>
    <row r="1051" spans="10:21" x14ac:dyDescent="0.5">
      <c r="J1051" s="20"/>
      <c r="K1051" s="20"/>
      <c r="L1051" s="5">
        <f>Data!L1051</f>
        <v>0</v>
      </c>
      <c r="M1051" s="5"/>
      <c r="P1051" s="5"/>
      <c r="U1051" s="5"/>
    </row>
    <row r="1052" spans="10:21" x14ac:dyDescent="0.5">
      <c r="J1052" s="20"/>
      <c r="K1052" s="20"/>
      <c r="L1052" s="5">
        <f>Data!L1052</f>
        <v>0</v>
      </c>
      <c r="M1052" s="5"/>
      <c r="P1052" s="5"/>
      <c r="U1052" s="5"/>
    </row>
    <row r="1053" spans="10:21" x14ac:dyDescent="0.5">
      <c r="J1053" s="20"/>
      <c r="K1053" s="20"/>
      <c r="L1053" s="5">
        <f>Data!L1053</f>
        <v>0</v>
      </c>
      <c r="M1053" s="5"/>
      <c r="P1053" s="5"/>
      <c r="U1053" s="5"/>
    </row>
    <row r="1054" spans="10:21" x14ac:dyDescent="0.5">
      <c r="J1054" s="20"/>
      <c r="K1054" s="20"/>
      <c r="L1054" s="5">
        <f>Data!L1054</f>
        <v>0</v>
      </c>
      <c r="M1054" s="5"/>
      <c r="P1054" s="5"/>
      <c r="U1054" s="5"/>
    </row>
    <row r="1055" spans="10:21" x14ac:dyDescent="0.5">
      <c r="J1055" s="20"/>
      <c r="K1055" s="20"/>
      <c r="L1055" s="5">
        <f>Data!L1055</f>
        <v>0</v>
      </c>
      <c r="M1055" s="5"/>
      <c r="P1055" s="5"/>
      <c r="U1055" s="5"/>
    </row>
    <row r="1056" spans="10:21" x14ac:dyDescent="0.5">
      <c r="J1056" s="20"/>
      <c r="K1056" s="20"/>
      <c r="L1056" s="5">
        <f>Data!L1056</f>
        <v>0</v>
      </c>
      <c r="M1056" s="5"/>
      <c r="P1056" s="5"/>
      <c r="U1056" s="5"/>
    </row>
    <row r="1057" spans="10:21" x14ac:dyDescent="0.5">
      <c r="J1057" s="20"/>
      <c r="K1057" s="20"/>
      <c r="L1057" s="5">
        <f>Data!L1057</f>
        <v>0</v>
      </c>
      <c r="M1057" s="5"/>
      <c r="P1057" s="5"/>
      <c r="U1057" s="5"/>
    </row>
    <row r="1058" spans="10:21" x14ac:dyDescent="0.5">
      <c r="J1058" s="20"/>
      <c r="K1058" s="20"/>
      <c r="L1058" s="5">
        <f>Data!L1058</f>
        <v>0</v>
      </c>
      <c r="M1058" s="5"/>
      <c r="P1058" s="5"/>
      <c r="U1058" s="5"/>
    </row>
    <row r="1059" spans="10:21" x14ac:dyDescent="0.5">
      <c r="J1059" s="20"/>
      <c r="K1059" s="20"/>
      <c r="L1059" s="5">
        <f>Data!L1059</f>
        <v>0</v>
      </c>
      <c r="M1059" s="5"/>
      <c r="P1059" s="5"/>
      <c r="U1059" s="5"/>
    </row>
    <row r="1060" spans="10:21" x14ac:dyDescent="0.5">
      <c r="J1060" s="20"/>
      <c r="K1060" s="20"/>
      <c r="L1060" s="5">
        <f>Data!L1060</f>
        <v>0</v>
      </c>
      <c r="M1060" s="5"/>
      <c r="P1060" s="5"/>
      <c r="U1060" s="5"/>
    </row>
    <row r="1061" spans="10:21" x14ac:dyDescent="0.5">
      <c r="J1061" s="20"/>
      <c r="K1061" s="20"/>
      <c r="L1061" s="5">
        <f>Data!L1061</f>
        <v>0</v>
      </c>
      <c r="M1061" s="5"/>
      <c r="P1061" s="5"/>
      <c r="U1061" s="5"/>
    </row>
    <row r="1062" spans="10:21" x14ac:dyDescent="0.5">
      <c r="J1062" s="20"/>
      <c r="K1062" s="20"/>
      <c r="L1062" s="5">
        <f>Data!L1062</f>
        <v>0</v>
      </c>
      <c r="M1062" s="5"/>
      <c r="P1062" s="5"/>
      <c r="U1062" s="5"/>
    </row>
    <row r="1063" spans="10:21" x14ac:dyDescent="0.5">
      <c r="J1063" s="20"/>
      <c r="K1063" s="20"/>
      <c r="L1063" s="5">
        <f>Data!L1063</f>
        <v>0</v>
      </c>
      <c r="M1063" s="5"/>
      <c r="P1063" s="5"/>
      <c r="U1063" s="5"/>
    </row>
    <row r="1064" spans="10:21" x14ac:dyDescent="0.5">
      <c r="J1064" s="20"/>
      <c r="K1064" s="20"/>
      <c r="L1064" s="5">
        <f>Data!L1064</f>
        <v>0</v>
      </c>
      <c r="M1064" s="5"/>
      <c r="P1064" s="5"/>
      <c r="U1064" s="5"/>
    </row>
    <row r="1065" spans="10:21" x14ac:dyDescent="0.5">
      <c r="J1065" s="20"/>
      <c r="K1065" s="20"/>
      <c r="L1065" s="5">
        <f>Data!L1065</f>
        <v>0</v>
      </c>
      <c r="M1065" s="5"/>
      <c r="P1065" s="5"/>
      <c r="U1065" s="5"/>
    </row>
    <row r="1066" spans="10:21" x14ac:dyDescent="0.5">
      <c r="J1066" s="20"/>
      <c r="K1066" s="20"/>
      <c r="L1066" s="5">
        <f>Data!L1066</f>
        <v>0</v>
      </c>
      <c r="M1066" s="5"/>
      <c r="P1066" s="5"/>
      <c r="U1066" s="5"/>
    </row>
    <row r="1067" spans="10:21" x14ac:dyDescent="0.5">
      <c r="J1067" s="20"/>
      <c r="K1067" s="20"/>
      <c r="L1067" s="5">
        <f>Data!L1067</f>
        <v>0</v>
      </c>
      <c r="M1067" s="5"/>
      <c r="P1067" s="5"/>
      <c r="U1067" s="5"/>
    </row>
    <row r="1068" spans="10:21" x14ac:dyDescent="0.5">
      <c r="J1068" s="20"/>
      <c r="K1068" s="20"/>
      <c r="L1068" s="5">
        <f>Data!L1068</f>
        <v>0</v>
      </c>
      <c r="M1068" s="5"/>
      <c r="P1068" s="5"/>
      <c r="U1068" s="5"/>
    </row>
    <row r="1069" spans="10:21" x14ac:dyDescent="0.5">
      <c r="J1069" s="20"/>
      <c r="K1069" s="20"/>
      <c r="L1069" s="5">
        <f>Data!L1069</f>
        <v>0</v>
      </c>
      <c r="M1069" s="5"/>
      <c r="P1069" s="5"/>
      <c r="U1069" s="5"/>
    </row>
    <row r="1070" spans="10:21" x14ac:dyDescent="0.5">
      <c r="J1070" s="20"/>
      <c r="K1070" s="20"/>
      <c r="L1070" s="5">
        <f>Data!L1070</f>
        <v>0</v>
      </c>
      <c r="M1070" s="5"/>
      <c r="P1070" s="5"/>
      <c r="U1070" s="5"/>
    </row>
    <row r="1071" spans="10:21" x14ac:dyDescent="0.5">
      <c r="J1071" s="20"/>
      <c r="K1071" s="20"/>
      <c r="L1071" s="5">
        <f>Data!L1071</f>
        <v>0</v>
      </c>
      <c r="M1071" s="5"/>
      <c r="P1071" s="5"/>
      <c r="U1071" s="5"/>
    </row>
    <row r="1072" spans="10:21" x14ac:dyDescent="0.5">
      <c r="J1072" s="20"/>
      <c r="K1072" s="20"/>
      <c r="L1072" s="5">
        <f>Data!L1072</f>
        <v>0</v>
      </c>
      <c r="M1072" s="5"/>
      <c r="P1072" s="5"/>
      <c r="U1072" s="5"/>
    </row>
    <row r="1073" spans="10:21" x14ac:dyDescent="0.5">
      <c r="J1073" s="20"/>
      <c r="K1073" s="20"/>
      <c r="L1073" s="5">
        <f>Data!L1073</f>
        <v>0</v>
      </c>
      <c r="M1073" s="5"/>
      <c r="P1073" s="5"/>
      <c r="U1073" s="5"/>
    </row>
    <row r="1074" spans="10:21" x14ac:dyDescent="0.5">
      <c r="J1074" s="20"/>
      <c r="K1074" s="20"/>
      <c r="L1074" s="5">
        <f>Data!L1074</f>
        <v>0</v>
      </c>
      <c r="M1074" s="5"/>
      <c r="P1074" s="5"/>
      <c r="U1074" s="5"/>
    </row>
    <row r="1075" spans="10:21" x14ac:dyDescent="0.5">
      <c r="J1075" s="20"/>
      <c r="K1075" s="20"/>
      <c r="L1075" s="5">
        <f>Data!L1075</f>
        <v>0</v>
      </c>
      <c r="M1075" s="5"/>
      <c r="P1075" s="5"/>
      <c r="U1075" s="5"/>
    </row>
    <row r="1076" spans="10:21" x14ac:dyDescent="0.5">
      <c r="J1076" s="20"/>
      <c r="K1076" s="20"/>
      <c r="L1076" s="5">
        <f>Data!L1076</f>
        <v>0</v>
      </c>
      <c r="M1076" s="5"/>
      <c r="P1076" s="5"/>
      <c r="U1076" s="5"/>
    </row>
    <row r="1077" spans="10:21" x14ac:dyDescent="0.5">
      <c r="J1077" s="20"/>
      <c r="K1077" s="20"/>
      <c r="L1077" s="5">
        <f>Data!L1077</f>
        <v>0</v>
      </c>
      <c r="M1077" s="5"/>
      <c r="P1077" s="5"/>
      <c r="U1077" s="5"/>
    </row>
    <row r="1078" spans="10:21" x14ac:dyDescent="0.5">
      <c r="J1078" s="20"/>
      <c r="K1078" s="20"/>
      <c r="L1078" s="5">
        <f>Data!L1078</f>
        <v>0</v>
      </c>
      <c r="M1078" s="5"/>
      <c r="P1078" s="5"/>
      <c r="U1078" s="5"/>
    </row>
    <row r="1079" spans="10:21" x14ac:dyDescent="0.5">
      <c r="J1079" s="20"/>
      <c r="K1079" s="20"/>
      <c r="L1079" s="5">
        <f>Data!L1079</f>
        <v>0</v>
      </c>
      <c r="M1079" s="5"/>
      <c r="P1079" s="5"/>
      <c r="U1079" s="5"/>
    </row>
    <row r="1080" spans="10:21" x14ac:dyDescent="0.5">
      <c r="J1080" s="20"/>
      <c r="K1080" s="20"/>
      <c r="L1080" s="5">
        <f>Data!L1080</f>
        <v>0</v>
      </c>
      <c r="M1080" s="5"/>
      <c r="P1080" s="5"/>
      <c r="U1080" s="5"/>
    </row>
    <row r="1081" spans="10:21" x14ac:dyDescent="0.5">
      <c r="J1081" s="20"/>
      <c r="K1081" s="20"/>
      <c r="L1081" s="5">
        <f>Data!L1081</f>
        <v>0</v>
      </c>
      <c r="M1081" s="5"/>
      <c r="P1081" s="5"/>
      <c r="U1081" s="5"/>
    </row>
    <row r="1082" spans="10:21" x14ac:dyDescent="0.5">
      <c r="J1082" s="20"/>
      <c r="K1082" s="20"/>
      <c r="L1082" s="5">
        <f>Data!L1082</f>
        <v>0</v>
      </c>
      <c r="M1082" s="5"/>
      <c r="P1082" s="5"/>
      <c r="U1082" s="5"/>
    </row>
    <row r="1083" spans="10:21" x14ac:dyDescent="0.5">
      <c r="J1083" s="20"/>
      <c r="K1083" s="20"/>
      <c r="L1083" s="5">
        <f>Data!L1083</f>
        <v>0</v>
      </c>
      <c r="M1083" s="5"/>
      <c r="P1083" s="5"/>
      <c r="U1083" s="5"/>
    </row>
    <row r="1084" spans="10:21" x14ac:dyDescent="0.5">
      <c r="J1084" s="20"/>
      <c r="K1084" s="20"/>
      <c r="L1084" s="5">
        <f>Data!L1084</f>
        <v>0</v>
      </c>
      <c r="M1084" s="5"/>
      <c r="P1084" s="5"/>
      <c r="U1084" s="5"/>
    </row>
    <row r="1085" spans="10:21" x14ac:dyDescent="0.5">
      <c r="J1085" s="20"/>
      <c r="K1085" s="20"/>
      <c r="L1085" s="5">
        <f>Data!L1085</f>
        <v>0</v>
      </c>
      <c r="M1085" s="5"/>
      <c r="P1085" s="5"/>
      <c r="U1085" s="5"/>
    </row>
    <row r="1086" spans="10:21" x14ac:dyDescent="0.5">
      <c r="J1086" s="20"/>
      <c r="K1086" s="20"/>
      <c r="L1086" s="5">
        <f>Data!L1086</f>
        <v>0</v>
      </c>
      <c r="M1086" s="5"/>
      <c r="P1086" s="5"/>
      <c r="U1086" s="5"/>
    </row>
    <row r="1087" spans="10:21" x14ac:dyDescent="0.5">
      <c r="J1087" s="20"/>
      <c r="K1087" s="20"/>
      <c r="L1087" s="5">
        <f>Data!L1087</f>
        <v>0</v>
      </c>
      <c r="M1087" s="5"/>
      <c r="P1087" s="5"/>
      <c r="U1087" s="5"/>
    </row>
    <row r="1088" spans="10:21" x14ac:dyDescent="0.5">
      <c r="J1088" s="20"/>
      <c r="K1088" s="20"/>
      <c r="L1088" s="5">
        <f>Data!L1088</f>
        <v>0</v>
      </c>
      <c r="M1088" s="5"/>
      <c r="P1088" s="5"/>
      <c r="U1088" s="5"/>
    </row>
    <row r="1089" spans="10:21" x14ac:dyDescent="0.5">
      <c r="J1089" s="20"/>
      <c r="K1089" s="20"/>
      <c r="L1089" s="5">
        <f>Data!L1089</f>
        <v>0</v>
      </c>
      <c r="M1089" s="5"/>
      <c r="P1089" s="5"/>
      <c r="U1089" s="5"/>
    </row>
    <row r="1090" spans="10:21" x14ac:dyDescent="0.5">
      <c r="J1090" s="20"/>
      <c r="K1090" s="20"/>
      <c r="L1090" s="5">
        <f>Data!L1090</f>
        <v>0</v>
      </c>
      <c r="M1090" s="5"/>
      <c r="P1090" s="5"/>
      <c r="U1090" s="5"/>
    </row>
    <row r="1091" spans="10:21" x14ac:dyDescent="0.5">
      <c r="J1091" s="20"/>
      <c r="K1091" s="20"/>
      <c r="L1091" s="5">
        <f>Data!L1091</f>
        <v>0</v>
      </c>
      <c r="M1091" s="5"/>
      <c r="P1091" s="5"/>
      <c r="U1091" s="5"/>
    </row>
    <row r="1092" spans="10:21" x14ac:dyDescent="0.5">
      <c r="J1092" s="20"/>
      <c r="K1092" s="20"/>
      <c r="L1092" s="5">
        <f>Data!L1092</f>
        <v>0</v>
      </c>
      <c r="M1092" s="5"/>
      <c r="P1092" s="5"/>
      <c r="U1092" s="5"/>
    </row>
    <row r="1093" spans="10:21" x14ac:dyDescent="0.5">
      <c r="J1093" s="20"/>
      <c r="K1093" s="20"/>
      <c r="L1093" s="5">
        <f>Data!L1093</f>
        <v>0</v>
      </c>
      <c r="M1093" s="5"/>
      <c r="P1093" s="5"/>
      <c r="U1093" s="5"/>
    </row>
    <row r="1094" spans="10:21" x14ac:dyDescent="0.5">
      <c r="J1094" s="20"/>
      <c r="K1094" s="20"/>
      <c r="L1094" s="5">
        <f>Data!L1094</f>
        <v>0</v>
      </c>
      <c r="M1094" s="5"/>
      <c r="P1094" s="5"/>
      <c r="U1094" s="5"/>
    </row>
    <row r="1095" spans="10:21" x14ac:dyDescent="0.5">
      <c r="J1095" s="20"/>
      <c r="K1095" s="20"/>
      <c r="L1095" s="5">
        <f>Data!L1095</f>
        <v>0</v>
      </c>
      <c r="M1095" s="5"/>
      <c r="P1095" s="5"/>
      <c r="U1095" s="5"/>
    </row>
    <row r="1096" spans="10:21" x14ac:dyDescent="0.5">
      <c r="J1096" s="20"/>
      <c r="K1096" s="20"/>
      <c r="L1096" s="5">
        <f>Data!L1096</f>
        <v>0</v>
      </c>
      <c r="M1096" s="5"/>
      <c r="P1096" s="5"/>
      <c r="U1096" s="5"/>
    </row>
    <row r="1097" spans="10:21" x14ac:dyDescent="0.5">
      <c r="J1097" s="20"/>
      <c r="K1097" s="20"/>
      <c r="L1097" s="5">
        <f>Data!L1097</f>
        <v>0</v>
      </c>
      <c r="M1097" s="5"/>
      <c r="P1097" s="5"/>
      <c r="U1097" s="5"/>
    </row>
    <row r="1098" spans="10:21" x14ac:dyDescent="0.5">
      <c r="J1098" s="20"/>
      <c r="K1098" s="20"/>
      <c r="L1098" s="5">
        <f>Data!L1098</f>
        <v>0</v>
      </c>
      <c r="M1098" s="5"/>
      <c r="P1098" s="5"/>
      <c r="U1098" s="5"/>
    </row>
    <row r="1099" spans="10:21" x14ac:dyDescent="0.5">
      <c r="J1099" s="20"/>
      <c r="K1099" s="20"/>
      <c r="L1099" s="5">
        <f>Data!L1099</f>
        <v>0</v>
      </c>
      <c r="M1099" s="5"/>
      <c r="P1099" s="5"/>
      <c r="U1099" s="5"/>
    </row>
    <row r="1100" spans="10:21" x14ac:dyDescent="0.5">
      <c r="J1100" s="20"/>
      <c r="K1100" s="20"/>
      <c r="L1100" s="5">
        <f>Data!L1100</f>
        <v>0</v>
      </c>
      <c r="M1100" s="5"/>
      <c r="P1100" s="5"/>
      <c r="U1100" s="5"/>
    </row>
    <row r="1101" spans="10:21" x14ac:dyDescent="0.5">
      <c r="J1101" s="20"/>
      <c r="K1101" s="20"/>
      <c r="L1101" s="5">
        <f>Data!L1101</f>
        <v>0</v>
      </c>
      <c r="M1101" s="5"/>
      <c r="P1101" s="5"/>
      <c r="U1101" s="5"/>
    </row>
    <row r="1102" spans="10:21" x14ac:dyDescent="0.5">
      <c r="J1102" s="20"/>
      <c r="K1102" s="20"/>
      <c r="L1102" s="5">
        <f>Data!L1102</f>
        <v>0</v>
      </c>
      <c r="M1102" s="5"/>
      <c r="P1102" s="5"/>
      <c r="U1102" s="5"/>
    </row>
    <row r="1103" spans="10:21" x14ac:dyDescent="0.5">
      <c r="J1103" s="20"/>
      <c r="K1103" s="20"/>
      <c r="L1103" s="5">
        <f>Data!L1103</f>
        <v>0</v>
      </c>
      <c r="M1103" s="5"/>
      <c r="P1103" s="5"/>
      <c r="U1103" s="5"/>
    </row>
    <row r="1104" spans="10:21" x14ac:dyDescent="0.5">
      <c r="J1104" s="20"/>
      <c r="K1104" s="20"/>
      <c r="L1104" s="5">
        <f>Data!L1104</f>
        <v>0</v>
      </c>
      <c r="M1104" s="5"/>
      <c r="P1104" s="5"/>
      <c r="U1104" s="5"/>
    </row>
    <row r="1105" spans="10:21" x14ac:dyDescent="0.5">
      <c r="J1105" s="20"/>
      <c r="K1105" s="20"/>
      <c r="L1105" s="5">
        <f>Data!L1105</f>
        <v>0</v>
      </c>
      <c r="M1105" s="5"/>
      <c r="P1105" s="5"/>
      <c r="U1105" s="5"/>
    </row>
    <row r="1106" spans="10:21" x14ac:dyDescent="0.5">
      <c r="J1106" s="20"/>
      <c r="K1106" s="20"/>
      <c r="L1106" s="5">
        <f>Data!L1106</f>
        <v>0</v>
      </c>
      <c r="M1106" s="5"/>
      <c r="P1106" s="5"/>
      <c r="U1106" s="5"/>
    </row>
    <row r="1107" spans="10:21" x14ac:dyDescent="0.5">
      <c r="J1107" s="20"/>
      <c r="K1107" s="20"/>
      <c r="L1107" s="5">
        <f>Data!L1107</f>
        <v>0</v>
      </c>
      <c r="M1107" s="5"/>
      <c r="P1107" s="5"/>
      <c r="U1107" s="5"/>
    </row>
    <row r="1108" spans="10:21" x14ac:dyDescent="0.5">
      <c r="J1108" s="20"/>
      <c r="K1108" s="20"/>
      <c r="L1108" s="5">
        <f>Data!L1108</f>
        <v>0</v>
      </c>
      <c r="M1108" s="5"/>
      <c r="P1108" s="5"/>
      <c r="U1108" s="5"/>
    </row>
    <row r="1109" spans="10:21" x14ac:dyDescent="0.5">
      <c r="J1109" s="20"/>
      <c r="K1109" s="20"/>
      <c r="L1109" s="5">
        <f>Data!L1109</f>
        <v>0</v>
      </c>
      <c r="M1109" s="5"/>
      <c r="P1109" s="5"/>
      <c r="U1109" s="5"/>
    </row>
    <row r="1110" spans="10:21" x14ac:dyDescent="0.5">
      <c r="J1110" s="20"/>
      <c r="K1110" s="20"/>
      <c r="L1110" s="5">
        <f>Data!L1110</f>
        <v>0</v>
      </c>
      <c r="M1110" s="5"/>
      <c r="P1110" s="5"/>
      <c r="U1110" s="5"/>
    </row>
    <row r="1111" spans="10:21" x14ac:dyDescent="0.5">
      <c r="J1111" s="20"/>
      <c r="K1111" s="20"/>
      <c r="L1111" s="5">
        <f>Data!L1111</f>
        <v>0</v>
      </c>
      <c r="M1111" s="5"/>
      <c r="P1111" s="5"/>
      <c r="U1111" s="5"/>
    </row>
    <row r="1112" spans="10:21" x14ac:dyDescent="0.5">
      <c r="J1112" s="20"/>
      <c r="K1112" s="20"/>
      <c r="L1112" s="5">
        <f>Data!L1112</f>
        <v>0</v>
      </c>
      <c r="M1112" s="5"/>
      <c r="P1112" s="5"/>
      <c r="U1112" s="5"/>
    </row>
    <row r="1113" spans="10:21" x14ac:dyDescent="0.5">
      <c r="J1113" s="20"/>
      <c r="K1113" s="20"/>
      <c r="L1113" s="5">
        <f>Data!L1113</f>
        <v>0</v>
      </c>
      <c r="M1113" s="5"/>
      <c r="P1113" s="5"/>
      <c r="U1113" s="5"/>
    </row>
    <row r="1114" spans="10:21" x14ac:dyDescent="0.5">
      <c r="J1114" s="20"/>
      <c r="K1114" s="20"/>
      <c r="L1114" s="5">
        <f>Data!L1114</f>
        <v>0</v>
      </c>
      <c r="M1114" s="5"/>
      <c r="P1114" s="5"/>
      <c r="U1114" s="5"/>
    </row>
    <row r="1115" spans="10:21" x14ac:dyDescent="0.5">
      <c r="J1115" s="20"/>
      <c r="K1115" s="20"/>
      <c r="L1115" s="5">
        <f>Data!L1115</f>
        <v>0</v>
      </c>
      <c r="M1115" s="5"/>
      <c r="P1115" s="5"/>
      <c r="U1115" s="5"/>
    </row>
    <row r="1116" spans="10:21" x14ac:dyDescent="0.5">
      <c r="J1116" s="20"/>
      <c r="K1116" s="20"/>
      <c r="L1116" s="5">
        <f>Data!L1116</f>
        <v>0</v>
      </c>
      <c r="M1116" s="5"/>
      <c r="P1116" s="5"/>
      <c r="U1116" s="5"/>
    </row>
    <row r="1117" spans="10:21" x14ac:dyDescent="0.5">
      <c r="J1117" s="20"/>
      <c r="K1117" s="20"/>
      <c r="L1117" s="5">
        <f>Data!L1117</f>
        <v>0</v>
      </c>
      <c r="M1117" s="5"/>
      <c r="P1117" s="5"/>
      <c r="U1117" s="5"/>
    </row>
    <row r="1118" spans="10:21" x14ac:dyDescent="0.5">
      <c r="J1118" s="20"/>
      <c r="K1118" s="20"/>
      <c r="L1118" s="5">
        <f>Data!L1118</f>
        <v>0</v>
      </c>
      <c r="M1118" s="5"/>
      <c r="P1118" s="5"/>
      <c r="U1118" s="5"/>
    </row>
    <row r="1119" spans="10:21" x14ac:dyDescent="0.5">
      <c r="J1119" s="20"/>
      <c r="K1119" s="20"/>
      <c r="L1119" s="5">
        <f>Data!L1119</f>
        <v>0</v>
      </c>
      <c r="M1119" s="5"/>
      <c r="P1119" s="5"/>
      <c r="U1119" s="5"/>
    </row>
    <row r="1120" spans="10:21" x14ac:dyDescent="0.5">
      <c r="J1120" s="20"/>
      <c r="K1120" s="20"/>
      <c r="L1120" s="5">
        <f>Data!L1120</f>
        <v>0</v>
      </c>
      <c r="M1120" s="5"/>
      <c r="P1120" s="5"/>
      <c r="U1120" s="5"/>
    </row>
    <row r="1121" spans="10:21" x14ac:dyDescent="0.5">
      <c r="J1121" s="20"/>
      <c r="K1121" s="20"/>
      <c r="L1121" s="5">
        <f>Data!L1121</f>
        <v>0</v>
      </c>
      <c r="M1121" s="5"/>
      <c r="P1121" s="5"/>
      <c r="U1121" s="5"/>
    </row>
    <row r="1122" spans="10:21" x14ac:dyDescent="0.5">
      <c r="J1122" s="20"/>
      <c r="K1122" s="20"/>
      <c r="L1122" s="5">
        <f>Data!L1122</f>
        <v>0</v>
      </c>
      <c r="M1122" s="5"/>
      <c r="P1122" s="5"/>
      <c r="U1122" s="5"/>
    </row>
    <row r="1123" spans="10:21" x14ac:dyDescent="0.5">
      <c r="J1123" s="20"/>
      <c r="K1123" s="20"/>
      <c r="L1123" s="5">
        <f>Data!L1123</f>
        <v>0</v>
      </c>
      <c r="M1123" s="5"/>
      <c r="P1123" s="5"/>
      <c r="U1123" s="5"/>
    </row>
    <row r="1124" spans="10:21" x14ac:dyDescent="0.5">
      <c r="J1124" s="20"/>
      <c r="K1124" s="20"/>
      <c r="L1124" s="5">
        <f>Data!L1124</f>
        <v>0</v>
      </c>
      <c r="M1124" s="5"/>
      <c r="P1124" s="5"/>
      <c r="U1124" s="5"/>
    </row>
    <row r="1125" spans="10:21" x14ac:dyDescent="0.5">
      <c r="J1125" s="20"/>
      <c r="K1125" s="20"/>
      <c r="L1125" s="5">
        <f>Data!L1125</f>
        <v>0</v>
      </c>
      <c r="M1125" s="5"/>
      <c r="P1125" s="5"/>
      <c r="U1125" s="5"/>
    </row>
    <row r="1126" spans="10:21" x14ac:dyDescent="0.5">
      <c r="J1126" s="20"/>
      <c r="K1126" s="20"/>
      <c r="L1126" s="5">
        <f>Data!L1126</f>
        <v>0</v>
      </c>
      <c r="M1126" s="5"/>
      <c r="P1126" s="5"/>
      <c r="U1126" s="5"/>
    </row>
    <row r="1127" spans="10:21" x14ac:dyDescent="0.5">
      <c r="J1127" s="20"/>
      <c r="K1127" s="20"/>
      <c r="L1127" s="5">
        <f>Data!L1127</f>
        <v>0</v>
      </c>
      <c r="M1127" s="5"/>
      <c r="P1127" s="5"/>
      <c r="U1127" s="5"/>
    </row>
    <row r="1128" spans="10:21" x14ac:dyDescent="0.5">
      <c r="J1128" s="20"/>
      <c r="K1128" s="20"/>
      <c r="L1128" s="5">
        <f>Data!L1128</f>
        <v>0</v>
      </c>
      <c r="M1128" s="5"/>
      <c r="P1128" s="5"/>
      <c r="U1128" s="5"/>
    </row>
    <row r="1129" spans="10:21" x14ac:dyDescent="0.5">
      <c r="J1129" s="20"/>
      <c r="K1129" s="20"/>
      <c r="L1129" s="5">
        <f>Data!L1129</f>
        <v>0</v>
      </c>
      <c r="M1129" s="5"/>
      <c r="P1129" s="5"/>
      <c r="U1129" s="5"/>
    </row>
    <row r="1130" spans="10:21" x14ac:dyDescent="0.5">
      <c r="J1130" s="20"/>
      <c r="K1130" s="20"/>
      <c r="L1130" s="5">
        <f>Data!L1130</f>
        <v>0</v>
      </c>
      <c r="M1130" s="5"/>
      <c r="P1130" s="5"/>
      <c r="U1130" s="5"/>
    </row>
    <row r="1131" spans="10:21" x14ac:dyDescent="0.5">
      <c r="J1131" s="20"/>
      <c r="K1131" s="20"/>
      <c r="L1131" s="5">
        <f>Data!L1131</f>
        <v>0</v>
      </c>
      <c r="M1131" s="5"/>
      <c r="P1131" s="5"/>
      <c r="U1131" s="5"/>
    </row>
    <row r="1132" spans="10:21" x14ac:dyDescent="0.5">
      <c r="J1132" s="20"/>
      <c r="K1132" s="20"/>
      <c r="L1132" s="5">
        <f>Data!L1132</f>
        <v>0</v>
      </c>
      <c r="M1132" s="5"/>
      <c r="P1132" s="5"/>
      <c r="U1132" s="5"/>
    </row>
    <row r="1133" spans="10:21" x14ac:dyDescent="0.5">
      <c r="J1133" s="20"/>
      <c r="K1133" s="20"/>
      <c r="L1133" s="5">
        <f>Data!L1133</f>
        <v>0</v>
      </c>
      <c r="M1133" s="5"/>
      <c r="P1133" s="5"/>
      <c r="U1133" s="5"/>
    </row>
    <row r="1134" spans="10:21" x14ac:dyDescent="0.5">
      <c r="J1134" s="20"/>
      <c r="K1134" s="20"/>
      <c r="L1134" s="5">
        <f>Data!L1134</f>
        <v>0</v>
      </c>
      <c r="M1134" s="5"/>
      <c r="P1134" s="5"/>
      <c r="U1134" s="5"/>
    </row>
    <row r="1135" spans="10:21" x14ac:dyDescent="0.5">
      <c r="J1135" s="20"/>
      <c r="K1135" s="20"/>
      <c r="L1135" s="5">
        <f>Data!L1135</f>
        <v>0</v>
      </c>
      <c r="M1135" s="5"/>
      <c r="P1135" s="5"/>
      <c r="U1135" s="5"/>
    </row>
    <row r="1136" spans="10:21" x14ac:dyDescent="0.5">
      <c r="J1136" s="20"/>
      <c r="K1136" s="20"/>
      <c r="L1136" s="5">
        <f>Data!L1136</f>
        <v>0</v>
      </c>
      <c r="M1136" s="5"/>
      <c r="P1136" s="5"/>
      <c r="U1136" s="5"/>
    </row>
    <row r="1137" spans="10:21" x14ac:dyDescent="0.5">
      <c r="J1137" s="20"/>
      <c r="K1137" s="20"/>
      <c r="L1137" s="5">
        <f>Data!L1137</f>
        <v>0</v>
      </c>
      <c r="M1137" s="5"/>
      <c r="P1137" s="5"/>
      <c r="U1137" s="5"/>
    </row>
    <row r="1138" spans="10:21" x14ac:dyDescent="0.5">
      <c r="J1138" s="20"/>
      <c r="K1138" s="20"/>
      <c r="L1138" s="5">
        <f>Data!L1138</f>
        <v>0</v>
      </c>
      <c r="M1138" s="5"/>
      <c r="P1138" s="5"/>
      <c r="U1138" s="5"/>
    </row>
    <row r="1139" spans="10:21" x14ac:dyDescent="0.5">
      <c r="J1139" s="20"/>
      <c r="K1139" s="20"/>
      <c r="L1139" s="5">
        <f>Data!L1139</f>
        <v>0</v>
      </c>
      <c r="M1139" s="5"/>
      <c r="P1139" s="5"/>
      <c r="U1139" s="5"/>
    </row>
    <row r="1140" spans="10:21" x14ac:dyDescent="0.5">
      <c r="J1140" s="20"/>
      <c r="K1140" s="20"/>
      <c r="L1140" s="5">
        <f>Data!L1140</f>
        <v>0</v>
      </c>
      <c r="M1140" s="5"/>
      <c r="P1140" s="5"/>
      <c r="U1140" s="5"/>
    </row>
    <row r="1141" spans="10:21" x14ac:dyDescent="0.5">
      <c r="J1141" s="20"/>
      <c r="K1141" s="20"/>
      <c r="L1141" s="5">
        <f>Data!L1141</f>
        <v>0</v>
      </c>
      <c r="M1141" s="5"/>
      <c r="P1141" s="5"/>
      <c r="U1141" s="5"/>
    </row>
    <row r="1142" spans="10:21" x14ac:dyDescent="0.5">
      <c r="J1142" s="20"/>
      <c r="K1142" s="20"/>
      <c r="L1142" s="5">
        <f>Data!L1142</f>
        <v>0</v>
      </c>
      <c r="M1142" s="5"/>
      <c r="P1142" s="5"/>
      <c r="U1142" s="5"/>
    </row>
    <row r="1143" spans="10:21" x14ac:dyDescent="0.5">
      <c r="J1143" s="20"/>
      <c r="K1143" s="20"/>
      <c r="L1143" s="5">
        <f>Data!L1143</f>
        <v>0</v>
      </c>
      <c r="M1143" s="5"/>
      <c r="P1143" s="5"/>
      <c r="U1143" s="5"/>
    </row>
    <row r="1144" spans="10:21" x14ac:dyDescent="0.5">
      <c r="J1144" s="20"/>
      <c r="K1144" s="20"/>
      <c r="L1144" s="5">
        <f>Data!L1144</f>
        <v>0</v>
      </c>
      <c r="M1144" s="5"/>
      <c r="P1144" s="5"/>
      <c r="U1144" s="5"/>
    </row>
    <row r="1145" spans="10:21" x14ac:dyDescent="0.5">
      <c r="J1145" s="20"/>
      <c r="K1145" s="20"/>
      <c r="L1145" s="5">
        <f>Data!L1145</f>
        <v>0</v>
      </c>
      <c r="M1145" s="5"/>
      <c r="P1145" s="5"/>
      <c r="U1145" s="5"/>
    </row>
    <row r="1146" spans="10:21" x14ac:dyDescent="0.5">
      <c r="J1146" s="20"/>
      <c r="K1146" s="20"/>
      <c r="L1146" s="5">
        <f>Data!L1146</f>
        <v>0</v>
      </c>
      <c r="M1146" s="5"/>
      <c r="P1146" s="5"/>
      <c r="U1146" s="5"/>
    </row>
    <row r="1147" spans="10:21" x14ac:dyDescent="0.5">
      <c r="J1147" s="20"/>
      <c r="K1147" s="20"/>
      <c r="L1147" s="5">
        <f>Data!L1147</f>
        <v>0</v>
      </c>
      <c r="M1147" s="5"/>
      <c r="P1147" s="5"/>
      <c r="U1147" s="5"/>
    </row>
    <row r="1148" spans="10:21" x14ac:dyDescent="0.5">
      <c r="J1148" s="20"/>
      <c r="K1148" s="20"/>
      <c r="L1148" s="5">
        <f>Data!L1148</f>
        <v>0</v>
      </c>
      <c r="M1148" s="5"/>
      <c r="P1148" s="5"/>
      <c r="U1148" s="5"/>
    </row>
    <row r="1149" spans="10:21" x14ac:dyDescent="0.5">
      <c r="J1149" s="20"/>
      <c r="K1149" s="20"/>
      <c r="L1149" s="5">
        <f>Data!L1149</f>
        <v>0</v>
      </c>
      <c r="M1149" s="5"/>
      <c r="P1149" s="5"/>
      <c r="U1149" s="5"/>
    </row>
    <row r="1150" spans="10:21" x14ac:dyDescent="0.5">
      <c r="J1150" s="20"/>
      <c r="K1150" s="20"/>
      <c r="L1150" s="5">
        <f>Data!L1150</f>
        <v>0</v>
      </c>
      <c r="M1150" s="5"/>
      <c r="P1150" s="5"/>
      <c r="U1150" s="5"/>
    </row>
    <row r="1151" spans="10:21" x14ac:dyDescent="0.5">
      <c r="J1151" s="20"/>
      <c r="K1151" s="20"/>
      <c r="L1151" s="5">
        <f>Data!L1151</f>
        <v>0</v>
      </c>
      <c r="M1151" s="5"/>
      <c r="P1151" s="5"/>
      <c r="U1151" s="5"/>
    </row>
    <row r="1152" spans="10:21" x14ac:dyDescent="0.5">
      <c r="J1152" s="20"/>
      <c r="K1152" s="20"/>
      <c r="L1152" s="5">
        <f>Data!L1152</f>
        <v>0</v>
      </c>
      <c r="M1152" s="5"/>
      <c r="P1152" s="5"/>
      <c r="U1152" s="5"/>
    </row>
    <row r="1153" spans="10:21" x14ac:dyDescent="0.5">
      <c r="J1153" s="20"/>
      <c r="K1153" s="20"/>
      <c r="L1153" s="5">
        <f>Data!L1153</f>
        <v>0</v>
      </c>
      <c r="M1153" s="5"/>
      <c r="P1153" s="5"/>
      <c r="U1153" s="5"/>
    </row>
    <row r="1154" spans="10:21" x14ac:dyDescent="0.5">
      <c r="J1154" s="20"/>
      <c r="K1154" s="20"/>
      <c r="L1154" s="5">
        <f>Data!L1154</f>
        <v>0</v>
      </c>
      <c r="M1154" s="5"/>
      <c r="P1154" s="5"/>
      <c r="U1154" s="5"/>
    </row>
    <row r="1155" spans="10:21" x14ac:dyDescent="0.5">
      <c r="J1155" s="20"/>
      <c r="K1155" s="20"/>
      <c r="L1155" s="5">
        <f>Data!L1155</f>
        <v>0</v>
      </c>
      <c r="M1155" s="5"/>
      <c r="P1155" s="5"/>
      <c r="U1155" s="5"/>
    </row>
    <row r="1156" spans="10:21" x14ac:dyDescent="0.5">
      <c r="J1156" s="20"/>
      <c r="K1156" s="20"/>
      <c r="L1156" s="5">
        <f>Data!L1156</f>
        <v>0</v>
      </c>
      <c r="M1156" s="5"/>
      <c r="P1156" s="5"/>
      <c r="U1156" s="5"/>
    </row>
    <row r="1157" spans="10:21" x14ac:dyDescent="0.5">
      <c r="J1157" s="20"/>
      <c r="K1157" s="20"/>
      <c r="L1157" s="5">
        <f>Data!L1157</f>
        <v>0</v>
      </c>
      <c r="M1157" s="5"/>
      <c r="P1157" s="5"/>
      <c r="U1157" s="5"/>
    </row>
    <row r="1158" spans="10:21" x14ac:dyDescent="0.5">
      <c r="J1158" s="20"/>
      <c r="K1158" s="20"/>
      <c r="L1158" s="5">
        <f>Data!L1158</f>
        <v>0</v>
      </c>
      <c r="M1158" s="5"/>
      <c r="P1158" s="5"/>
      <c r="U1158" s="5"/>
    </row>
    <row r="1159" spans="10:21" x14ac:dyDescent="0.5">
      <c r="J1159" s="20"/>
      <c r="K1159" s="20"/>
      <c r="L1159" s="5">
        <f>Data!L1159</f>
        <v>0</v>
      </c>
      <c r="M1159" s="5"/>
      <c r="P1159" s="5"/>
      <c r="U1159" s="5"/>
    </row>
    <row r="1160" spans="10:21" x14ac:dyDescent="0.5">
      <c r="J1160" s="20"/>
      <c r="K1160" s="20"/>
      <c r="L1160" s="5">
        <f>Data!L1160</f>
        <v>0</v>
      </c>
      <c r="M1160" s="5"/>
      <c r="P1160" s="5"/>
      <c r="U1160" s="5"/>
    </row>
    <row r="1161" spans="10:21" x14ac:dyDescent="0.5">
      <c r="J1161" s="20"/>
      <c r="K1161" s="20"/>
      <c r="L1161" s="5">
        <f>Data!L1161</f>
        <v>0</v>
      </c>
      <c r="M1161" s="5"/>
      <c r="P1161" s="5"/>
      <c r="U1161" s="5"/>
    </row>
    <row r="1162" spans="10:21" x14ac:dyDescent="0.5">
      <c r="J1162" s="20"/>
      <c r="K1162" s="20"/>
      <c r="L1162" s="5">
        <f>Data!L1162</f>
        <v>0</v>
      </c>
      <c r="M1162" s="5"/>
      <c r="P1162" s="5"/>
      <c r="U1162" s="5"/>
    </row>
    <row r="1163" spans="10:21" x14ac:dyDescent="0.5">
      <c r="J1163" s="20"/>
      <c r="K1163" s="20"/>
      <c r="L1163" s="5">
        <f>Data!L1163</f>
        <v>0</v>
      </c>
      <c r="M1163" s="5"/>
      <c r="P1163" s="5"/>
      <c r="U1163" s="5"/>
    </row>
    <row r="1164" spans="10:21" x14ac:dyDescent="0.5">
      <c r="J1164" s="20"/>
      <c r="K1164" s="20"/>
      <c r="L1164" s="5">
        <f>Data!L1164</f>
        <v>0</v>
      </c>
      <c r="M1164" s="5"/>
      <c r="P1164" s="5"/>
      <c r="U1164" s="5"/>
    </row>
    <row r="1165" spans="10:21" x14ac:dyDescent="0.5">
      <c r="J1165" s="20"/>
      <c r="K1165" s="20"/>
      <c r="L1165" s="5">
        <f>Data!L1165</f>
        <v>0</v>
      </c>
      <c r="M1165" s="5"/>
      <c r="P1165" s="5"/>
      <c r="U1165" s="5"/>
    </row>
    <row r="1166" spans="10:21" x14ac:dyDescent="0.5">
      <c r="J1166" s="20"/>
      <c r="K1166" s="20"/>
      <c r="L1166" s="5">
        <f>Data!L1166</f>
        <v>0</v>
      </c>
      <c r="M1166" s="5"/>
      <c r="P1166" s="5"/>
      <c r="U1166" s="5"/>
    </row>
    <row r="1167" spans="10:21" x14ac:dyDescent="0.5">
      <c r="J1167" s="20"/>
      <c r="K1167" s="20"/>
      <c r="L1167" s="5">
        <f>Data!L1167</f>
        <v>0</v>
      </c>
      <c r="M1167" s="5"/>
      <c r="P1167" s="5"/>
      <c r="U1167" s="5"/>
    </row>
    <row r="1168" spans="10:21" x14ac:dyDescent="0.5">
      <c r="J1168" s="20"/>
      <c r="K1168" s="20"/>
      <c r="L1168" s="5">
        <f>Data!L1168</f>
        <v>0</v>
      </c>
      <c r="M1168" s="5"/>
      <c r="P1168" s="5"/>
      <c r="U1168" s="5"/>
    </row>
    <row r="1169" spans="10:21" x14ac:dyDescent="0.5">
      <c r="J1169" s="20"/>
      <c r="K1169" s="20"/>
      <c r="L1169" s="5">
        <f>Data!L1169</f>
        <v>0</v>
      </c>
      <c r="M1169" s="5"/>
      <c r="P1169" s="5"/>
      <c r="U1169" s="5"/>
    </row>
    <row r="1170" spans="10:21" x14ac:dyDescent="0.5">
      <c r="J1170" s="20"/>
      <c r="K1170" s="20"/>
      <c r="L1170" s="5">
        <f>Data!L1170</f>
        <v>0</v>
      </c>
      <c r="M1170" s="5"/>
      <c r="P1170" s="5"/>
      <c r="U1170" s="5"/>
    </row>
    <row r="1171" spans="10:21" x14ac:dyDescent="0.5">
      <c r="J1171" s="20"/>
      <c r="K1171" s="20"/>
      <c r="L1171" s="5">
        <f>Data!L1171</f>
        <v>0</v>
      </c>
      <c r="M1171" s="5"/>
      <c r="P1171" s="5"/>
      <c r="U1171" s="5"/>
    </row>
    <row r="1172" spans="10:21" x14ac:dyDescent="0.5">
      <c r="J1172" s="20"/>
      <c r="K1172" s="20"/>
      <c r="L1172" s="5">
        <f>Data!L1172</f>
        <v>0</v>
      </c>
      <c r="M1172" s="5"/>
      <c r="P1172" s="5"/>
      <c r="U1172" s="5"/>
    </row>
    <row r="1173" spans="10:21" x14ac:dyDescent="0.5">
      <c r="J1173" s="20"/>
      <c r="K1173" s="20"/>
      <c r="L1173" s="5">
        <f>Data!L1173</f>
        <v>0</v>
      </c>
      <c r="M1173" s="5"/>
      <c r="P1173" s="5"/>
      <c r="U1173" s="5"/>
    </row>
    <row r="1174" spans="10:21" x14ac:dyDescent="0.5">
      <c r="J1174" s="20"/>
      <c r="K1174" s="20"/>
      <c r="L1174" s="5">
        <f>Data!L1174</f>
        <v>0</v>
      </c>
      <c r="M1174" s="5"/>
      <c r="P1174" s="5"/>
      <c r="U1174" s="5"/>
    </row>
    <row r="1175" spans="10:21" x14ac:dyDescent="0.5">
      <c r="J1175" s="20"/>
      <c r="K1175" s="20"/>
      <c r="L1175" s="5">
        <f>Data!L1175</f>
        <v>0</v>
      </c>
      <c r="M1175" s="5"/>
      <c r="P1175" s="5"/>
      <c r="U1175" s="5"/>
    </row>
    <row r="1176" spans="10:21" x14ac:dyDescent="0.5">
      <c r="J1176" s="20"/>
      <c r="K1176" s="20"/>
      <c r="L1176" s="5">
        <f>Data!L1176</f>
        <v>0</v>
      </c>
      <c r="M1176" s="5"/>
      <c r="P1176" s="5"/>
      <c r="U1176" s="5"/>
    </row>
    <row r="1177" spans="10:21" x14ac:dyDescent="0.5">
      <c r="J1177" s="20"/>
      <c r="K1177" s="20"/>
      <c r="L1177" s="5">
        <f>Data!L1177</f>
        <v>0</v>
      </c>
      <c r="M1177" s="5"/>
      <c r="P1177" s="5"/>
      <c r="U1177" s="5"/>
    </row>
    <row r="1178" spans="10:21" x14ac:dyDescent="0.5">
      <c r="J1178" s="20"/>
      <c r="K1178" s="20"/>
      <c r="L1178" s="5">
        <f>Data!L1178</f>
        <v>0</v>
      </c>
      <c r="M1178" s="5"/>
      <c r="P1178" s="5"/>
      <c r="U1178" s="5"/>
    </row>
    <row r="1179" spans="10:21" x14ac:dyDescent="0.5">
      <c r="J1179" s="20"/>
      <c r="K1179" s="20"/>
      <c r="L1179" s="5">
        <f>Data!L1179</f>
        <v>0</v>
      </c>
      <c r="M1179" s="5"/>
      <c r="P1179" s="5"/>
      <c r="U1179" s="5"/>
    </row>
    <row r="1180" spans="10:21" x14ac:dyDescent="0.5">
      <c r="J1180" s="20"/>
      <c r="K1180" s="20"/>
      <c r="L1180" s="5">
        <f>Data!L1180</f>
        <v>0</v>
      </c>
      <c r="M1180" s="5"/>
      <c r="P1180" s="5"/>
      <c r="U1180" s="5"/>
    </row>
    <row r="1181" spans="10:21" x14ac:dyDescent="0.5">
      <c r="J1181" s="20"/>
      <c r="K1181" s="20"/>
      <c r="L1181" s="5">
        <f>Data!L1181</f>
        <v>0</v>
      </c>
      <c r="M1181" s="5"/>
      <c r="P1181" s="5"/>
      <c r="U1181" s="5"/>
    </row>
    <row r="1182" spans="10:21" x14ac:dyDescent="0.5">
      <c r="J1182" s="20"/>
      <c r="K1182" s="20"/>
      <c r="L1182" s="5">
        <f>Data!L1182</f>
        <v>0</v>
      </c>
      <c r="M1182" s="5"/>
      <c r="P1182" s="5"/>
      <c r="U1182" s="5"/>
    </row>
    <row r="1183" spans="10:21" x14ac:dyDescent="0.5">
      <c r="J1183" s="20"/>
      <c r="K1183" s="20"/>
      <c r="L1183" s="5">
        <f>Data!L1183</f>
        <v>0</v>
      </c>
      <c r="M1183" s="5"/>
      <c r="P1183" s="5"/>
      <c r="U1183" s="5"/>
    </row>
    <row r="1184" spans="10:21" x14ac:dyDescent="0.5">
      <c r="J1184" s="20"/>
      <c r="K1184" s="20"/>
      <c r="L1184" s="5">
        <f>Data!L1184</f>
        <v>0</v>
      </c>
      <c r="M1184" s="5"/>
      <c r="P1184" s="5"/>
      <c r="U1184" s="5"/>
    </row>
    <row r="1185" spans="10:21" x14ac:dyDescent="0.5">
      <c r="J1185" s="20"/>
      <c r="K1185" s="20"/>
      <c r="L1185" s="5">
        <f>Data!L1185</f>
        <v>0</v>
      </c>
      <c r="M1185" s="5"/>
      <c r="P1185" s="5"/>
      <c r="U1185" s="5"/>
    </row>
    <row r="1186" spans="10:21" x14ac:dyDescent="0.5">
      <c r="J1186" s="20"/>
      <c r="K1186" s="20"/>
      <c r="L1186" s="5">
        <f>Data!L1186</f>
        <v>0</v>
      </c>
      <c r="M1186" s="5"/>
      <c r="P1186" s="5"/>
      <c r="U1186" s="5"/>
    </row>
    <row r="1187" spans="10:21" x14ac:dyDescent="0.5">
      <c r="J1187" s="20"/>
      <c r="K1187" s="20"/>
      <c r="L1187" s="5">
        <f>Data!L1187</f>
        <v>0</v>
      </c>
      <c r="M1187" s="5"/>
      <c r="P1187" s="5"/>
      <c r="U1187" s="5"/>
    </row>
    <row r="1188" spans="10:21" x14ac:dyDescent="0.5">
      <c r="J1188" s="20"/>
      <c r="K1188" s="20"/>
      <c r="L1188" s="5">
        <f>Data!L1188</f>
        <v>0</v>
      </c>
      <c r="M1188" s="5"/>
      <c r="P1188" s="5"/>
      <c r="U1188" s="5"/>
    </row>
    <row r="1189" spans="10:21" x14ac:dyDescent="0.5">
      <c r="J1189" s="20"/>
      <c r="K1189" s="20"/>
      <c r="L1189" s="5">
        <f>Data!L1189</f>
        <v>0</v>
      </c>
      <c r="M1189" s="5"/>
      <c r="P1189" s="5"/>
      <c r="U1189" s="5"/>
    </row>
    <row r="1190" spans="10:21" x14ac:dyDescent="0.5">
      <c r="J1190" s="20"/>
      <c r="K1190" s="20"/>
      <c r="L1190" s="5">
        <f>Data!L1190</f>
        <v>0</v>
      </c>
      <c r="M1190" s="5"/>
      <c r="P1190" s="5"/>
      <c r="U1190" s="5"/>
    </row>
    <row r="1191" spans="10:21" x14ac:dyDescent="0.5">
      <c r="J1191" s="20"/>
      <c r="K1191" s="20"/>
      <c r="L1191" s="5">
        <f>Data!L1191</f>
        <v>0</v>
      </c>
      <c r="M1191" s="5"/>
      <c r="P1191" s="5"/>
      <c r="U1191" s="5"/>
    </row>
    <row r="1192" spans="10:21" x14ac:dyDescent="0.5">
      <c r="J1192" s="20"/>
      <c r="K1192" s="20"/>
      <c r="L1192" s="5">
        <f>Data!L1192</f>
        <v>0</v>
      </c>
      <c r="M1192" s="5"/>
      <c r="P1192" s="5"/>
      <c r="U1192" s="5"/>
    </row>
    <row r="1193" spans="10:21" x14ac:dyDescent="0.5">
      <c r="J1193" s="20"/>
      <c r="K1193" s="20"/>
      <c r="L1193" s="5">
        <f>Data!L1193</f>
        <v>0</v>
      </c>
      <c r="M1193" s="5"/>
      <c r="P1193" s="5"/>
      <c r="U1193" s="5"/>
    </row>
    <row r="1194" spans="10:21" x14ac:dyDescent="0.5">
      <c r="J1194" s="20"/>
      <c r="K1194" s="20"/>
      <c r="L1194" s="5">
        <f>Data!L1194</f>
        <v>0</v>
      </c>
      <c r="M1194" s="5"/>
      <c r="P1194" s="5"/>
      <c r="U1194" s="5"/>
    </row>
    <row r="1195" spans="10:21" x14ac:dyDescent="0.5">
      <c r="J1195" s="20"/>
      <c r="K1195" s="20"/>
      <c r="L1195" s="5">
        <f>Data!L1195</f>
        <v>0</v>
      </c>
      <c r="M1195" s="5"/>
      <c r="P1195" s="5"/>
      <c r="U1195" s="5"/>
    </row>
    <row r="1196" spans="10:21" x14ac:dyDescent="0.5">
      <c r="J1196" s="20"/>
      <c r="K1196" s="20"/>
      <c r="L1196" s="5">
        <f>Data!L1196</f>
        <v>0</v>
      </c>
      <c r="M1196" s="5"/>
      <c r="P1196" s="5"/>
      <c r="U1196" s="5"/>
    </row>
    <row r="1197" spans="10:21" x14ac:dyDescent="0.5">
      <c r="J1197" s="20"/>
      <c r="K1197" s="20"/>
      <c r="L1197" s="5">
        <f>Data!L1197</f>
        <v>0</v>
      </c>
      <c r="M1197" s="5"/>
      <c r="P1197" s="5"/>
      <c r="U1197" s="5"/>
    </row>
    <row r="1198" spans="10:21" x14ac:dyDescent="0.5">
      <c r="J1198" s="20"/>
      <c r="K1198" s="20"/>
      <c r="L1198" s="5">
        <f>Data!L1198</f>
        <v>0</v>
      </c>
      <c r="M1198" s="5"/>
      <c r="P1198" s="5"/>
      <c r="U1198" s="5"/>
    </row>
    <row r="1199" spans="10:21" x14ac:dyDescent="0.5">
      <c r="J1199" s="20"/>
      <c r="K1199" s="20"/>
      <c r="L1199" s="5">
        <f>Data!L1199</f>
        <v>0</v>
      </c>
      <c r="M1199" s="5"/>
      <c r="P1199" s="5"/>
      <c r="U1199" s="5"/>
    </row>
    <row r="1200" spans="10:21" x14ac:dyDescent="0.5">
      <c r="J1200" s="20"/>
      <c r="K1200" s="20"/>
      <c r="L1200" s="5">
        <f>Data!L1200</f>
        <v>0</v>
      </c>
      <c r="M1200" s="5"/>
      <c r="P1200" s="5"/>
      <c r="U1200" s="5"/>
    </row>
    <row r="1201" spans="10:21" x14ac:dyDescent="0.5">
      <c r="J1201" s="20"/>
      <c r="K1201" s="20"/>
      <c r="L1201" s="5">
        <f>Data!L1201</f>
        <v>0</v>
      </c>
      <c r="M1201" s="5"/>
      <c r="P1201" s="5"/>
      <c r="U1201" s="5"/>
    </row>
    <row r="1202" spans="10:21" x14ac:dyDescent="0.5">
      <c r="J1202" s="20"/>
      <c r="K1202" s="20"/>
      <c r="L1202" s="5">
        <f>Data!L1202</f>
        <v>0</v>
      </c>
      <c r="M1202" s="5"/>
      <c r="P1202" s="5"/>
      <c r="U1202" s="5"/>
    </row>
    <row r="1203" spans="10:21" x14ac:dyDescent="0.5">
      <c r="J1203" s="20"/>
      <c r="K1203" s="20"/>
      <c r="L1203" s="5">
        <f>Data!L1203</f>
        <v>0</v>
      </c>
      <c r="M1203" s="5"/>
      <c r="P1203" s="5"/>
      <c r="U1203" s="5"/>
    </row>
    <row r="1204" spans="10:21" x14ac:dyDescent="0.5">
      <c r="J1204" s="20"/>
      <c r="K1204" s="20"/>
      <c r="L1204" s="5">
        <f>Data!L1204</f>
        <v>0</v>
      </c>
      <c r="M1204" s="5"/>
      <c r="P1204" s="5"/>
      <c r="U1204" s="5"/>
    </row>
    <row r="1205" spans="10:21" x14ac:dyDescent="0.5">
      <c r="J1205" s="20"/>
      <c r="K1205" s="20"/>
      <c r="L1205" s="5">
        <f>Data!L1205</f>
        <v>0</v>
      </c>
      <c r="M1205" s="5"/>
      <c r="P1205" s="5"/>
      <c r="U1205" s="5"/>
    </row>
    <row r="1206" spans="10:21" x14ac:dyDescent="0.5">
      <c r="J1206" s="20"/>
      <c r="K1206" s="20"/>
      <c r="L1206" s="5">
        <f>Data!L1206</f>
        <v>0</v>
      </c>
      <c r="M1206" s="5"/>
      <c r="P1206" s="5"/>
      <c r="U1206" s="5"/>
    </row>
    <row r="1207" spans="10:21" x14ac:dyDescent="0.5">
      <c r="J1207" s="20"/>
      <c r="K1207" s="20"/>
      <c r="L1207" s="5">
        <f>Data!L1207</f>
        <v>0</v>
      </c>
      <c r="M1207" s="5"/>
      <c r="P1207" s="5"/>
      <c r="U1207" s="5"/>
    </row>
    <row r="1208" spans="10:21" x14ac:dyDescent="0.5">
      <c r="J1208" s="20"/>
      <c r="K1208" s="20"/>
      <c r="L1208" s="5">
        <f>Data!L1208</f>
        <v>0</v>
      </c>
      <c r="M1208" s="5"/>
      <c r="P1208" s="5"/>
      <c r="U1208" s="5"/>
    </row>
    <row r="1209" spans="10:21" x14ac:dyDescent="0.5">
      <c r="J1209" s="20"/>
      <c r="K1209" s="20"/>
      <c r="L1209" s="5">
        <f>Data!L1209</f>
        <v>0</v>
      </c>
      <c r="M1209" s="5"/>
      <c r="P1209" s="5"/>
      <c r="U1209" s="5"/>
    </row>
    <row r="1210" spans="10:21" x14ac:dyDescent="0.5">
      <c r="J1210" s="20"/>
      <c r="K1210" s="20"/>
      <c r="L1210" s="5">
        <f>Data!L1210</f>
        <v>0</v>
      </c>
      <c r="M1210" s="5"/>
      <c r="P1210" s="5"/>
      <c r="U1210" s="5"/>
    </row>
    <row r="1211" spans="10:21" x14ac:dyDescent="0.5">
      <c r="J1211" s="20"/>
      <c r="K1211" s="20"/>
      <c r="L1211" s="5">
        <f>Data!L1211</f>
        <v>0</v>
      </c>
      <c r="M1211" s="5"/>
      <c r="P1211" s="5"/>
      <c r="U1211" s="5"/>
    </row>
    <row r="1212" spans="10:21" x14ac:dyDescent="0.5">
      <c r="J1212" s="20"/>
      <c r="K1212" s="20"/>
      <c r="L1212" s="5">
        <f>Data!L1212</f>
        <v>0</v>
      </c>
      <c r="M1212" s="5"/>
      <c r="P1212" s="5"/>
      <c r="U1212" s="5"/>
    </row>
    <row r="1213" spans="10:21" x14ac:dyDescent="0.5">
      <c r="J1213" s="20"/>
      <c r="K1213" s="20"/>
      <c r="L1213" s="5">
        <f>Data!L1213</f>
        <v>0</v>
      </c>
      <c r="M1213" s="5"/>
      <c r="P1213" s="5"/>
      <c r="U1213" s="5"/>
    </row>
    <row r="1214" spans="10:21" x14ac:dyDescent="0.5">
      <c r="J1214" s="20"/>
      <c r="K1214" s="20"/>
      <c r="L1214" s="5">
        <f>Data!L1214</f>
        <v>0</v>
      </c>
      <c r="M1214" s="5"/>
      <c r="P1214" s="5"/>
      <c r="U1214" s="5"/>
    </row>
    <row r="1215" spans="10:21" x14ac:dyDescent="0.5">
      <c r="J1215" s="20"/>
      <c r="K1215" s="20"/>
      <c r="L1215" s="5">
        <f>Data!L1215</f>
        <v>0</v>
      </c>
      <c r="M1215" s="5"/>
      <c r="P1215" s="5"/>
      <c r="U1215" s="5"/>
    </row>
    <row r="1216" spans="10:21" x14ac:dyDescent="0.5">
      <c r="J1216" s="20"/>
      <c r="K1216" s="20"/>
      <c r="L1216" s="5">
        <f>Data!L1216</f>
        <v>0</v>
      </c>
      <c r="M1216" s="5"/>
      <c r="P1216" s="5"/>
      <c r="U1216" s="5"/>
    </row>
    <row r="1217" spans="10:21" x14ac:dyDescent="0.5">
      <c r="J1217" s="20"/>
      <c r="K1217" s="20"/>
      <c r="L1217" s="5">
        <f>Data!L1217</f>
        <v>0</v>
      </c>
      <c r="M1217" s="5"/>
      <c r="P1217" s="5"/>
      <c r="U1217" s="5"/>
    </row>
    <row r="1218" spans="10:21" x14ac:dyDescent="0.5">
      <c r="J1218" s="20"/>
      <c r="K1218" s="20"/>
      <c r="L1218" s="5">
        <f>Data!L1218</f>
        <v>0</v>
      </c>
      <c r="M1218" s="5"/>
      <c r="P1218" s="5"/>
      <c r="U1218" s="5"/>
    </row>
    <row r="1219" spans="10:21" x14ac:dyDescent="0.5">
      <c r="J1219" s="20"/>
      <c r="K1219" s="20"/>
      <c r="L1219" s="5">
        <f>Data!L1219</f>
        <v>0</v>
      </c>
      <c r="M1219" s="5"/>
      <c r="P1219" s="5"/>
      <c r="U1219" s="5"/>
    </row>
    <row r="1220" spans="10:21" x14ac:dyDescent="0.5">
      <c r="J1220" s="20"/>
      <c r="K1220" s="20"/>
      <c r="L1220" s="5">
        <f>Data!L1220</f>
        <v>0</v>
      </c>
      <c r="M1220" s="5"/>
      <c r="P1220" s="5"/>
      <c r="U1220" s="5"/>
    </row>
    <row r="1221" spans="10:21" x14ac:dyDescent="0.5">
      <c r="J1221" s="20"/>
      <c r="K1221" s="20"/>
      <c r="L1221" s="5">
        <f>Data!L1221</f>
        <v>0</v>
      </c>
      <c r="M1221" s="5"/>
      <c r="P1221" s="5"/>
      <c r="U1221" s="5"/>
    </row>
    <row r="1222" spans="10:21" x14ac:dyDescent="0.5">
      <c r="J1222" s="20"/>
      <c r="K1222" s="20"/>
      <c r="L1222" s="5">
        <f>Data!L1222</f>
        <v>0</v>
      </c>
      <c r="M1222" s="5"/>
      <c r="P1222" s="5"/>
      <c r="U1222" s="5"/>
    </row>
    <row r="1223" spans="10:21" x14ac:dyDescent="0.5">
      <c r="J1223" s="20"/>
      <c r="K1223" s="20"/>
      <c r="L1223" s="5">
        <f>Data!L1223</f>
        <v>0</v>
      </c>
      <c r="M1223" s="5"/>
      <c r="P1223" s="5"/>
      <c r="U1223" s="5"/>
    </row>
    <row r="1224" spans="10:21" x14ac:dyDescent="0.5">
      <c r="J1224" s="20"/>
      <c r="K1224" s="20"/>
      <c r="L1224" s="5">
        <f>Data!L1224</f>
        <v>0</v>
      </c>
      <c r="M1224" s="5"/>
      <c r="P1224" s="5"/>
      <c r="U1224" s="5"/>
    </row>
    <row r="1225" spans="10:21" x14ac:dyDescent="0.5">
      <c r="J1225" s="20"/>
      <c r="K1225" s="20"/>
      <c r="L1225" s="5">
        <f>Data!L1225</f>
        <v>0</v>
      </c>
      <c r="M1225" s="5"/>
      <c r="P1225" s="5"/>
      <c r="U1225" s="5"/>
    </row>
    <row r="1226" spans="10:21" x14ac:dyDescent="0.5">
      <c r="J1226" s="20"/>
      <c r="K1226" s="20"/>
      <c r="L1226" s="5">
        <f>Data!L1226</f>
        <v>0</v>
      </c>
      <c r="M1226" s="5"/>
      <c r="P1226" s="5"/>
      <c r="U1226" s="5"/>
    </row>
    <row r="1227" spans="10:21" x14ac:dyDescent="0.5">
      <c r="J1227" s="20"/>
      <c r="K1227" s="20"/>
      <c r="L1227" s="5">
        <f>Data!L1227</f>
        <v>0</v>
      </c>
      <c r="M1227" s="5"/>
      <c r="P1227" s="5"/>
      <c r="U1227" s="5"/>
    </row>
    <row r="1228" spans="10:21" x14ac:dyDescent="0.5">
      <c r="J1228" s="20"/>
      <c r="K1228" s="20"/>
      <c r="L1228" s="5">
        <f>Data!L1228</f>
        <v>0</v>
      </c>
      <c r="M1228" s="5"/>
      <c r="P1228" s="5"/>
      <c r="U1228" s="5"/>
    </row>
    <row r="1229" spans="10:21" x14ac:dyDescent="0.5">
      <c r="J1229" s="20"/>
      <c r="K1229" s="20"/>
      <c r="L1229" s="5">
        <f>Data!L1229</f>
        <v>0</v>
      </c>
      <c r="M1229" s="5"/>
      <c r="P1229" s="5"/>
      <c r="U1229" s="5"/>
    </row>
    <row r="1230" spans="10:21" x14ac:dyDescent="0.5">
      <c r="J1230" s="20"/>
      <c r="K1230" s="20"/>
      <c r="L1230" s="5">
        <f>Data!L1230</f>
        <v>0</v>
      </c>
      <c r="M1230" s="5"/>
      <c r="P1230" s="5"/>
      <c r="U1230" s="5"/>
    </row>
    <row r="1231" spans="10:21" x14ac:dyDescent="0.5">
      <c r="J1231" s="20"/>
      <c r="K1231" s="20"/>
      <c r="L1231" s="5">
        <f>Data!L1231</f>
        <v>0</v>
      </c>
      <c r="M1231" s="5"/>
      <c r="P1231" s="5"/>
      <c r="U1231" s="5"/>
    </row>
    <row r="1232" spans="10:21" x14ac:dyDescent="0.5">
      <c r="J1232" s="20"/>
      <c r="K1232" s="20"/>
      <c r="L1232" s="5">
        <f>Data!L1232</f>
        <v>0</v>
      </c>
      <c r="M1232" s="5"/>
      <c r="P1232" s="5"/>
      <c r="U1232" s="5"/>
    </row>
    <row r="1233" spans="10:21" x14ac:dyDescent="0.5">
      <c r="J1233" s="20"/>
      <c r="K1233" s="20"/>
      <c r="L1233" s="5">
        <f>Data!L1233</f>
        <v>0</v>
      </c>
      <c r="M1233" s="5"/>
      <c r="P1233" s="5"/>
      <c r="U1233" s="5"/>
    </row>
    <row r="1234" spans="10:21" x14ac:dyDescent="0.5">
      <c r="J1234" s="20"/>
      <c r="K1234" s="20"/>
      <c r="L1234" s="5">
        <f>Data!L1234</f>
        <v>0</v>
      </c>
      <c r="M1234" s="5"/>
      <c r="P1234" s="5"/>
      <c r="U1234" s="5"/>
    </row>
    <row r="1235" spans="10:21" x14ac:dyDescent="0.5">
      <c r="J1235" s="20"/>
      <c r="K1235" s="20"/>
      <c r="L1235" s="5">
        <f>Data!L1235</f>
        <v>0</v>
      </c>
      <c r="M1235" s="5"/>
      <c r="P1235" s="5"/>
      <c r="U1235" s="5"/>
    </row>
    <row r="1236" spans="10:21" x14ac:dyDescent="0.5">
      <c r="J1236" s="20"/>
      <c r="K1236" s="20"/>
      <c r="L1236" s="5">
        <f>Data!L1236</f>
        <v>0</v>
      </c>
      <c r="M1236" s="5"/>
      <c r="P1236" s="5"/>
      <c r="U1236" s="5"/>
    </row>
    <row r="1237" spans="10:21" x14ac:dyDescent="0.5">
      <c r="J1237" s="20"/>
      <c r="K1237" s="20"/>
      <c r="L1237" s="5">
        <f>Data!L1237</f>
        <v>0</v>
      </c>
      <c r="M1237" s="5"/>
      <c r="P1237" s="5"/>
      <c r="U1237" s="5"/>
    </row>
    <row r="1238" spans="10:21" x14ac:dyDescent="0.5">
      <c r="J1238" s="20"/>
      <c r="K1238" s="20"/>
      <c r="L1238" s="5">
        <f>Data!L1238</f>
        <v>0</v>
      </c>
      <c r="M1238" s="5"/>
      <c r="P1238" s="5"/>
      <c r="U1238" s="5"/>
    </row>
    <row r="1239" spans="10:21" x14ac:dyDescent="0.5">
      <c r="J1239" s="20"/>
      <c r="K1239" s="20"/>
      <c r="L1239" s="5">
        <f>Data!L1239</f>
        <v>0</v>
      </c>
      <c r="M1239" s="5"/>
      <c r="P1239" s="5"/>
      <c r="U1239" s="5"/>
    </row>
    <row r="1240" spans="10:21" x14ac:dyDescent="0.5">
      <c r="J1240" s="20"/>
      <c r="K1240" s="20"/>
      <c r="L1240" s="5">
        <f>Data!L1240</f>
        <v>0</v>
      </c>
      <c r="M1240" s="5"/>
      <c r="P1240" s="5"/>
      <c r="U1240" s="5"/>
    </row>
    <row r="1241" spans="10:21" x14ac:dyDescent="0.5">
      <c r="J1241" s="20"/>
      <c r="K1241" s="20"/>
      <c r="L1241" s="5">
        <f>Data!L1241</f>
        <v>0</v>
      </c>
      <c r="M1241" s="5"/>
      <c r="P1241" s="5"/>
      <c r="U1241" s="5"/>
    </row>
    <row r="1242" spans="10:21" x14ac:dyDescent="0.5">
      <c r="J1242" s="20"/>
      <c r="K1242" s="20"/>
      <c r="L1242" s="5">
        <f>Data!L1242</f>
        <v>0</v>
      </c>
      <c r="M1242" s="5"/>
      <c r="P1242" s="5"/>
      <c r="U1242" s="5"/>
    </row>
    <row r="1243" spans="10:21" x14ac:dyDescent="0.5">
      <c r="J1243" s="20"/>
      <c r="K1243" s="20"/>
      <c r="L1243" s="5">
        <f>Data!L1243</f>
        <v>0</v>
      </c>
      <c r="M1243" s="5"/>
      <c r="P1243" s="5"/>
      <c r="U1243" s="5"/>
    </row>
    <row r="1244" spans="10:21" x14ac:dyDescent="0.5">
      <c r="J1244" s="20"/>
      <c r="K1244" s="20"/>
      <c r="L1244" s="5">
        <f>Data!L1244</f>
        <v>0</v>
      </c>
      <c r="M1244" s="5"/>
      <c r="P1244" s="5"/>
      <c r="U1244" s="5"/>
    </row>
    <row r="1245" spans="10:21" x14ac:dyDescent="0.5">
      <c r="J1245" s="20"/>
      <c r="K1245" s="20"/>
      <c r="L1245" s="5">
        <f>Data!L1245</f>
        <v>0</v>
      </c>
      <c r="M1245" s="5"/>
      <c r="P1245" s="5"/>
      <c r="U1245" s="5"/>
    </row>
    <row r="1246" spans="10:21" x14ac:dyDescent="0.5">
      <c r="J1246" s="20"/>
      <c r="K1246" s="20"/>
      <c r="L1246" s="5">
        <f>Data!L1246</f>
        <v>0</v>
      </c>
      <c r="M1246" s="5"/>
      <c r="P1246" s="5"/>
      <c r="U1246" s="5"/>
    </row>
    <row r="1247" spans="10:21" x14ac:dyDescent="0.5">
      <c r="J1247" s="20"/>
      <c r="K1247" s="20"/>
      <c r="L1247" s="5">
        <f>Data!L1247</f>
        <v>0</v>
      </c>
      <c r="M1247" s="5"/>
      <c r="P1247" s="5"/>
      <c r="U1247" s="5"/>
    </row>
    <row r="1248" spans="10:21" x14ac:dyDescent="0.5">
      <c r="J1248" s="20"/>
      <c r="K1248" s="20"/>
      <c r="L1248" s="5">
        <f>Data!L1248</f>
        <v>0</v>
      </c>
      <c r="M1248" s="5"/>
      <c r="P1248" s="5"/>
      <c r="U1248" s="5"/>
    </row>
    <row r="1249" spans="10:21" x14ac:dyDescent="0.5">
      <c r="J1249" s="20"/>
      <c r="K1249" s="20"/>
      <c r="L1249" s="5">
        <f>Data!L1249</f>
        <v>0</v>
      </c>
      <c r="M1249" s="5"/>
      <c r="P1249" s="5"/>
      <c r="U1249" s="5"/>
    </row>
    <row r="1250" spans="10:21" x14ac:dyDescent="0.5">
      <c r="J1250" s="20"/>
      <c r="K1250" s="20"/>
      <c r="L1250" s="5">
        <f>Data!L1250</f>
        <v>0</v>
      </c>
      <c r="M1250" s="5"/>
      <c r="P1250" s="5"/>
      <c r="U1250" s="5"/>
    </row>
    <row r="1251" spans="10:21" x14ac:dyDescent="0.5">
      <c r="J1251" s="20"/>
      <c r="K1251" s="20"/>
      <c r="L1251" s="5">
        <f>Data!L1251</f>
        <v>0</v>
      </c>
      <c r="M1251" s="5"/>
      <c r="P1251" s="5"/>
      <c r="U1251" s="5"/>
    </row>
    <row r="1252" spans="10:21" x14ac:dyDescent="0.5">
      <c r="J1252" s="20"/>
      <c r="K1252" s="20"/>
      <c r="L1252" s="5">
        <f>Data!L1252</f>
        <v>0</v>
      </c>
      <c r="M1252" s="5"/>
      <c r="P1252" s="5"/>
      <c r="U1252" s="5"/>
    </row>
    <row r="1253" spans="10:21" x14ac:dyDescent="0.5">
      <c r="J1253" s="20"/>
      <c r="K1253" s="20"/>
      <c r="L1253" s="5">
        <f>Data!L1253</f>
        <v>0</v>
      </c>
      <c r="M1253" s="5"/>
      <c r="P1253" s="5"/>
      <c r="U1253" s="5"/>
    </row>
    <row r="1254" spans="10:21" x14ac:dyDescent="0.5">
      <c r="J1254" s="20"/>
      <c r="K1254" s="20"/>
      <c r="L1254" s="5">
        <f>Data!L1254</f>
        <v>0</v>
      </c>
      <c r="M1254" s="5"/>
      <c r="P1254" s="5"/>
      <c r="U1254" s="5"/>
    </row>
    <row r="1255" spans="10:21" x14ac:dyDescent="0.5">
      <c r="J1255" s="20"/>
      <c r="K1255" s="20"/>
      <c r="L1255" s="5">
        <f>Data!L1255</f>
        <v>0</v>
      </c>
      <c r="M1255" s="5"/>
      <c r="P1255" s="5"/>
      <c r="U1255" s="5"/>
    </row>
    <row r="1256" spans="10:21" x14ac:dyDescent="0.5">
      <c r="J1256" s="20"/>
      <c r="K1256" s="20"/>
      <c r="L1256" s="5">
        <f>Data!L1256</f>
        <v>0</v>
      </c>
      <c r="M1256" s="5"/>
      <c r="P1256" s="5"/>
      <c r="U1256" s="5"/>
    </row>
    <row r="1257" spans="10:21" x14ac:dyDescent="0.5">
      <c r="J1257" s="20"/>
      <c r="K1257" s="20"/>
      <c r="L1257" s="5">
        <f>Data!L1257</f>
        <v>0</v>
      </c>
      <c r="M1257" s="5"/>
      <c r="P1257" s="5"/>
      <c r="U1257" s="5"/>
    </row>
    <row r="1258" spans="10:21" x14ac:dyDescent="0.5">
      <c r="J1258" s="20"/>
      <c r="K1258" s="20"/>
      <c r="L1258" s="5">
        <f>Data!L1258</f>
        <v>0</v>
      </c>
      <c r="M1258" s="5"/>
      <c r="P1258" s="5"/>
      <c r="U1258" s="5"/>
    </row>
    <row r="1259" spans="10:21" x14ac:dyDescent="0.5">
      <c r="J1259" s="20"/>
      <c r="K1259" s="20"/>
      <c r="L1259" s="5">
        <f>Data!L1259</f>
        <v>0</v>
      </c>
      <c r="M1259" s="5"/>
      <c r="P1259" s="5"/>
      <c r="U1259" s="5"/>
    </row>
    <row r="1260" spans="10:21" x14ac:dyDescent="0.5">
      <c r="J1260" s="20"/>
      <c r="K1260" s="20"/>
      <c r="L1260" s="5">
        <f>Data!L1260</f>
        <v>0</v>
      </c>
      <c r="M1260" s="5"/>
      <c r="P1260" s="5"/>
      <c r="U1260" s="5"/>
    </row>
    <row r="1261" spans="10:21" x14ac:dyDescent="0.5">
      <c r="J1261" s="20"/>
      <c r="K1261" s="20"/>
      <c r="L1261" s="5">
        <f>Data!L1261</f>
        <v>0</v>
      </c>
      <c r="M1261" s="5"/>
      <c r="P1261" s="5"/>
      <c r="U1261" s="5"/>
    </row>
    <row r="1262" spans="10:21" x14ac:dyDescent="0.5">
      <c r="J1262" s="20"/>
      <c r="K1262" s="20"/>
      <c r="L1262" s="5">
        <f>Data!L1262</f>
        <v>0</v>
      </c>
      <c r="M1262" s="5"/>
      <c r="P1262" s="5"/>
      <c r="U1262" s="5"/>
    </row>
    <row r="1263" spans="10:21" x14ac:dyDescent="0.5">
      <c r="J1263" s="20"/>
      <c r="K1263" s="20"/>
      <c r="L1263" s="5">
        <f>Data!L1263</f>
        <v>0</v>
      </c>
      <c r="M1263" s="5"/>
      <c r="P1263" s="5"/>
      <c r="U1263" s="5"/>
    </row>
    <row r="1264" spans="10:21" x14ac:dyDescent="0.5">
      <c r="J1264" s="20"/>
      <c r="K1264" s="20"/>
      <c r="L1264" s="5">
        <f>Data!L1264</f>
        <v>0</v>
      </c>
      <c r="M1264" s="5"/>
      <c r="P1264" s="5"/>
      <c r="U1264" s="5"/>
    </row>
    <row r="1265" spans="10:21" x14ac:dyDescent="0.5">
      <c r="J1265" s="20"/>
      <c r="K1265" s="20"/>
      <c r="L1265" s="5">
        <f>Data!L1265</f>
        <v>0</v>
      </c>
      <c r="M1265" s="5"/>
      <c r="P1265" s="5"/>
      <c r="U1265" s="5"/>
    </row>
    <row r="1266" spans="10:21" x14ac:dyDescent="0.5">
      <c r="J1266" s="20"/>
      <c r="K1266" s="20"/>
      <c r="L1266" s="5">
        <f>Data!L1266</f>
        <v>0</v>
      </c>
      <c r="M1266" s="5"/>
      <c r="P1266" s="5"/>
      <c r="U1266" s="5"/>
    </row>
    <row r="1267" spans="10:21" x14ac:dyDescent="0.5">
      <c r="J1267" s="20"/>
      <c r="K1267" s="20"/>
      <c r="L1267" s="5">
        <f>Data!L1267</f>
        <v>0</v>
      </c>
      <c r="M1267" s="5"/>
      <c r="P1267" s="5"/>
      <c r="U1267" s="5"/>
    </row>
    <row r="1268" spans="10:21" x14ac:dyDescent="0.5">
      <c r="J1268" s="20"/>
      <c r="K1268" s="20"/>
      <c r="L1268" s="5">
        <f>Data!L1268</f>
        <v>0</v>
      </c>
      <c r="M1268" s="5"/>
      <c r="P1268" s="5"/>
      <c r="U1268" s="5"/>
    </row>
    <row r="1269" spans="10:21" x14ac:dyDescent="0.5">
      <c r="J1269" s="20"/>
      <c r="K1269" s="20"/>
      <c r="L1269" s="5">
        <f>Data!L1269</f>
        <v>0</v>
      </c>
      <c r="M1269" s="5"/>
      <c r="P1269" s="5"/>
      <c r="U1269" s="5"/>
    </row>
    <row r="1270" spans="10:21" x14ac:dyDescent="0.5">
      <c r="J1270" s="20"/>
      <c r="K1270" s="20"/>
      <c r="L1270" s="5">
        <f>Data!L1270</f>
        <v>0</v>
      </c>
      <c r="M1270" s="5"/>
      <c r="P1270" s="5"/>
      <c r="U1270" s="5"/>
    </row>
    <row r="1271" spans="10:21" x14ac:dyDescent="0.5">
      <c r="J1271" s="20"/>
      <c r="K1271" s="20"/>
      <c r="L1271" s="5">
        <f>Data!L1271</f>
        <v>0</v>
      </c>
      <c r="M1271" s="5"/>
      <c r="P1271" s="5"/>
      <c r="U1271" s="5"/>
    </row>
    <row r="1272" spans="10:21" x14ac:dyDescent="0.5">
      <c r="J1272" s="20"/>
      <c r="K1272" s="20"/>
      <c r="L1272" s="5">
        <f>Data!L1272</f>
        <v>0</v>
      </c>
      <c r="M1272" s="5"/>
      <c r="P1272" s="5"/>
      <c r="U1272" s="5"/>
    </row>
    <row r="1273" spans="10:21" x14ac:dyDescent="0.5">
      <c r="J1273" s="20"/>
      <c r="K1273" s="20"/>
      <c r="L1273" s="5">
        <f>Data!L1273</f>
        <v>0</v>
      </c>
      <c r="M1273" s="5"/>
      <c r="P1273" s="5"/>
      <c r="U1273" s="5"/>
    </row>
    <row r="1274" spans="10:21" x14ac:dyDescent="0.5">
      <c r="J1274" s="20"/>
      <c r="K1274" s="20"/>
      <c r="L1274" s="5">
        <f>Data!L1274</f>
        <v>0</v>
      </c>
      <c r="M1274" s="5"/>
      <c r="P1274" s="5"/>
      <c r="U1274" s="5"/>
    </row>
    <row r="1275" spans="10:21" x14ac:dyDescent="0.5">
      <c r="J1275" s="20"/>
      <c r="K1275" s="20"/>
      <c r="L1275" s="5">
        <f>Data!L1275</f>
        <v>0</v>
      </c>
      <c r="M1275" s="5"/>
      <c r="P1275" s="5"/>
      <c r="U1275" s="5"/>
    </row>
    <row r="1276" spans="10:21" x14ac:dyDescent="0.5">
      <c r="J1276" s="20"/>
      <c r="K1276" s="20"/>
      <c r="L1276" s="5">
        <f>Data!L1276</f>
        <v>0</v>
      </c>
      <c r="M1276" s="5"/>
      <c r="P1276" s="5"/>
      <c r="U1276" s="5"/>
    </row>
    <row r="1277" spans="10:21" x14ac:dyDescent="0.5">
      <c r="J1277" s="20"/>
      <c r="K1277" s="20"/>
      <c r="L1277" s="5">
        <f>Data!L1277</f>
        <v>0</v>
      </c>
      <c r="M1277" s="5"/>
      <c r="P1277" s="5"/>
      <c r="U1277" s="5"/>
    </row>
    <row r="1278" spans="10:21" x14ac:dyDescent="0.5">
      <c r="J1278" s="20"/>
      <c r="K1278" s="20"/>
      <c r="L1278" s="5">
        <f>Data!L1278</f>
        <v>0</v>
      </c>
      <c r="M1278" s="5"/>
      <c r="P1278" s="5"/>
      <c r="U1278" s="5"/>
    </row>
    <row r="1279" spans="10:21" x14ac:dyDescent="0.5">
      <c r="J1279" s="20"/>
      <c r="K1279" s="20"/>
      <c r="L1279" s="5">
        <f>Data!L1279</f>
        <v>0</v>
      </c>
      <c r="M1279" s="5"/>
      <c r="P1279" s="5"/>
      <c r="U1279" s="5"/>
    </row>
    <row r="1280" spans="10:21" x14ac:dyDescent="0.5">
      <c r="J1280" s="20"/>
      <c r="K1280" s="20"/>
      <c r="L1280" s="5">
        <f>Data!L1280</f>
        <v>0</v>
      </c>
      <c r="M1280" s="5"/>
      <c r="P1280" s="5"/>
      <c r="U1280" s="5"/>
    </row>
    <row r="1281" spans="10:21" x14ac:dyDescent="0.5">
      <c r="J1281" s="20"/>
      <c r="K1281" s="20"/>
      <c r="L1281" s="5">
        <f>Data!L1281</f>
        <v>0</v>
      </c>
      <c r="M1281" s="5"/>
      <c r="P1281" s="5"/>
      <c r="U1281" s="5"/>
    </row>
    <row r="1282" spans="10:21" x14ac:dyDescent="0.5">
      <c r="J1282" s="20"/>
      <c r="K1282" s="20"/>
      <c r="L1282" s="5">
        <f>Data!L1282</f>
        <v>0</v>
      </c>
      <c r="M1282" s="5"/>
      <c r="P1282" s="5"/>
      <c r="U1282" s="5"/>
    </row>
    <row r="1283" spans="10:21" x14ac:dyDescent="0.5">
      <c r="J1283" s="20"/>
      <c r="K1283" s="20"/>
      <c r="L1283" s="5">
        <f>Data!L1283</f>
        <v>0</v>
      </c>
      <c r="M1283" s="5"/>
      <c r="P1283" s="5"/>
      <c r="U1283" s="5"/>
    </row>
    <row r="1284" spans="10:21" x14ac:dyDescent="0.5">
      <c r="J1284" s="20"/>
      <c r="K1284" s="20"/>
      <c r="L1284" s="5">
        <f>Data!L1284</f>
        <v>0</v>
      </c>
      <c r="M1284" s="5"/>
      <c r="P1284" s="5"/>
      <c r="U1284" s="5"/>
    </row>
    <row r="1285" spans="10:21" x14ac:dyDescent="0.5">
      <c r="J1285" s="20"/>
      <c r="K1285" s="20"/>
      <c r="L1285" s="5">
        <f>Data!L1285</f>
        <v>0</v>
      </c>
      <c r="M1285" s="5"/>
      <c r="P1285" s="5"/>
      <c r="U1285" s="5"/>
    </row>
    <row r="1286" spans="10:21" x14ac:dyDescent="0.5">
      <c r="J1286" s="20"/>
      <c r="K1286" s="20"/>
      <c r="L1286" s="5">
        <f>Data!L1286</f>
        <v>0</v>
      </c>
      <c r="M1286" s="5"/>
      <c r="P1286" s="5"/>
      <c r="U1286" s="5"/>
    </row>
    <row r="1287" spans="10:21" x14ac:dyDescent="0.5">
      <c r="J1287" s="20"/>
      <c r="K1287" s="20"/>
      <c r="L1287" s="5">
        <f>Data!L1287</f>
        <v>0</v>
      </c>
      <c r="M1287" s="5"/>
      <c r="P1287" s="5"/>
      <c r="U1287" s="5"/>
    </row>
    <row r="1288" spans="10:21" x14ac:dyDescent="0.5">
      <c r="J1288" s="20"/>
      <c r="K1288" s="20"/>
      <c r="L1288" s="5">
        <f>Data!L1288</f>
        <v>0</v>
      </c>
      <c r="M1288" s="5"/>
      <c r="P1288" s="5"/>
      <c r="U1288" s="5"/>
    </row>
    <row r="1289" spans="10:21" x14ac:dyDescent="0.5">
      <c r="J1289" s="20"/>
      <c r="K1289" s="20"/>
      <c r="L1289" s="5">
        <f>Data!L1289</f>
        <v>0</v>
      </c>
      <c r="M1289" s="5"/>
      <c r="P1289" s="5"/>
      <c r="U1289" s="5"/>
    </row>
    <row r="1290" spans="10:21" x14ac:dyDescent="0.5">
      <c r="J1290" s="20"/>
      <c r="K1290" s="20"/>
      <c r="L1290" s="5">
        <f>Data!L1290</f>
        <v>0</v>
      </c>
      <c r="M1290" s="5"/>
      <c r="P1290" s="5"/>
      <c r="U1290" s="5"/>
    </row>
    <row r="1291" spans="10:21" x14ac:dyDescent="0.5">
      <c r="J1291" s="20"/>
      <c r="K1291" s="20"/>
      <c r="L1291" s="5">
        <f>Data!L1291</f>
        <v>0</v>
      </c>
      <c r="M1291" s="5"/>
      <c r="P1291" s="5"/>
      <c r="U1291" s="5"/>
    </row>
    <row r="1292" spans="10:21" x14ac:dyDescent="0.5">
      <c r="J1292" s="20"/>
      <c r="K1292" s="20"/>
      <c r="L1292" s="5">
        <f>Data!L1292</f>
        <v>0</v>
      </c>
      <c r="M1292" s="5"/>
      <c r="P1292" s="5"/>
      <c r="U1292" s="5"/>
    </row>
    <row r="1293" spans="10:21" x14ac:dyDescent="0.5">
      <c r="J1293" s="20"/>
      <c r="K1293" s="20"/>
      <c r="L1293" s="5">
        <f>Data!L1293</f>
        <v>0</v>
      </c>
      <c r="M1293" s="5"/>
      <c r="P1293" s="5"/>
      <c r="U1293" s="5"/>
    </row>
    <row r="1294" spans="10:21" x14ac:dyDescent="0.5">
      <c r="J1294" s="20"/>
      <c r="K1294" s="20"/>
      <c r="L1294" s="5">
        <f>Data!L1294</f>
        <v>0</v>
      </c>
      <c r="M1294" s="5"/>
      <c r="P1294" s="5"/>
      <c r="U1294" s="5"/>
    </row>
    <row r="1295" spans="10:21" x14ac:dyDescent="0.5">
      <c r="J1295" s="20"/>
      <c r="K1295" s="20"/>
      <c r="L1295" s="5">
        <f>Data!L1295</f>
        <v>0</v>
      </c>
      <c r="M1295" s="5"/>
      <c r="P1295" s="5"/>
      <c r="U1295" s="5"/>
    </row>
    <row r="1296" spans="10:21" x14ac:dyDescent="0.5">
      <c r="J1296" s="20"/>
      <c r="K1296" s="20"/>
      <c r="L1296" s="5">
        <f>Data!L1296</f>
        <v>0</v>
      </c>
      <c r="M1296" s="5"/>
      <c r="P1296" s="5"/>
      <c r="U1296" s="5"/>
    </row>
    <row r="1297" spans="10:21" x14ac:dyDescent="0.5">
      <c r="J1297" s="20"/>
      <c r="K1297" s="20"/>
      <c r="L1297" s="5">
        <f>Data!L1297</f>
        <v>0</v>
      </c>
      <c r="M1297" s="5"/>
      <c r="P1297" s="5"/>
      <c r="U1297" s="5"/>
    </row>
    <row r="1298" spans="10:21" x14ac:dyDescent="0.5">
      <c r="J1298" s="20"/>
      <c r="K1298" s="20"/>
      <c r="L1298" s="5">
        <f>Data!L1298</f>
        <v>0</v>
      </c>
      <c r="M1298" s="5"/>
      <c r="P1298" s="5"/>
      <c r="U1298" s="5"/>
    </row>
    <row r="1299" spans="10:21" x14ac:dyDescent="0.5">
      <c r="J1299" s="20"/>
      <c r="K1299" s="20"/>
      <c r="L1299" s="5">
        <f>Data!L1299</f>
        <v>0</v>
      </c>
      <c r="M1299" s="5"/>
      <c r="P1299" s="5"/>
      <c r="U1299" s="5"/>
    </row>
    <row r="1300" spans="10:21" x14ac:dyDescent="0.5">
      <c r="J1300" s="20"/>
      <c r="K1300" s="20"/>
      <c r="L1300" s="5">
        <f>Data!L1300</f>
        <v>0</v>
      </c>
      <c r="M1300" s="5"/>
      <c r="P1300" s="5"/>
      <c r="U1300" s="5"/>
    </row>
    <row r="1301" spans="10:21" x14ac:dyDescent="0.5">
      <c r="J1301" s="20"/>
      <c r="K1301" s="20"/>
      <c r="L1301" s="5">
        <f>Data!L1301</f>
        <v>0</v>
      </c>
      <c r="M1301" s="5"/>
      <c r="P1301" s="5"/>
      <c r="U1301" s="5"/>
    </row>
    <row r="1302" spans="10:21" x14ac:dyDescent="0.5">
      <c r="J1302" s="20"/>
      <c r="K1302" s="20"/>
      <c r="L1302" s="5">
        <f>Data!L1302</f>
        <v>0</v>
      </c>
      <c r="M1302" s="5"/>
      <c r="P1302" s="5"/>
      <c r="U1302" s="5"/>
    </row>
    <row r="1303" spans="10:21" x14ac:dyDescent="0.5">
      <c r="J1303" s="20"/>
      <c r="K1303" s="20"/>
      <c r="L1303" s="5">
        <f>Data!L1303</f>
        <v>0</v>
      </c>
      <c r="M1303" s="5"/>
      <c r="P1303" s="5"/>
      <c r="U1303" s="5"/>
    </row>
    <row r="1304" spans="10:21" x14ac:dyDescent="0.5">
      <c r="J1304" s="20"/>
      <c r="K1304" s="20"/>
      <c r="L1304" s="5">
        <f>Data!L1304</f>
        <v>0</v>
      </c>
      <c r="M1304" s="5"/>
      <c r="P1304" s="5"/>
      <c r="U1304" s="5"/>
    </row>
    <row r="1305" spans="10:21" x14ac:dyDescent="0.5">
      <c r="J1305" s="20"/>
      <c r="K1305" s="20"/>
      <c r="L1305" s="5">
        <f>Data!L1305</f>
        <v>0</v>
      </c>
      <c r="M1305" s="5"/>
      <c r="P1305" s="5"/>
      <c r="U1305" s="5"/>
    </row>
    <row r="1306" spans="10:21" x14ac:dyDescent="0.5">
      <c r="J1306" s="20"/>
      <c r="K1306" s="20"/>
      <c r="L1306" s="5">
        <f>Data!L1306</f>
        <v>0</v>
      </c>
      <c r="M1306" s="5"/>
      <c r="P1306" s="5"/>
      <c r="U1306" s="5"/>
    </row>
    <row r="1307" spans="10:21" x14ac:dyDescent="0.5">
      <c r="J1307" s="20"/>
      <c r="K1307" s="20"/>
      <c r="L1307" s="5">
        <f>Data!L1307</f>
        <v>0</v>
      </c>
      <c r="M1307" s="5"/>
      <c r="P1307" s="5"/>
      <c r="U1307" s="5"/>
    </row>
    <row r="1308" spans="10:21" x14ac:dyDescent="0.5">
      <c r="J1308" s="20"/>
      <c r="K1308" s="20"/>
      <c r="L1308" s="5">
        <f>Data!L1308</f>
        <v>0</v>
      </c>
      <c r="M1308" s="5"/>
      <c r="P1308" s="5"/>
      <c r="U1308" s="5"/>
    </row>
    <row r="1309" spans="10:21" x14ac:dyDescent="0.5">
      <c r="J1309" s="20"/>
      <c r="K1309" s="20"/>
      <c r="L1309" s="5">
        <f>Data!L1309</f>
        <v>0</v>
      </c>
      <c r="M1309" s="5"/>
      <c r="P1309" s="5"/>
      <c r="U1309" s="5"/>
    </row>
    <row r="1310" spans="10:21" x14ac:dyDescent="0.5">
      <c r="J1310" s="20"/>
      <c r="K1310" s="20"/>
      <c r="L1310" s="5">
        <f>Data!L1310</f>
        <v>0</v>
      </c>
      <c r="M1310" s="5"/>
      <c r="P1310" s="5"/>
      <c r="U1310" s="5"/>
    </row>
    <row r="1311" spans="10:21" x14ac:dyDescent="0.5">
      <c r="J1311" s="20"/>
      <c r="K1311" s="20"/>
      <c r="L1311" s="5">
        <f>Data!L1311</f>
        <v>0</v>
      </c>
      <c r="M1311" s="5"/>
      <c r="P1311" s="5"/>
      <c r="U1311" s="5"/>
    </row>
    <row r="1312" spans="10:21" x14ac:dyDescent="0.5">
      <c r="J1312" s="20"/>
      <c r="K1312" s="20"/>
      <c r="L1312" s="5">
        <f>Data!L1312</f>
        <v>0</v>
      </c>
      <c r="M1312" s="5"/>
      <c r="P1312" s="5"/>
      <c r="U1312" s="5"/>
    </row>
    <row r="1313" spans="10:21" x14ac:dyDescent="0.5">
      <c r="J1313" s="20"/>
      <c r="K1313" s="20"/>
      <c r="L1313" s="5">
        <f>Data!L1313</f>
        <v>0</v>
      </c>
      <c r="M1313" s="5"/>
      <c r="P1313" s="5"/>
      <c r="U1313" s="5"/>
    </row>
    <row r="1314" spans="10:21" x14ac:dyDescent="0.5">
      <c r="J1314" s="20"/>
      <c r="K1314" s="20"/>
      <c r="L1314" s="5">
        <f>Data!L1314</f>
        <v>0</v>
      </c>
      <c r="M1314" s="5"/>
      <c r="P1314" s="5"/>
      <c r="U1314" s="5"/>
    </row>
    <row r="1315" spans="10:21" x14ac:dyDescent="0.5">
      <c r="J1315" s="20"/>
      <c r="K1315" s="20"/>
      <c r="L1315" s="5">
        <f>Data!L1315</f>
        <v>0</v>
      </c>
      <c r="M1315" s="5"/>
      <c r="P1315" s="5"/>
      <c r="U1315" s="5"/>
    </row>
    <row r="1316" spans="10:21" x14ac:dyDescent="0.5">
      <c r="J1316" s="20"/>
      <c r="K1316" s="20"/>
      <c r="L1316" s="5">
        <f>Data!L1316</f>
        <v>0</v>
      </c>
      <c r="M1316" s="5"/>
      <c r="P1316" s="5"/>
      <c r="U1316" s="5"/>
    </row>
    <row r="1317" spans="10:21" x14ac:dyDescent="0.5">
      <c r="J1317" s="20"/>
      <c r="K1317" s="20"/>
      <c r="L1317" s="5">
        <f>Data!L1317</f>
        <v>0</v>
      </c>
      <c r="M1317" s="5"/>
      <c r="P1317" s="5"/>
      <c r="U1317" s="5"/>
    </row>
    <row r="1318" spans="10:21" x14ac:dyDescent="0.5">
      <c r="J1318" s="20"/>
      <c r="K1318" s="20"/>
      <c r="L1318" s="5">
        <f>Data!L1318</f>
        <v>0</v>
      </c>
      <c r="M1318" s="5"/>
      <c r="P1318" s="5"/>
      <c r="U1318" s="5"/>
    </row>
    <row r="1319" spans="10:21" x14ac:dyDescent="0.5">
      <c r="J1319" s="20"/>
      <c r="K1319" s="20"/>
      <c r="L1319" s="5">
        <f>Data!L1319</f>
        <v>0</v>
      </c>
      <c r="M1319" s="5"/>
      <c r="P1319" s="5"/>
      <c r="U1319" s="5"/>
    </row>
    <row r="1320" spans="10:21" x14ac:dyDescent="0.5">
      <c r="J1320" s="20"/>
      <c r="K1320" s="20"/>
      <c r="L1320" s="5">
        <f>Data!L1320</f>
        <v>0</v>
      </c>
      <c r="M1320" s="5"/>
      <c r="P1320" s="5"/>
      <c r="U1320" s="5"/>
    </row>
    <row r="1321" spans="10:21" x14ac:dyDescent="0.5">
      <c r="J1321" s="20"/>
      <c r="K1321" s="20"/>
      <c r="L1321" s="5">
        <f>Data!L1321</f>
        <v>0</v>
      </c>
      <c r="M1321" s="5"/>
      <c r="P1321" s="5"/>
      <c r="U1321" s="5"/>
    </row>
    <row r="1322" spans="10:21" x14ac:dyDescent="0.5">
      <c r="J1322" s="20"/>
      <c r="K1322" s="20"/>
      <c r="L1322" s="5">
        <f>Data!L1322</f>
        <v>0</v>
      </c>
      <c r="M1322" s="5"/>
      <c r="P1322" s="5"/>
      <c r="U1322" s="5"/>
    </row>
    <row r="1323" spans="10:21" x14ac:dyDescent="0.5">
      <c r="J1323" s="20"/>
      <c r="K1323" s="20"/>
      <c r="L1323" s="5">
        <f>Data!L1323</f>
        <v>0</v>
      </c>
      <c r="M1323" s="5"/>
      <c r="P1323" s="5"/>
      <c r="U1323" s="5"/>
    </row>
    <row r="1324" spans="10:21" x14ac:dyDescent="0.5">
      <c r="J1324" s="20"/>
      <c r="K1324" s="20"/>
      <c r="L1324" s="5">
        <f>Data!L1324</f>
        <v>0</v>
      </c>
      <c r="M1324" s="5"/>
      <c r="P1324" s="5"/>
      <c r="U1324" s="5"/>
    </row>
    <row r="1325" spans="10:21" x14ac:dyDescent="0.5">
      <c r="J1325" s="20"/>
      <c r="K1325" s="20"/>
      <c r="L1325" s="5">
        <f>Data!L1325</f>
        <v>0</v>
      </c>
      <c r="M1325" s="5"/>
      <c r="P1325" s="5"/>
      <c r="U1325" s="5"/>
    </row>
    <row r="1326" spans="10:21" x14ac:dyDescent="0.5">
      <c r="J1326" s="20"/>
      <c r="K1326" s="20"/>
      <c r="L1326" s="5">
        <f>Data!L1326</f>
        <v>0</v>
      </c>
      <c r="M1326" s="5"/>
      <c r="P1326" s="5"/>
      <c r="U1326" s="5"/>
    </row>
    <row r="1327" spans="10:21" x14ac:dyDescent="0.5">
      <c r="J1327" s="20"/>
      <c r="K1327" s="20"/>
      <c r="L1327" s="5">
        <f>Data!L1327</f>
        <v>0</v>
      </c>
      <c r="M1327" s="5"/>
      <c r="P1327" s="5"/>
      <c r="U1327" s="5"/>
    </row>
    <row r="1328" spans="10:21" x14ac:dyDescent="0.5">
      <c r="J1328" s="20"/>
      <c r="K1328" s="20"/>
      <c r="L1328" s="5">
        <f>Data!L1328</f>
        <v>0</v>
      </c>
      <c r="M1328" s="5"/>
      <c r="P1328" s="5"/>
      <c r="U1328" s="5"/>
    </row>
    <row r="1329" spans="10:21" x14ac:dyDescent="0.5">
      <c r="J1329" s="20"/>
      <c r="K1329" s="20"/>
      <c r="L1329" s="5">
        <f>Data!L1329</f>
        <v>0</v>
      </c>
      <c r="M1329" s="5"/>
      <c r="P1329" s="5"/>
      <c r="U1329" s="5"/>
    </row>
    <row r="1330" spans="10:21" x14ac:dyDescent="0.5">
      <c r="J1330" s="20"/>
      <c r="K1330" s="20"/>
      <c r="L1330" s="5">
        <f>Data!L1330</f>
        <v>0</v>
      </c>
      <c r="M1330" s="5"/>
      <c r="P1330" s="5"/>
      <c r="U1330" s="5"/>
    </row>
    <row r="1331" spans="10:21" x14ac:dyDescent="0.5">
      <c r="J1331" s="20"/>
      <c r="K1331" s="20"/>
      <c r="L1331" s="5">
        <f>Data!L1331</f>
        <v>0</v>
      </c>
      <c r="M1331" s="5"/>
      <c r="P1331" s="5"/>
      <c r="U1331" s="5"/>
    </row>
    <row r="1332" spans="10:21" x14ac:dyDescent="0.5">
      <c r="J1332" s="20"/>
      <c r="K1332" s="20"/>
      <c r="L1332" s="5">
        <f>Data!L1332</f>
        <v>0</v>
      </c>
      <c r="M1332" s="5"/>
      <c r="P1332" s="5"/>
      <c r="U1332" s="5"/>
    </row>
    <row r="1333" spans="10:21" x14ac:dyDescent="0.5">
      <c r="J1333" s="20"/>
      <c r="K1333" s="20"/>
      <c r="L1333" s="5">
        <f>Data!L1333</f>
        <v>0</v>
      </c>
      <c r="M1333" s="5"/>
      <c r="P1333" s="5"/>
      <c r="U1333" s="5"/>
    </row>
    <row r="1334" spans="10:21" x14ac:dyDescent="0.5">
      <c r="J1334" s="20"/>
      <c r="K1334" s="20"/>
      <c r="L1334" s="5">
        <f>Data!L1334</f>
        <v>0</v>
      </c>
      <c r="M1334" s="5"/>
      <c r="P1334" s="5"/>
      <c r="U1334" s="5"/>
    </row>
    <row r="1335" spans="10:21" x14ac:dyDescent="0.5">
      <c r="J1335" s="20"/>
      <c r="K1335" s="20"/>
      <c r="L1335" s="5">
        <f>Data!L1335</f>
        <v>0</v>
      </c>
      <c r="M1335" s="5"/>
      <c r="P1335" s="5"/>
      <c r="U1335" s="5"/>
    </row>
    <row r="1336" spans="10:21" x14ac:dyDescent="0.5">
      <c r="J1336" s="20"/>
      <c r="K1336" s="20"/>
      <c r="L1336" s="5">
        <f>Data!L1336</f>
        <v>0</v>
      </c>
      <c r="M1336" s="5"/>
      <c r="P1336" s="5"/>
      <c r="U1336" s="5"/>
    </row>
    <row r="1337" spans="10:21" x14ac:dyDescent="0.5">
      <c r="J1337" s="20"/>
      <c r="K1337" s="20"/>
      <c r="L1337" s="5">
        <f>Data!L1337</f>
        <v>0</v>
      </c>
      <c r="M1337" s="5"/>
      <c r="P1337" s="5"/>
      <c r="U1337" s="5"/>
    </row>
    <row r="1338" spans="10:21" x14ac:dyDescent="0.5">
      <c r="J1338" s="20"/>
      <c r="K1338" s="20"/>
      <c r="L1338" s="5">
        <f>Data!L1338</f>
        <v>0</v>
      </c>
      <c r="M1338" s="5"/>
      <c r="P1338" s="5"/>
      <c r="U1338" s="5"/>
    </row>
    <row r="1339" spans="10:21" x14ac:dyDescent="0.5">
      <c r="J1339" s="20"/>
      <c r="K1339" s="20"/>
      <c r="L1339" s="5">
        <f>Data!L1339</f>
        <v>0</v>
      </c>
      <c r="M1339" s="5"/>
      <c r="P1339" s="5"/>
      <c r="U1339" s="5"/>
    </row>
    <row r="1340" spans="10:21" x14ac:dyDescent="0.5">
      <c r="J1340" s="20"/>
      <c r="K1340" s="20"/>
      <c r="L1340" s="5">
        <f>Data!L1340</f>
        <v>0</v>
      </c>
      <c r="M1340" s="5"/>
      <c r="P1340" s="5"/>
      <c r="U1340" s="5"/>
    </row>
    <row r="1341" spans="10:21" x14ac:dyDescent="0.5">
      <c r="J1341" s="20"/>
      <c r="K1341" s="20"/>
      <c r="L1341" s="5">
        <f>Data!L1341</f>
        <v>0</v>
      </c>
      <c r="M1341" s="5"/>
      <c r="P1341" s="5"/>
      <c r="U1341" s="5"/>
    </row>
    <row r="1342" spans="10:21" x14ac:dyDescent="0.5">
      <c r="J1342" s="20"/>
      <c r="K1342" s="20"/>
      <c r="L1342" s="5">
        <f>Data!L1342</f>
        <v>0</v>
      </c>
      <c r="M1342" s="5"/>
      <c r="P1342" s="5"/>
      <c r="U1342" s="5"/>
    </row>
    <row r="1343" spans="10:21" x14ac:dyDescent="0.5">
      <c r="J1343" s="20"/>
      <c r="K1343" s="20"/>
      <c r="L1343" s="5">
        <f>Data!L1343</f>
        <v>0</v>
      </c>
      <c r="M1343" s="5"/>
      <c r="P1343" s="5"/>
      <c r="U1343" s="5"/>
    </row>
    <row r="1344" spans="10:21" x14ac:dyDescent="0.5">
      <c r="J1344" s="20"/>
      <c r="K1344" s="20"/>
      <c r="L1344" s="5">
        <f>Data!L1344</f>
        <v>0</v>
      </c>
      <c r="M1344" s="5"/>
      <c r="P1344" s="5"/>
      <c r="U1344" s="5"/>
    </row>
    <row r="1345" spans="10:21" x14ac:dyDescent="0.5">
      <c r="J1345" s="20"/>
      <c r="K1345" s="20"/>
      <c r="L1345" s="5">
        <f>Data!L1345</f>
        <v>0</v>
      </c>
      <c r="M1345" s="5"/>
      <c r="P1345" s="5"/>
      <c r="U1345" s="5"/>
    </row>
    <row r="1346" spans="10:21" x14ac:dyDescent="0.5">
      <c r="J1346" s="20"/>
      <c r="K1346" s="20"/>
      <c r="L1346" s="5">
        <f>Data!L1346</f>
        <v>0</v>
      </c>
      <c r="M1346" s="5"/>
      <c r="P1346" s="5"/>
      <c r="U1346" s="5"/>
    </row>
    <row r="1347" spans="10:21" x14ac:dyDescent="0.5">
      <c r="J1347" s="20"/>
      <c r="K1347" s="20"/>
      <c r="L1347" s="5">
        <f>Data!L1347</f>
        <v>0</v>
      </c>
      <c r="M1347" s="5"/>
      <c r="P1347" s="5"/>
      <c r="U1347" s="5"/>
    </row>
    <row r="1348" spans="10:21" x14ac:dyDescent="0.5">
      <c r="J1348" s="20"/>
      <c r="K1348" s="20"/>
      <c r="L1348" s="5">
        <f>Data!L1348</f>
        <v>0</v>
      </c>
      <c r="M1348" s="5"/>
      <c r="P1348" s="5"/>
      <c r="U1348" s="5"/>
    </row>
    <row r="1349" spans="10:21" x14ac:dyDescent="0.5">
      <c r="J1349" s="20"/>
      <c r="K1349" s="20"/>
      <c r="L1349" s="5">
        <f>Data!L1349</f>
        <v>0</v>
      </c>
      <c r="M1349" s="5"/>
      <c r="P1349" s="5"/>
      <c r="U1349" s="5"/>
    </row>
    <row r="1350" spans="10:21" x14ac:dyDescent="0.5">
      <c r="J1350" s="20"/>
      <c r="K1350" s="20"/>
      <c r="L1350" s="5">
        <f>Data!L1350</f>
        <v>0</v>
      </c>
      <c r="M1350" s="5"/>
      <c r="P1350" s="5"/>
      <c r="U1350" s="5"/>
    </row>
    <row r="1351" spans="10:21" x14ac:dyDescent="0.5">
      <c r="J1351" s="20"/>
      <c r="K1351" s="20"/>
      <c r="L1351" s="5">
        <f>Data!L1351</f>
        <v>0</v>
      </c>
      <c r="M1351" s="5"/>
      <c r="P1351" s="5"/>
      <c r="U1351" s="5"/>
    </row>
    <row r="1352" spans="10:21" x14ac:dyDescent="0.5">
      <c r="J1352" s="20"/>
      <c r="K1352" s="20"/>
      <c r="L1352" s="5">
        <f>Data!L1352</f>
        <v>0</v>
      </c>
      <c r="M1352" s="5"/>
      <c r="P1352" s="5"/>
      <c r="U1352" s="5"/>
    </row>
    <row r="1353" spans="10:21" x14ac:dyDescent="0.5">
      <c r="J1353" s="20"/>
      <c r="K1353" s="20"/>
      <c r="L1353" s="5">
        <f>Data!L1353</f>
        <v>0</v>
      </c>
      <c r="M1353" s="5"/>
      <c r="P1353" s="5"/>
      <c r="U1353" s="5"/>
    </row>
    <row r="1354" spans="10:21" x14ac:dyDescent="0.5">
      <c r="J1354" s="20"/>
      <c r="K1354" s="20"/>
      <c r="L1354" s="5">
        <f>Data!L1354</f>
        <v>0</v>
      </c>
      <c r="M1354" s="5"/>
      <c r="P1354" s="5"/>
      <c r="U1354" s="5"/>
    </row>
    <row r="1355" spans="10:21" x14ac:dyDescent="0.5">
      <c r="J1355" s="20"/>
      <c r="K1355" s="20"/>
      <c r="L1355" s="5">
        <f>Data!L1355</f>
        <v>0</v>
      </c>
      <c r="M1355" s="5"/>
      <c r="P1355" s="5"/>
      <c r="U1355" s="5"/>
    </row>
    <row r="1356" spans="10:21" x14ac:dyDescent="0.5">
      <c r="J1356" s="20"/>
      <c r="K1356" s="20"/>
      <c r="L1356" s="5">
        <f>Data!L1356</f>
        <v>0</v>
      </c>
      <c r="M1356" s="5"/>
      <c r="P1356" s="5"/>
      <c r="U1356" s="5"/>
    </row>
    <row r="1357" spans="10:21" x14ac:dyDescent="0.5">
      <c r="J1357" s="20"/>
      <c r="K1357" s="20"/>
      <c r="L1357" s="5">
        <f>Data!L1357</f>
        <v>0</v>
      </c>
      <c r="M1357" s="5"/>
      <c r="P1357" s="5"/>
      <c r="U1357" s="5"/>
    </row>
    <row r="1358" spans="10:21" x14ac:dyDescent="0.5">
      <c r="J1358" s="20"/>
      <c r="K1358" s="20"/>
      <c r="L1358" s="5">
        <f>Data!L1358</f>
        <v>0</v>
      </c>
      <c r="M1358" s="5"/>
      <c r="P1358" s="5"/>
      <c r="U1358" s="5"/>
    </row>
    <row r="1359" spans="10:21" x14ac:dyDescent="0.5">
      <c r="J1359" s="20"/>
      <c r="K1359" s="20"/>
      <c r="L1359" s="5">
        <f>Data!L1359</f>
        <v>0</v>
      </c>
      <c r="M1359" s="5"/>
      <c r="P1359" s="5"/>
      <c r="U1359" s="5"/>
    </row>
    <row r="1360" spans="10:21" x14ac:dyDescent="0.5">
      <c r="J1360" s="20"/>
      <c r="K1360" s="20"/>
      <c r="L1360" s="5">
        <f>Data!L1360</f>
        <v>0</v>
      </c>
      <c r="M1360" s="5"/>
      <c r="P1360" s="5"/>
      <c r="U1360" s="5"/>
    </row>
    <row r="1361" spans="10:21" x14ac:dyDescent="0.5">
      <c r="J1361" s="20"/>
      <c r="K1361" s="20"/>
      <c r="L1361" s="5">
        <f>Data!L1361</f>
        <v>0</v>
      </c>
      <c r="M1361" s="5"/>
      <c r="P1361" s="5"/>
      <c r="U1361" s="5"/>
    </row>
    <row r="1362" spans="10:21" x14ac:dyDescent="0.5">
      <c r="J1362" s="20"/>
      <c r="K1362" s="20"/>
      <c r="L1362" s="5">
        <f>Data!L1362</f>
        <v>0</v>
      </c>
      <c r="M1362" s="5"/>
      <c r="P1362" s="5"/>
      <c r="U1362" s="5"/>
    </row>
    <row r="1363" spans="10:21" x14ac:dyDescent="0.5">
      <c r="J1363" s="20"/>
      <c r="K1363" s="20"/>
      <c r="L1363" s="5">
        <f>Data!L1363</f>
        <v>0</v>
      </c>
      <c r="M1363" s="5"/>
      <c r="P1363" s="5"/>
      <c r="U1363" s="5"/>
    </row>
    <row r="1364" spans="10:21" x14ac:dyDescent="0.5">
      <c r="J1364" s="20"/>
      <c r="K1364" s="20"/>
      <c r="L1364" s="5">
        <f>Data!L1364</f>
        <v>0</v>
      </c>
      <c r="M1364" s="5"/>
      <c r="P1364" s="5"/>
      <c r="U1364" s="5"/>
    </row>
    <row r="1365" spans="10:21" x14ac:dyDescent="0.5">
      <c r="J1365" s="20"/>
      <c r="K1365" s="20"/>
      <c r="L1365" s="5">
        <f>Data!L1365</f>
        <v>0</v>
      </c>
      <c r="M1365" s="5"/>
      <c r="P1365" s="5"/>
      <c r="U1365" s="5"/>
    </row>
    <row r="1366" spans="10:21" x14ac:dyDescent="0.5">
      <c r="J1366" s="20"/>
      <c r="K1366" s="20"/>
      <c r="L1366" s="5">
        <f>Data!L1366</f>
        <v>0</v>
      </c>
      <c r="M1366" s="5"/>
      <c r="P1366" s="5"/>
      <c r="U1366" s="5"/>
    </row>
    <row r="1367" spans="10:21" x14ac:dyDescent="0.5">
      <c r="J1367" s="20"/>
      <c r="K1367" s="20"/>
      <c r="L1367" s="5">
        <f>Data!L1367</f>
        <v>0</v>
      </c>
      <c r="M1367" s="5"/>
      <c r="P1367" s="5"/>
      <c r="U1367" s="5"/>
    </row>
    <row r="1368" spans="10:21" x14ac:dyDescent="0.5">
      <c r="J1368" s="20"/>
      <c r="K1368" s="20"/>
      <c r="L1368" s="5">
        <f>Data!L1368</f>
        <v>0</v>
      </c>
      <c r="M1368" s="5"/>
      <c r="P1368" s="5"/>
      <c r="U1368" s="5"/>
    </row>
    <row r="1369" spans="10:21" x14ac:dyDescent="0.5">
      <c r="J1369" s="20"/>
      <c r="K1369" s="20"/>
      <c r="L1369" s="5">
        <f>Data!L1369</f>
        <v>0</v>
      </c>
      <c r="M1369" s="5"/>
      <c r="P1369" s="5"/>
      <c r="U1369" s="5"/>
    </row>
    <row r="1370" spans="10:21" x14ac:dyDescent="0.5">
      <c r="J1370" s="20"/>
      <c r="K1370" s="20"/>
      <c r="L1370" s="5">
        <f>Data!L1370</f>
        <v>0</v>
      </c>
      <c r="M1370" s="5"/>
      <c r="P1370" s="5"/>
      <c r="U1370" s="5"/>
    </row>
    <row r="1371" spans="10:21" x14ac:dyDescent="0.5">
      <c r="J1371" s="20"/>
      <c r="K1371" s="20"/>
      <c r="L1371" s="5">
        <f>Data!L1371</f>
        <v>0</v>
      </c>
      <c r="M1371" s="5"/>
      <c r="P1371" s="5"/>
      <c r="U1371" s="5"/>
    </row>
    <row r="1372" spans="10:21" x14ac:dyDescent="0.5">
      <c r="J1372" s="20"/>
      <c r="K1372" s="20"/>
      <c r="L1372" s="5">
        <f>Data!L1372</f>
        <v>0</v>
      </c>
      <c r="M1372" s="5"/>
      <c r="P1372" s="5"/>
      <c r="U1372" s="5"/>
    </row>
    <row r="1373" spans="10:21" x14ac:dyDescent="0.5">
      <c r="J1373" s="20"/>
      <c r="K1373" s="20"/>
      <c r="L1373" s="5">
        <f>Data!L1373</f>
        <v>0</v>
      </c>
      <c r="M1373" s="5"/>
      <c r="P1373" s="5"/>
      <c r="U1373" s="5"/>
    </row>
    <row r="1374" spans="10:21" x14ac:dyDescent="0.5">
      <c r="J1374" s="20"/>
      <c r="K1374" s="20"/>
      <c r="L1374" s="5">
        <f>Data!L1374</f>
        <v>0</v>
      </c>
      <c r="M1374" s="5"/>
      <c r="P1374" s="5"/>
      <c r="U1374" s="5"/>
    </row>
    <row r="1375" spans="10:21" x14ac:dyDescent="0.5">
      <c r="J1375" s="20"/>
      <c r="K1375" s="20"/>
      <c r="L1375" s="5">
        <f>Data!L1375</f>
        <v>0</v>
      </c>
      <c r="M1375" s="5"/>
      <c r="P1375" s="5"/>
      <c r="U1375" s="5"/>
    </row>
    <row r="1376" spans="10:21" x14ac:dyDescent="0.5">
      <c r="J1376" s="20"/>
      <c r="K1376" s="20"/>
      <c r="L1376" s="5">
        <f>Data!L1376</f>
        <v>0</v>
      </c>
      <c r="M1376" s="5"/>
      <c r="P1376" s="5"/>
      <c r="U1376" s="5"/>
    </row>
    <row r="1377" spans="10:21" x14ac:dyDescent="0.5">
      <c r="J1377" s="20"/>
      <c r="K1377" s="20"/>
      <c r="L1377" s="5">
        <f>Data!L1377</f>
        <v>0</v>
      </c>
      <c r="M1377" s="5"/>
      <c r="P1377" s="5"/>
      <c r="U1377" s="5"/>
    </row>
    <row r="1378" spans="10:21" x14ac:dyDescent="0.5">
      <c r="J1378" s="20"/>
      <c r="K1378" s="20"/>
      <c r="L1378" s="5">
        <f>Data!L1378</f>
        <v>0</v>
      </c>
      <c r="M1378" s="5"/>
      <c r="P1378" s="5"/>
      <c r="U1378" s="5"/>
    </row>
    <row r="1379" spans="10:21" x14ac:dyDescent="0.5">
      <c r="J1379" s="20"/>
      <c r="K1379" s="20"/>
      <c r="L1379" s="5">
        <f>Data!L1379</f>
        <v>0</v>
      </c>
      <c r="M1379" s="5"/>
      <c r="P1379" s="5"/>
      <c r="U1379" s="5"/>
    </row>
    <row r="1380" spans="10:21" x14ac:dyDescent="0.5">
      <c r="J1380" s="20"/>
      <c r="K1380" s="20"/>
      <c r="L1380" s="5">
        <f>Data!L1380</f>
        <v>0</v>
      </c>
      <c r="M1380" s="5"/>
      <c r="P1380" s="5"/>
      <c r="U1380" s="5"/>
    </row>
    <row r="1381" spans="10:21" x14ac:dyDescent="0.5">
      <c r="J1381" s="20"/>
      <c r="K1381" s="20"/>
      <c r="L1381" s="5">
        <f>Data!L1381</f>
        <v>0</v>
      </c>
      <c r="M1381" s="5"/>
      <c r="P1381" s="5"/>
      <c r="U1381" s="5"/>
    </row>
    <row r="1382" spans="10:21" x14ac:dyDescent="0.5">
      <c r="J1382" s="20"/>
      <c r="K1382" s="20"/>
      <c r="L1382" s="5">
        <f>Data!L1382</f>
        <v>0</v>
      </c>
      <c r="M1382" s="5"/>
      <c r="P1382" s="5"/>
      <c r="U1382" s="5"/>
    </row>
    <row r="1383" spans="10:21" x14ac:dyDescent="0.5">
      <c r="J1383" s="20"/>
      <c r="K1383" s="20"/>
      <c r="L1383" s="5">
        <f>Data!L1383</f>
        <v>0</v>
      </c>
      <c r="M1383" s="5"/>
      <c r="P1383" s="5"/>
      <c r="U1383" s="5"/>
    </row>
    <row r="1384" spans="10:21" x14ac:dyDescent="0.5">
      <c r="J1384" s="20"/>
      <c r="K1384" s="20"/>
      <c r="L1384" s="5">
        <f>Data!L1384</f>
        <v>0</v>
      </c>
      <c r="M1384" s="5"/>
      <c r="P1384" s="5"/>
      <c r="U1384" s="5"/>
    </row>
    <row r="1385" spans="10:21" x14ac:dyDescent="0.5">
      <c r="J1385" s="20"/>
      <c r="K1385" s="20"/>
      <c r="L1385" s="5">
        <f>Data!L1385</f>
        <v>0</v>
      </c>
      <c r="M1385" s="5"/>
      <c r="P1385" s="5"/>
      <c r="U1385" s="5"/>
    </row>
    <row r="1386" spans="10:21" x14ac:dyDescent="0.5">
      <c r="J1386" s="20"/>
      <c r="K1386" s="20"/>
      <c r="L1386" s="5">
        <f>Data!L1386</f>
        <v>0</v>
      </c>
      <c r="M1386" s="5"/>
      <c r="P1386" s="5"/>
      <c r="U1386" s="5"/>
    </row>
    <row r="1387" spans="10:21" x14ac:dyDescent="0.5">
      <c r="J1387" s="20"/>
      <c r="K1387" s="20"/>
      <c r="L1387" s="5">
        <f>Data!L1387</f>
        <v>0</v>
      </c>
      <c r="M1387" s="5"/>
      <c r="P1387" s="5"/>
      <c r="U1387" s="5"/>
    </row>
    <row r="1388" spans="10:21" x14ac:dyDescent="0.5">
      <c r="J1388" s="20"/>
      <c r="K1388" s="20"/>
      <c r="L1388" s="5">
        <f>Data!L1388</f>
        <v>0</v>
      </c>
      <c r="M1388" s="5"/>
      <c r="P1388" s="5"/>
      <c r="U1388" s="5"/>
    </row>
    <row r="1389" spans="10:21" x14ac:dyDescent="0.5">
      <c r="J1389" s="20"/>
      <c r="K1389" s="20"/>
      <c r="L1389" s="5">
        <f>Data!L1389</f>
        <v>0</v>
      </c>
      <c r="M1389" s="5"/>
      <c r="P1389" s="5"/>
      <c r="U1389" s="5"/>
    </row>
    <row r="1390" spans="10:21" x14ac:dyDescent="0.5">
      <c r="J1390" s="20"/>
      <c r="K1390" s="20"/>
      <c r="L1390" s="5">
        <f>Data!L1390</f>
        <v>0</v>
      </c>
      <c r="M1390" s="5"/>
      <c r="P1390" s="5"/>
      <c r="U1390" s="5"/>
    </row>
    <row r="1391" spans="10:21" x14ac:dyDescent="0.5">
      <c r="J1391" s="20"/>
      <c r="K1391" s="20"/>
      <c r="L1391" s="5">
        <f>Data!L1391</f>
        <v>0</v>
      </c>
      <c r="M1391" s="5"/>
      <c r="P1391" s="5"/>
      <c r="U1391" s="5"/>
    </row>
    <row r="1392" spans="10:21" x14ac:dyDescent="0.5">
      <c r="J1392" s="20"/>
      <c r="K1392" s="20"/>
      <c r="L1392" s="5">
        <f>Data!L1392</f>
        <v>0</v>
      </c>
      <c r="M1392" s="5"/>
      <c r="P1392" s="5"/>
      <c r="U1392" s="5"/>
    </row>
    <row r="1393" spans="10:21" x14ac:dyDescent="0.5">
      <c r="J1393" s="20"/>
      <c r="K1393" s="20"/>
      <c r="L1393" s="5">
        <f>Data!L1393</f>
        <v>0</v>
      </c>
      <c r="M1393" s="5"/>
      <c r="P1393" s="5"/>
      <c r="U1393" s="5"/>
    </row>
    <row r="1394" spans="10:21" x14ac:dyDescent="0.5">
      <c r="J1394" s="20"/>
      <c r="K1394" s="20"/>
      <c r="L1394" s="5">
        <f>Data!L1394</f>
        <v>0</v>
      </c>
      <c r="M1394" s="5"/>
      <c r="P1394" s="5"/>
      <c r="U1394" s="5"/>
    </row>
    <row r="1395" spans="10:21" x14ac:dyDescent="0.5">
      <c r="J1395" s="20"/>
      <c r="K1395" s="20"/>
      <c r="L1395" s="5">
        <f>Data!L1395</f>
        <v>0</v>
      </c>
      <c r="M1395" s="5"/>
      <c r="P1395" s="5"/>
      <c r="U1395" s="5"/>
    </row>
    <row r="1396" spans="10:21" x14ac:dyDescent="0.5">
      <c r="J1396" s="20"/>
      <c r="K1396" s="20"/>
      <c r="L1396" s="5">
        <f>Data!L1396</f>
        <v>0</v>
      </c>
      <c r="M1396" s="5"/>
      <c r="P1396" s="5"/>
      <c r="U1396" s="5"/>
    </row>
    <row r="1397" spans="10:21" x14ac:dyDescent="0.5">
      <c r="J1397" s="20"/>
      <c r="K1397" s="20"/>
      <c r="L1397" s="5">
        <f>Data!L1397</f>
        <v>0</v>
      </c>
      <c r="M1397" s="5"/>
      <c r="P1397" s="5"/>
      <c r="U1397" s="5"/>
    </row>
    <row r="1398" spans="10:21" x14ac:dyDescent="0.5">
      <c r="J1398" s="20"/>
      <c r="K1398" s="20"/>
      <c r="L1398" s="5">
        <f>Data!L1398</f>
        <v>0</v>
      </c>
      <c r="M1398" s="5"/>
      <c r="P1398" s="5"/>
      <c r="U1398" s="5"/>
    </row>
    <row r="1399" spans="10:21" x14ac:dyDescent="0.5">
      <c r="J1399" s="20"/>
      <c r="K1399" s="20"/>
      <c r="L1399" s="5">
        <f>Data!L1399</f>
        <v>0</v>
      </c>
      <c r="M1399" s="5"/>
      <c r="P1399" s="5"/>
      <c r="U1399" s="5"/>
    </row>
    <row r="1400" spans="10:21" x14ac:dyDescent="0.5">
      <c r="J1400" s="20"/>
      <c r="K1400" s="20"/>
      <c r="L1400" s="5">
        <f>Data!L1400</f>
        <v>0</v>
      </c>
      <c r="M1400" s="5"/>
      <c r="P1400" s="5"/>
      <c r="U1400" s="5"/>
    </row>
    <row r="1401" spans="10:21" x14ac:dyDescent="0.5">
      <c r="J1401" s="20"/>
      <c r="K1401" s="20"/>
      <c r="L1401" s="5">
        <f>Data!L1401</f>
        <v>0</v>
      </c>
      <c r="M1401" s="5"/>
      <c r="P1401" s="5"/>
      <c r="U1401" s="5"/>
    </row>
    <row r="1402" spans="10:21" x14ac:dyDescent="0.5">
      <c r="J1402" s="20"/>
      <c r="K1402" s="20"/>
      <c r="L1402" s="5">
        <f>Data!L1402</f>
        <v>0</v>
      </c>
      <c r="M1402" s="5"/>
      <c r="P1402" s="5"/>
      <c r="U1402" s="5"/>
    </row>
    <row r="1403" spans="10:21" x14ac:dyDescent="0.5">
      <c r="J1403" s="20"/>
      <c r="K1403" s="20"/>
      <c r="L1403" s="5">
        <f>Data!L1403</f>
        <v>0</v>
      </c>
      <c r="M1403" s="5"/>
      <c r="P1403" s="5"/>
      <c r="U1403" s="5"/>
    </row>
    <row r="1404" spans="10:21" x14ac:dyDescent="0.5">
      <c r="J1404" s="20"/>
      <c r="K1404" s="20"/>
      <c r="L1404" s="5">
        <f>Data!L1404</f>
        <v>0</v>
      </c>
      <c r="M1404" s="5"/>
      <c r="P1404" s="5"/>
      <c r="U1404" s="5"/>
    </row>
    <row r="1405" spans="10:21" x14ac:dyDescent="0.5">
      <c r="J1405" s="20"/>
      <c r="K1405" s="20"/>
      <c r="L1405" s="5">
        <f>Data!L1405</f>
        <v>0</v>
      </c>
      <c r="M1405" s="5"/>
      <c r="P1405" s="5"/>
      <c r="U1405" s="5"/>
    </row>
    <row r="1406" spans="10:21" x14ac:dyDescent="0.5">
      <c r="J1406" s="20"/>
      <c r="K1406" s="20"/>
      <c r="L1406" s="5">
        <f>Data!L1406</f>
        <v>0</v>
      </c>
      <c r="M1406" s="5"/>
      <c r="P1406" s="5"/>
      <c r="U1406" s="5"/>
    </row>
    <row r="1407" spans="10:21" x14ac:dyDescent="0.5">
      <c r="J1407" s="20"/>
      <c r="K1407" s="20"/>
      <c r="L1407" s="5">
        <f>Data!L1407</f>
        <v>0</v>
      </c>
      <c r="M1407" s="5"/>
      <c r="P1407" s="5"/>
      <c r="U1407" s="5"/>
    </row>
    <row r="1408" spans="10:21" x14ac:dyDescent="0.5">
      <c r="J1408" s="20"/>
      <c r="K1408" s="20"/>
      <c r="L1408" s="5">
        <f>Data!L1408</f>
        <v>0</v>
      </c>
      <c r="M1408" s="5"/>
      <c r="P1408" s="5"/>
      <c r="U1408" s="5"/>
    </row>
    <row r="1409" spans="10:21" x14ac:dyDescent="0.5">
      <c r="J1409" s="20"/>
      <c r="K1409" s="20"/>
      <c r="L1409" s="5">
        <f>Data!L1409</f>
        <v>0</v>
      </c>
      <c r="M1409" s="5"/>
      <c r="P1409" s="5"/>
      <c r="U1409" s="5"/>
    </row>
    <row r="1410" spans="10:21" x14ac:dyDescent="0.5">
      <c r="J1410" s="20"/>
      <c r="K1410" s="20"/>
      <c r="L1410" s="5">
        <f>Data!L1410</f>
        <v>0</v>
      </c>
      <c r="M1410" s="5"/>
      <c r="P1410" s="5"/>
      <c r="U1410" s="5"/>
    </row>
    <row r="1411" spans="10:21" x14ac:dyDescent="0.5">
      <c r="J1411" s="20"/>
      <c r="K1411" s="20"/>
      <c r="L1411" s="5">
        <f>Data!L1411</f>
        <v>0</v>
      </c>
      <c r="M1411" s="5"/>
      <c r="P1411" s="5"/>
      <c r="U1411" s="5"/>
    </row>
    <row r="1412" spans="10:21" x14ac:dyDescent="0.5">
      <c r="J1412" s="20"/>
      <c r="K1412" s="20"/>
      <c r="L1412" s="5">
        <f>Data!L1412</f>
        <v>0</v>
      </c>
      <c r="M1412" s="5"/>
      <c r="P1412" s="5"/>
      <c r="U1412" s="5"/>
    </row>
    <row r="1413" spans="10:21" x14ac:dyDescent="0.5">
      <c r="J1413" s="20"/>
      <c r="K1413" s="20"/>
      <c r="L1413" s="5">
        <f>Data!L1413</f>
        <v>0</v>
      </c>
      <c r="M1413" s="5"/>
      <c r="P1413" s="5"/>
      <c r="U1413" s="5"/>
    </row>
    <row r="1414" spans="10:21" x14ac:dyDescent="0.5">
      <c r="J1414" s="20"/>
      <c r="K1414" s="20"/>
      <c r="L1414" s="5">
        <f>Data!L1414</f>
        <v>0</v>
      </c>
      <c r="M1414" s="5"/>
      <c r="P1414" s="5"/>
      <c r="U1414" s="5"/>
    </row>
    <row r="1415" spans="10:21" x14ac:dyDescent="0.5">
      <c r="J1415" s="20"/>
      <c r="K1415" s="20"/>
      <c r="L1415" s="5">
        <f>Data!L1415</f>
        <v>0</v>
      </c>
      <c r="M1415" s="5"/>
      <c r="P1415" s="5"/>
      <c r="U1415" s="5"/>
    </row>
    <row r="1416" spans="10:21" x14ac:dyDescent="0.5">
      <c r="J1416" s="20"/>
      <c r="K1416" s="20"/>
      <c r="L1416" s="5">
        <f>Data!L1416</f>
        <v>0</v>
      </c>
      <c r="M1416" s="5"/>
      <c r="P1416" s="5"/>
      <c r="U1416" s="5"/>
    </row>
    <row r="1417" spans="10:21" x14ac:dyDescent="0.5">
      <c r="J1417" s="20"/>
      <c r="K1417" s="20"/>
      <c r="L1417" s="5">
        <f>Data!L1417</f>
        <v>0</v>
      </c>
      <c r="M1417" s="5"/>
      <c r="P1417" s="5"/>
      <c r="U1417" s="5"/>
    </row>
    <row r="1418" spans="10:21" x14ac:dyDescent="0.5">
      <c r="J1418" s="20"/>
      <c r="K1418" s="20"/>
      <c r="L1418" s="5">
        <f>Data!L1418</f>
        <v>0</v>
      </c>
      <c r="M1418" s="5"/>
      <c r="P1418" s="5"/>
      <c r="U1418" s="5"/>
    </row>
    <row r="1419" spans="10:21" x14ac:dyDescent="0.5">
      <c r="J1419" s="20"/>
      <c r="K1419" s="20"/>
      <c r="L1419" s="5">
        <f>Data!L1419</f>
        <v>0</v>
      </c>
      <c r="M1419" s="5"/>
      <c r="P1419" s="5"/>
      <c r="U1419" s="5"/>
    </row>
    <row r="1420" spans="10:21" x14ac:dyDescent="0.5">
      <c r="J1420" s="20"/>
      <c r="K1420" s="20"/>
      <c r="L1420" s="5">
        <f>Data!L1420</f>
        <v>0</v>
      </c>
      <c r="M1420" s="5"/>
      <c r="P1420" s="5"/>
      <c r="U1420" s="5"/>
    </row>
    <row r="1421" spans="10:21" x14ac:dyDescent="0.5">
      <c r="J1421" s="20"/>
      <c r="K1421" s="20"/>
      <c r="L1421" s="5">
        <f>Data!L1421</f>
        <v>0</v>
      </c>
      <c r="M1421" s="5"/>
      <c r="P1421" s="5"/>
      <c r="U1421" s="5"/>
    </row>
    <row r="1422" spans="10:21" x14ac:dyDescent="0.5">
      <c r="J1422" s="20"/>
      <c r="K1422" s="20"/>
      <c r="L1422" s="5">
        <f>Data!L1422</f>
        <v>0</v>
      </c>
      <c r="M1422" s="5"/>
      <c r="P1422" s="5"/>
      <c r="U1422" s="5"/>
    </row>
    <row r="1423" spans="10:21" x14ac:dyDescent="0.5">
      <c r="J1423" s="20"/>
      <c r="K1423" s="20"/>
      <c r="L1423" s="5">
        <f>Data!L1423</f>
        <v>0</v>
      </c>
      <c r="M1423" s="5"/>
      <c r="P1423" s="5"/>
      <c r="U1423" s="5"/>
    </row>
    <row r="1424" spans="10:21" x14ac:dyDescent="0.5">
      <c r="J1424" s="20"/>
      <c r="K1424" s="20"/>
      <c r="L1424" s="5">
        <f>Data!L1424</f>
        <v>0</v>
      </c>
      <c r="M1424" s="5"/>
      <c r="P1424" s="5"/>
      <c r="U1424" s="5"/>
    </row>
    <row r="1425" spans="10:21" x14ac:dyDescent="0.5">
      <c r="J1425" s="20"/>
      <c r="K1425" s="20"/>
      <c r="L1425" s="5">
        <f>Data!L1425</f>
        <v>0</v>
      </c>
      <c r="M1425" s="5"/>
      <c r="P1425" s="5"/>
      <c r="U1425" s="5"/>
    </row>
    <row r="1426" spans="10:21" x14ac:dyDescent="0.5">
      <c r="J1426" s="20"/>
      <c r="K1426" s="20"/>
      <c r="L1426" s="5">
        <f>Data!L1426</f>
        <v>0</v>
      </c>
      <c r="M1426" s="5"/>
      <c r="P1426" s="5"/>
      <c r="U1426" s="5"/>
    </row>
    <row r="1427" spans="10:21" x14ac:dyDescent="0.5">
      <c r="J1427" s="20"/>
      <c r="K1427" s="20"/>
      <c r="L1427" s="5">
        <f>Data!L1427</f>
        <v>0</v>
      </c>
      <c r="M1427" s="5"/>
      <c r="P1427" s="5"/>
      <c r="U1427" s="5"/>
    </row>
    <row r="1428" spans="10:21" x14ac:dyDescent="0.5">
      <c r="J1428" s="20"/>
      <c r="K1428" s="20"/>
      <c r="L1428" s="5">
        <f>Data!L1428</f>
        <v>0</v>
      </c>
      <c r="M1428" s="5"/>
      <c r="P1428" s="5"/>
      <c r="U1428" s="5"/>
    </row>
    <row r="1429" spans="10:21" x14ac:dyDescent="0.5">
      <c r="J1429" s="20"/>
      <c r="K1429" s="20"/>
      <c r="L1429" s="5">
        <f>Data!L1429</f>
        <v>0</v>
      </c>
      <c r="M1429" s="5"/>
      <c r="P1429" s="5"/>
      <c r="U1429" s="5"/>
    </row>
    <row r="1430" spans="10:21" x14ac:dyDescent="0.5">
      <c r="J1430" s="20"/>
      <c r="K1430" s="20"/>
      <c r="L1430" s="5">
        <f>Data!L1430</f>
        <v>0</v>
      </c>
      <c r="M1430" s="5"/>
      <c r="P1430" s="5"/>
      <c r="U1430" s="5"/>
    </row>
    <row r="1431" spans="10:21" x14ac:dyDescent="0.5">
      <c r="J1431" s="20"/>
      <c r="K1431" s="20"/>
      <c r="L1431" s="5">
        <f>Data!L1431</f>
        <v>0</v>
      </c>
      <c r="M1431" s="5"/>
      <c r="P1431" s="5"/>
      <c r="U1431" s="5"/>
    </row>
    <row r="1432" spans="10:21" x14ac:dyDescent="0.5">
      <c r="J1432" s="20"/>
      <c r="K1432" s="20"/>
      <c r="L1432" s="5">
        <f>Data!L1432</f>
        <v>0</v>
      </c>
      <c r="M1432" s="5"/>
      <c r="P1432" s="5"/>
      <c r="U1432" s="5"/>
    </row>
    <row r="1433" spans="10:21" x14ac:dyDescent="0.5">
      <c r="J1433" s="20"/>
      <c r="K1433" s="20"/>
      <c r="L1433" s="5">
        <f>Data!L1433</f>
        <v>0</v>
      </c>
      <c r="M1433" s="5"/>
      <c r="P1433" s="5"/>
      <c r="U1433" s="5"/>
    </row>
    <row r="1434" spans="10:21" x14ac:dyDescent="0.5">
      <c r="J1434" s="20"/>
      <c r="K1434" s="20"/>
      <c r="L1434" s="5">
        <f>Data!L1434</f>
        <v>0</v>
      </c>
      <c r="M1434" s="5"/>
      <c r="P1434" s="5"/>
      <c r="U1434" s="5"/>
    </row>
    <row r="1435" spans="10:21" x14ac:dyDescent="0.5">
      <c r="J1435" s="20"/>
      <c r="K1435" s="20"/>
      <c r="L1435" s="5">
        <f>Data!L1435</f>
        <v>0</v>
      </c>
      <c r="M1435" s="5"/>
      <c r="P1435" s="5"/>
      <c r="U1435" s="5"/>
    </row>
    <row r="1436" spans="10:21" x14ac:dyDescent="0.5">
      <c r="J1436" s="20"/>
      <c r="K1436" s="20"/>
      <c r="L1436" s="5">
        <f>Data!L1436</f>
        <v>0</v>
      </c>
      <c r="M1436" s="5"/>
      <c r="P1436" s="5"/>
      <c r="U1436" s="5"/>
    </row>
    <row r="1437" spans="10:21" x14ac:dyDescent="0.5">
      <c r="J1437" s="20"/>
      <c r="K1437" s="20"/>
      <c r="L1437" s="5">
        <f>Data!L1437</f>
        <v>0</v>
      </c>
      <c r="M1437" s="5"/>
      <c r="P1437" s="5"/>
      <c r="U1437" s="5"/>
    </row>
    <row r="1438" spans="10:21" x14ac:dyDescent="0.5">
      <c r="J1438" s="20"/>
      <c r="K1438" s="20"/>
      <c r="L1438" s="5">
        <f>Data!L1438</f>
        <v>0</v>
      </c>
      <c r="M1438" s="5"/>
      <c r="P1438" s="5"/>
      <c r="U1438" s="5"/>
    </row>
    <row r="1439" spans="10:21" x14ac:dyDescent="0.5">
      <c r="J1439" s="20"/>
      <c r="K1439" s="20"/>
      <c r="L1439" s="5">
        <f>Data!L1439</f>
        <v>0</v>
      </c>
      <c r="M1439" s="5"/>
      <c r="P1439" s="5"/>
      <c r="U1439" s="5"/>
    </row>
    <row r="1440" spans="10:21" x14ac:dyDescent="0.5">
      <c r="J1440" s="20"/>
      <c r="K1440" s="20"/>
      <c r="L1440" s="5">
        <f>Data!L1440</f>
        <v>0</v>
      </c>
      <c r="M1440" s="5"/>
      <c r="P1440" s="5"/>
      <c r="U1440" s="5"/>
    </row>
    <row r="1441" spans="10:21" x14ac:dyDescent="0.5">
      <c r="J1441" s="20"/>
      <c r="K1441" s="20"/>
      <c r="L1441" s="5">
        <f>Data!L1441</f>
        <v>0</v>
      </c>
      <c r="M1441" s="5"/>
      <c r="P1441" s="5"/>
      <c r="U1441" s="5"/>
    </row>
    <row r="1442" spans="10:21" x14ac:dyDescent="0.5">
      <c r="J1442" s="20"/>
      <c r="K1442" s="20"/>
      <c r="L1442" s="5">
        <f>Data!L1442</f>
        <v>0</v>
      </c>
      <c r="M1442" s="5"/>
      <c r="P1442" s="5"/>
      <c r="U1442" s="5"/>
    </row>
    <row r="1443" spans="10:21" x14ac:dyDescent="0.5">
      <c r="J1443" s="20"/>
      <c r="K1443" s="20"/>
      <c r="L1443" s="5">
        <f>Data!L1443</f>
        <v>0</v>
      </c>
      <c r="M1443" s="5"/>
      <c r="P1443" s="5"/>
      <c r="U1443" s="5"/>
    </row>
    <row r="1444" spans="10:21" x14ac:dyDescent="0.5">
      <c r="J1444" s="20"/>
      <c r="K1444" s="20"/>
      <c r="L1444" s="5">
        <f>Data!L1444</f>
        <v>0</v>
      </c>
      <c r="M1444" s="5"/>
      <c r="P1444" s="5"/>
      <c r="U1444" s="5"/>
    </row>
    <row r="1445" spans="10:21" x14ac:dyDescent="0.5">
      <c r="J1445" s="20"/>
      <c r="K1445" s="20"/>
      <c r="L1445" s="5">
        <f>Data!L1445</f>
        <v>0</v>
      </c>
      <c r="M1445" s="5"/>
      <c r="P1445" s="5"/>
      <c r="U1445" s="5"/>
    </row>
    <row r="1446" spans="10:21" x14ac:dyDescent="0.5">
      <c r="J1446" s="20"/>
      <c r="K1446" s="20"/>
      <c r="L1446" s="5">
        <f>Data!L1446</f>
        <v>0</v>
      </c>
      <c r="M1446" s="5"/>
      <c r="P1446" s="5"/>
      <c r="U1446" s="5"/>
    </row>
    <row r="1447" spans="10:21" x14ac:dyDescent="0.5">
      <c r="J1447" s="20"/>
      <c r="K1447" s="20"/>
      <c r="L1447" s="5">
        <f>Data!L1447</f>
        <v>0</v>
      </c>
      <c r="M1447" s="5"/>
      <c r="P1447" s="5"/>
      <c r="U1447" s="5"/>
    </row>
    <row r="1448" spans="10:21" x14ac:dyDescent="0.5">
      <c r="J1448" s="20"/>
      <c r="K1448" s="20"/>
      <c r="L1448" s="5">
        <f>Data!L1448</f>
        <v>0</v>
      </c>
      <c r="M1448" s="5"/>
      <c r="P1448" s="5"/>
      <c r="U1448" s="5"/>
    </row>
    <row r="1449" spans="10:21" x14ac:dyDescent="0.5">
      <c r="J1449" s="20"/>
      <c r="K1449" s="20"/>
      <c r="L1449" s="5">
        <f>Data!L1449</f>
        <v>0</v>
      </c>
      <c r="M1449" s="5"/>
      <c r="P1449" s="5"/>
      <c r="U1449" s="5"/>
    </row>
    <row r="1450" spans="10:21" x14ac:dyDescent="0.5">
      <c r="J1450" s="20"/>
      <c r="K1450" s="20"/>
      <c r="L1450" s="5">
        <f>Data!L1450</f>
        <v>0</v>
      </c>
      <c r="M1450" s="5"/>
      <c r="P1450" s="5"/>
      <c r="U1450" s="5"/>
    </row>
    <row r="1451" spans="10:21" x14ac:dyDescent="0.5">
      <c r="J1451" s="20"/>
      <c r="K1451" s="20"/>
      <c r="L1451" s="5">
        <f>Data!L1451</f>
        <v>0</v>
      </c>
      <c r="M1451" s="5"/>
      <c r="P1451" s="5"/>
      <c r="U1451" s="5"/>
    </row>
    <row r="1452" spans="10:21" x14ac:dyDescent="0.5">
      <c r="J1452" s="20"/>
      <c r="K1452" s="20"/>
      <c r="L1452" s="5">
        <f>Data!L1452</f>
        <v>0</v>
      </c>
      <c r="M1452" s="5"/>
      <c r="P1452" s="5"/>
      <c r="U1452" s="5"/>
    </row>
    <row r="1453" spans="10:21" x14ac:dyDescent="0.5">
      <c r="J1453" s="20"/>
      <c r="K1453" s="20"/>
      <c r="L1453" s="5">
        <f>Data!L1453</f>
        <v>0</v>
      </c>
      <c r="M1453" s="5"/>
      <c r="P1453" s="5"/>
      <c r="U1453" s="5"/>
    </row>
    <row r="1454" spans="10:21" x14ac:dyDescent="0.5">
      <c r="J1454" s="20"/>
      <c r="K1454" s="20"/>
      <c r="L1454" s="5">
        <f>Data!L1454</f>
        <v>0</v>
      </c>
      <c r="M1454" s="5"/>
      <c r="P1454" s="5"/>
      <c r="U1454" s="5"/>
    </row>
    <row r="1455" spans="10:21" x14ac:dyDescent="0.5">
      <c r="J1455" s="20"/>
      <c r="K1455" s="20"/>
      <c r="L1455" s="5">
        <f>Data!L1455</f>
        <v>0</v>
      </c>
      <c r="M1455" s="5"/>
      <c r="P1455" s="5"/>
      <c r="U1455" s="5"/>
    </row>
    <row r="1456" spans="10:21" x14ac:dyDescent="0.5">
      <c r="J1456" s="20"/>
      <c r="K1456" s="20"/>
      <c r="L1456" s="5">
        <f>Data!L1456</f>
        <v>0</v>
      </c>
      <c r="M1456" s="5"/>
      <c r="P1456" s="5"/>
      <c r="U1456" s="5"/>
    </row>
    <row r="1457" spans="10:21" x14ac:dyDescent="0.5">
      <c r="J1457" s="20"/>
      <c r="K1457" s="20"/>
      <c r="L1457" s="5">
        <f>Data!L1457</f>
        <v>0</v>
      </c>
      <c r="M1457" s="5"/>
      <c r="P1457" s="5"/>
      <c r="U1457" s="5"/>
    </row>
    <row r="1458" spans="10:21" x14ac:dyDescent="0.5">
      <c r="J1458" s="20"/>
      <c r="K1458" s="20"/>
      <c r="L1458" s="5">
        <f>Data!L1458</f>
        <v>0</v>
      </c>
      <c r="M1458" s="5"/>
      <c r="P1458" s="5"/>
      <c r="U1458" s="5"/>
    </row>
    <row r="1459" spans="10:21" x14ac:dyDescent="0.5">
      <c r="J1459" s="20"/>
      <c r="K1459" s="20"/>
      <c r="L1459" s="5">
        <f>Data!L1459</f>
        <v>0</v>
      </c>
      <c r="M1459" s="5"/>
      <c r="P1459" s="5"/>
      <c r="U1459" s="5"/>
    </row>
    <row r="1460" spans="10:21" x14ac:dyDescent="0.5">
      <c r="J1460" s="20"/>
      <c r="K1460" s="20"/>
      <c r="L1460" s="5">
        <f>Data!L1460</f>
        <v>0</v>
      </c>
      <c r="M1460" s="5"/>
      <c r="P1460" s="5"/>
      <c r="U1460" s="5"/>
    </row>
    <row r="1461" spans="10:21" x14ac:dyDescent="0.5">
      <c r="J1461" s="20"/>
      <c r="K1461" s="20"/>
      <c r="L1461" s="5">
        <f>Data!L1461</f>
        <v>0</v>
      </c>
      <c r="M1461" s="5"/>
      <c r="P1461" s="5"/>
      <c r="U1461" s="5"/>
    </row>
    <row r="1462" spans="10:21" x14ac:dyDescent="0.5">
      <c r="J1462" s="20"/>
      <c r="K1462" s="20"/>
      <c r="L1462" s="5">
        <f>Data!L1462</f>
        <v>0</v>
      </c>
      <c r="M1462" s="5"/>
      <c r="P1462" s="5"/>
      <c r="U1462" s="5"/>
    </row>
    <row r="1463" spans="10:21" x14ac:dyDescent="0.5">
      <c r="J1463" s="20"/>
      <c r="K1463" s="20"/>
      <c r="L1463" s="5">
        <f>Data!L1463</f>
        <v>0</v>
      </c>
      <c r="M1463" s="5"/>
      <c r="P1463" s="5"/>
      <c r="U1463" s="5"/>
    </row>
    <row r="1464" spans="10:21" x14ac:dyDescent="0.5">
      <c r="J1464" s="20"/>
      <c r="K1464" s="20"/>
      <c r="L1464" s="5">
        <f>Data!L1464</f>
        <v>0</v>
      </c>
      <c r="M1464" s="5"/>
      <c r="P1464" s="5"/>
      <c r="U1464" s="5"/>
    </row>
    <row r="1465" spans="10:21" x14ac:dyDescent="0.5">
      <c r="J1465" s="20"/>
      <c r="K1465" s="20"/>
      <c r="L1465" s="5">
        <f>Data!L1465</f>
        <v>0</v>
      </c>
      <c r="M1465" s="5"/>
      <c r="P1465" s="5"/>
      <c r="U1465" s="5"/>
    </row>
    <row r="1466" spans="10:21" x14ac:dyDescent="0.5">
      <c r="J1466" s="20"/>
      <c r="K1466" s="20"/>
      <c r="L1466" s="5">
        <f>Data!L1466</f>
        <v>0</v>
      </c>
      <c r="M1466" s="5"/>
      <c r="P1466" s="5"/>
      <c r="U1466" s="5"/>
    </row>
    <row r="1467" spans="10:21" x14ac:dyDescent="0.5">
      <c r="J1467" s="20"/>
      <c r="K1467" s="20"/>
      <c r="L1467" s="5">
        <f>Data!L1467</f>
        <v>0</v>
      </c>
      <c r="M1467" s="5"/>
      <c r="P1467" s="5"/>
      <c r="U1467" s="5"/>
    </row>
    <row r="1468" spans="10:21" x14ac:dyDescent="0.5">
      <c r="J1468" s="20"/>
      <c r="K1468" s="20"/>
      <c r="L1468" s="5">
        <f>Data!L1468</f>
        <v>0</v>
      </c>
      <c r="M1468" s="5"/>
      <c r="P1468" s="5"/>
      <c r="U1468" s="5"/>
    </row>
    <row r="1469" spans="10:21" x14ac:dyDescent="0.5">
      <c r="J1469" s="20"/>
      <c r="K1469" s="20"/>
      <c r="L1469" s="5">
        <f>Data!L1469</f>
        <v>0</v>
      </c>
      <c r="M1469" s="5"/>
      <c r="P1469" s="5"/>
      <c r="U1469" s="5"/>
    </row>
    <row r="1470" spans="10:21" x14ac:dyDescent="0.5">
      <c r="J1470" s="20"/>
      <c r="K1470" s="20"/>
      <c r="L1470" s="5">
        <f>Data!L1470</f>
        <v>0</v>
      </c>
      <c r="M1470" s="5"/>
      <c r="P1470" s="5"/>
      <c r="U1470" s="5"/>
    </row>
    <row r="1471" spans="10:21" x14ac:dyDescent="0.5">
      <c r="J1471" s="20"/>
      <c r="K1471" s="20"/>
      <c r="L1471" s="5">
        <f>Data!L1471</f>
        <v>0</v>
      </c>
      <c r="M1471" s="5"/>
      <c r="P1471" s="5"/>
      <c r="U1471" s="5"/>
    </row>
    <row r="1472" spans="10:21" x14ac:dyDescent="0.5">
      <c r="J1472" s="20"/>
      <c r="K1472" s="20"/>
      <c r="L1472" s="5">
        <f>Data!L1472</f>
        <v>0</v>
      </c>
      <c r="M1472" s="5"/>
      <c r="P1472" s="5"/>
      <c r="U1472" s="5"/>
    </row>
    <row r="1473" spans="10:21" x14ac:dyDescent="0.5">
      <c r="J1473" s="20"/>
      <c r="K1473" s="20"/>
      <c r="L1473" s="5">
        <f>Data!L1473</f>
        <v>0</v>
      </c>
      <c r="M1473" s="5"/>
      <c r="P1473" s="5"/>
      <c r="U1473" s="5"/>
    </row>
    <row r="1474" spans="10:21" x14ac:dyDescent="0.5">
      <c r="J1474" s="20"/>
      <c r="K1474" s="20"/>
      <c r="L1474" s="5">
        <f>Data!L1474</f>
        <v>0</v>
      </c>
      <c r="M1474" s="5"/>
      <c r="P1474" s="5"/>
      <c r="U1474" s="5"/>
    </row>
    <row r="1475" spans="10:21" x14ac:dyDescent="0.5">
      <c r="J1475" s="20"/>
      <c r="K1475" s="20"/>
      <c r="L1475" s="5">
        <f>Data!L1475</f>
        <v>0</v>
      </c>
      <c r="M1475" s="5"/>
      <c r="P1475" s="5"/>
      <c r="U1475" s="5"/>
    </row>
    <row r="1476" spans="10:21" x14ac:dyDescent="0.5">
      <c r="J1476" s="20"/>
      <c r="K1476" s="20"/>
      <c r="L1476" s="5">
        <f>Data!L1476</f>
        <v>0</v>
      </c>
      <c r="M1476" s="5"/>
      <c r="P1476" s="5"/>
      <c r="U1476" s="5"/>
    </row>
    <row r="1477" spans="10:21" x14ac:dyDescent="0.5">
      <c r="J1477" s="20"/>
      <c r="K1477" s="20"/>
      <c r="L1477" s="5">
        <f>Data!L1477</f>
        <v>0</v>
      </c>
      <c r="M1477" s="5"/>
      <c r="P1477" s="5"/>
      <c r="U1477" s="5"/>
    </row>
    <row r="1478" spans="10:21" x14ac:dyDescent="0.5">
      <c r="J1478" s="20"/>
      <c r="K1478" s="20"/>
      <c r="L1478" s="5">
        <f>Data!L1478</f>
        <v>0</v>
      </c>
      <c r="M1478" s="5"/>
      <c r="P1478" s="5"/>
      <c r="U1478" s="5"/>
    </row>
    <row r="1479" spans="10:21" x14ac:dyDescent="0.5">
      <c r="J1479" s="20"/>
      <c r="K1479" s="20"/>
      <c r="L1479" s="5">
        <f>Data!L1479</f>
        <v>0</v>
      </c>
      <c r="M1479" s="5"/>
      <c r="P1479" s="5"/>
      <c r="U1479" s="5"/>
    </row>
    <row r="1480" spans="10:21" x14ac:dyDescent="0.5">
      <c r="J1480" s="20"/>
      <c r="K1480" s="20"/>
      <c r="L1480" s="5">
        <f>Data!L1480</f>
        <v>0</v>
      </c>
      <c r="M1480" s="5"/>
      <c r="P1480" s="5"/>
      <c r="U1480" s="5"/>
    </row>
    <row r="1481" spans="10:21" x14ac:dyDescent="0.5">
      <c r="J1481" s="20"/>
      <c r="K1481" s="20"/>
      <c r="L1481" s="5">
        <f>Data!L1481</f>
        <v>0</v>
      </c>
      <c r="M1481" s="5"/>
      <c r="P1481" s="5"/>
      <c r="U1481" s="5"/>
    </row>
    <row r="1482" spans="10:21" x14ac:dyDescent="0.5">
      <c r="J1482" s="20"/>
      <c r="K1482" s="20"/>
      <c r="L1482" s="5">
        <f>Data!L1482</f>
        <v>0</v>
      </c>
      <c r="M1482" s="5"/>
      <c r="P1482" s="5"/>
      <c r="U1482" s="5"/>
    </row>
    <row r="1483" spans="10:21" x14ac:dyDescent="0.5">
      <c r="J1483" s="20"/>
      <c r="K1483" s="20"/>
      <c r="L1483" s="5">
        <f>Data!L1483</f>
        <v>0</v>
      </c>
      <c r="M1483" s="5"/>
      <c r="P1483" s="5"/>
      <c r="U1483" s="5"/>
    </row>
    <row r="1484" spans="10:21" x14ac:dyDescent="0.5">
      <c r="J1484" s="20"/>
      <c r="K1484" s="20"/>
      <c r="L1484" s="5">
        <f>Data!L1484</f>
        <v>0</v>
      </c>
      <c r="M1484" s="5"/>
      <c r="P1484" s="5"/>
      <c r="U1484" s="5"/>
    </row>
    <row r="1485" spans="10:21" x14ac:dyDescent="0.5">
      <c r="J1485" s="20"/>
      <c r="K1485" s="20"/>
      <c r="L1485" s="5">
        <f>Data!L1485</f>
        <v>0</v>
      </c>
      <c r="M1485" s="5"/>
      <c r="P1485" s="5"/>
      <c r="U1485" s="5"/>
    </row>
    <row r="1486" spans="10:21" x14ac:dyDescent="0.5">
      <c r="J1486" s="20"/>
      <c r="K1486" s="20"/>
      <c r="L1486" s="5">
        <f>Data!L1486</f>
        <v>0</v>
      </c>
      <c r="M1486" s="5"/>
      <c r="P1486" s="5"/>
      <c r="U1486" s="5"/>
    </row>
    <row r="1487" spans="10:21" x14ac:dyDescent="0.5">
      <c r="J1487" s="20"/>
      <c r="K1487" s="20"/>
      <c r="L1487" s="5">
        <f>Data!L1487</f>
        <v>0</v>
      </c>
      <c r="M1487" s="5"/>
      <c r="P1487" s="5"/>
      <c r="U1487" s="5"/>
    </row>
    <row r="1488" spans="10:21" x14ac:dyDescent="0.5">
      <c r="J1488" s="20"/>
      <c r="K1488" s="20"/>
      <c r="L1488" s="5">
        <f>Data!L1488</f>
        <v>0</v>
      </c>
      <c r="M1488" s="5"/>
      <c r="P1488" s="5"/>
      <c r="U1488" s="5"/>
    </row>
    <row r="1489" spans="10:21" x14ac:dyDescent="0.5">
      <c r="J1489" s="20"/>
      <c r="K1489" s="20"/>
      <c r="L1489" s="5">
        <f>Data!L1489</f>
        <v>0</v>
      </c>
      <c r="M1489" s="5"/>
      <c r="P1489" s="5"/>
      <c r="U1489" s="5"/>
    </row>
    <row r="1490" spans="10:21" x14ac:dyDescent="0.5">
      <c r="J1490" s="20"/>
      <c r="K1490" s="20"/>
      <c r="L1490" s="5">
        <f>Data!L1490</f>
        <v>0</v>
      </c>
      <c r="M1490" s="5"/>
      <c r="P1490" s="5"/>
      <c r="U1490" s="5"/>
    </row>
    <row r="1491" spans="10:21" x14ac:dyDescent="0.5">
      <c r="J1491" s="20"/>
      <c r="K1491" s="20"/>
      <c r="L1491" s="5">
        <f>Data!L1491</f>
        <v>0</v>
      </c>
      <c r="M1491" s="5"/>
      <c r="P1491" s="5"/>
      <c r="U1491" s="5"/>
    </row>
    <row r="1492" spans="10:21" x14ac:dyDescent="0.5">
      <c r="J1492" s="20"/>
      <c r="K1492" s="20"/>
      <c r="L1492" s="5">
        <f>Data!L1492</f>
        <v>0</v>
      </c>
      <c r="M1492" s="5"/>
      <c r="P1492" s="5"/>
      <c r="U1492" s="5"/>
    </row>
    <row r="1493" spans="10:21" x14ac:dyDescent="0.5">
      <c r="J1493" s="20"/>
      <c r="K1493" s="20"/>
      <c r="L1493" s="5">
        <f>Data!L1493</f>
        <v>0</v>
      </c>
      <c r="M1493" s="5"/>
      <c r="P1493" s="5"/>
      <c r="U1493" s="5"/>
    </row>
    <row r="1494" spans="10:21" x14ac:dyDescent="0.5">
      <c r="J1494" s="20"/>
      <c r="K1494" s="20"/>
      <c r="L1494" s="5">
        <f>Data!L1494</f>
        <v>0</v>
      </c>
      <c r="M1494" s="5"/>
      <c r="P1494" s="5"/>
      <c r="U1494" s="5"/>
    </row>
    <row r="1495" spans="10:21" x14ac:dyDescent="0.5">
      <c r="J1495" s="20"/>
      <c r="K1495" s="20"/>
      <c r="L1495" s="5">
        <f>Data!L1495</f>
        <v>0</v>
      </c>
      <c r="M1495" s="5"/>
      <c r="P1495" s="5"/>
      <c r="U1495" s="5"/>
    </row>
    <row r="1496" spans="10:21" x14ac:dyDescent="0.5">
      <c r="J1496" s="20"/>
      <c r="K1496" s="20"/>
      <c r="L1496" s="5">
        <f>Data!L1496</f>
        <v>0</v>
      </c>
      <c r="M1496" s="5"/>
      <c r="P1496" s="5"/>
      <c r="U1496" s="5"/>
    </row>
    <row r="1497" spans="10:21" x14ac:dyDescent="0.5">
      <c r="J1497" s="20"/>
      <c r="K1497" s="20"/>
      <c r="L1497" s="5">
        <f>Data!L1497</f>
        <v>0</v>
      </c>
      <c r="M1497" s="5"/>
      <c r="P1497" s="5"/>
      <c r="U1497" s="5"/>
    </row>
    <row r="1498" spans="10:21" x14ac:dyDescent="0.5">
      <c r="J1498" s="20"/>
      <c r="K1498" s="20"/>
      <c r="L1498" s="5">
        <f>Data!L1498</f>
        <v>0</v>
      </c>
      <c r="M1498" s="5"/>
      <c r="P1498" s="5"/>
      <c r="U1498" s="5"/>
    </row>
    <row r="1499" spans="10:21" x14ac:dyDescent="0.5">
      <c r="J1499" s="20"/>
      <c r="K1499" s="20"/>
      <c r="L1499" s="5">
        <f>Data!L1499</f>
        <v>0</v>
      </c>
      <c r="M1499" s="5"/>
      <c r="P1499" s="5"/>
      <c r="U1499" s="5"/>
    </row>
    <row r="1500" spans="10:21" x14ac:dyDescent="0.5">
      <c r="J1500" s="20"/>
      <c r="K1500" s="20"/>
      <c r="L1500" s="5">
        <f>Data!L1500</f>
        <v>0</v>
      </c>
      <c r="M1500" s="5"/>
      <c r="P1500" s="5"/>
      <c r="U1500" s="5"/>
    </row>
    <row r="1501" spans="10:21" x14ac:dyDescent="0.5">
      <c r="J1501" s="20"/>
      <c r="K1501" s="20"/>
      <c r="L1501" s="5">
        <f>Data!L1501</f>
        <v>0</v>
      </c>
      <c r="M1501" s="5"/>
      <c r="P1501" s="5"/>
      <c r="U1501" s="5"/>
    </row>
    <row r="1502" spans="10:21" x14ac:dyDescent="0.5">
      <c r="J1502" s="20"/>
      <c r="K1502" s="20"/>
      <c r="L1502" s="5">
        <f>Data!L1502</f>
        <v>0</v>
      </c>
      <c r="M1502" s="5"/>
      <c r="P1502" s="5"/>
      <c r="U1502" s="5"/>
    </row>
    <row r="1503" spans="10:21" x14ac:dyDescent="0.5">
      <c r="J1503" s="20"/>
      <c r="K1503" s="20"/>
      <c r="L1503" s="5">
        <f>Data!L1503</f>
        <v>0</v>
      </c>
      <c r="M1503" s="5"/>
      <c r="P1503" s="5"/>
      <c r="U1503" s="5"/>
    </row>
    <row r="1504" spans="10:21" x14ac:dyDescent="0.5">
      <c r="J1504" s="20"/>
      <c r="K1504" s="20"/>
      <c r="L1504" s="5">
        <f>Data!L1504</f>
        <v>0</v>
      </c>
      <c r="M1504" s="5"/>
      <c r="P1504" s="5"/>
      <c r="U1504" s="5"/>
    </row>
    <row r="1505" spans="10:21" x14ac:dyDescent="0.5">
      <c r="J1505" s="20"/>
      <c r="K1505" s="20"/>
      <c r="L1505" s="5">
        <f>Data!L1505</f>
        <v>0</v>
      </c>
      <c r="M1505" s="5"/>
      <c r="P1505" s="5"/>
      <c r="U1505" s="5"/>
    </row>
    <row r="1506" spans="10:21" x14ac:dyDescent="0.5">
      <c r="J1506" s="20"/>
      <c r="K1506" s="20"/>
      <c r="L1506" s="5">
        <f>Data!L1506</f>
        <v>0</v>
      </c>
      <c r="M1506" s="5"/>
      <c r="P1506" s="5"/>
      <c r="U1506" s="5"/>
    </row>
    <row r="1507" spans="10:21" x14ac:dyDescent="0.5">
      <c r="J1507" s="20"/>
      <c r="K1507" s="20"/>
      <c r="L1507" s="5">
        <f>Data!L1507</f>
        <v>0</v>
      </c>
      <c r="M1507" s="5"/>
      <c r="P1507" s="5"/>
      <c r="U1507" s="5"/>
    </row>
    <row r="1508" spans="10:21" x14ac:dyDescent="0.5">
      <c r="J1508" s="20"/>
      <c r="K1508" s="20"/>
      <c r="L1508" s="5">
        <f>Data!L1508</f>
        <v>0</v>
      </c>
      <c r="M1508" s="5"/>
      <c r="P1508" s="5"/>
      <c r="U1508" s="5"/>
    </row>
    <row r="1509" spans="10:21" x14ac:dyDescent="0.5">
      <c r="J1509" s="20"/>
      <c r="K1509" s="20"/>
      <c r="L1509" s="5">
        <f>Data!L1509</f>
        <v>0</v>
      </c>
      <c r="M1509" s="5"/>
      <c r="P1509" s="5"/>
      <c r="U1509" s="5"/>
    </row>
    <row r="1510" spans="10:21" x14ac:dyDescent="0.5">
      <c r="J1510" s="20"/>
      <c r="K1510" s="20"/>
      <c r="L1510" s="5">
        <f>Data!L1510</f>
        <v>0</v>
      </c>
      <c r="M1510" s="5"/>
      <c r="P1510" s="5"/>
      <c r="U1510" s="5"/>
    </row>
    <row r="1511" spans="10:21" x14ac:dyDescent="0.5">
      <c r="J1511" s="20"/>
      <c r="K1511" s="20"/>
      <c r="L1511" s="5">
        <f>Data!L1511</f>
        <v>0</v>
      </c>
      <c r="M1511" s="5"/>
      <c r="P1511" s="5"/>
      <c r="U1511" s="5"/>
    </row>
    <row r="1512" spans="10:21" x14ac:dyDescent="0.5">
      <c r="J1512" s="20"/>
      <c r="K1512" s="20"/>
      <c r="L1512" s="5">
        <f>Data!L1512</f>
        <v>0</v>
      </c>
      <c r="M1512" s="5"/>
      <c r="P1512" s="5"/>
      <c r="U1512" s="5"/>
    </row>
    <row r="1513" spans="10:21" x14ac:dyDescent="0.5">
      <c r="J1513" s="20"/>
      <c r="K1513" s="20"/>
      <c r="L1513" s="5">
        <f>Data!L1513</f>
        <v>0</v>
      </c>
      <c r="M1513" s="5"/>
      <c r="P1513" s="5"/>
      <c r="U1513" s="5"/>
    </row>
    <row r="1514" spans="10:21" x14ac:dyDescent="0.5">
      <c r="J1514" s="20"/>
      <c r="K1514" s="20"/>
      <c r="L1514" s="5">
        <f>Data!L1514</f>
        <v>0</v>
      </c>
      <c r="M1514" s="5"/>
      <c r="P1514" s="5"/>
      <c r="U1514" s="5"/>
    </row>
    <row r="1515" spans="10:21" x14ac:dyDescent="0.5">
      <c r="J1515" s="20"/>
      <c r="K1515" s="20"/>
      <c r="L1515" s="5">
        <f>Data!L1515</f>
        <v>0</v>
      </c>
      <c r="M1515" s="5"/>
      <c r="P1515" s="5"/>
      <c r="U1515" s="5"/>
    </row>
    <row r="1516" spans="10:21" x14ac:dyDescent="0.5">
      <c r="J1516" s="20"/>
      <c r="K1516" s="20"/>
      <c r="L1516" s="5">
        <f>Data!L1516</f>
        <v>0</v>
      </c>
      <c r="M1516" s="5"/>
      <c r="P1516" s="5"/>
      <c r="U1516" s="5"/>
    </row>
    <row r="1517" spans="10:21" x14ac:dyDescent="0.5">
      <c r="J1517" s="20"/>
      <c r="K1517" s="20"/>
      <c r="L1517" s="5">
        <f>Data!L1517</f>
        <v>0</v>
      </c>
      <c r="M1517" s="5"/>
      <c r="P1517" s="5"/>
      <c r="U1517" s="5"/>
    </row>
    <row r="1518" spans="10:21" x14ac:dyDescent="0.5">
      <c r="J1518" s="20"/>
      <c r="K1518" s="20"/>
      <c r="L1518" s="5">
        <f>Data!L1518</f>
        <v>0</v>
      </c>
      <c r="M1518" s="5"/>
      <c r="P1518" s="5"/>
      <c r="U1518" s="5"/>
    </row>
    <row r="1519" spans="10:21" x14ac:dyDescent="0.5">
      <c r="J1519" s="20"/>
      <c r="K1519" s="20"/>
      <c r="L1519" s="5">
        <f>Data!L1519</f>
        <v>0</v>
      </c>
      <c r="M1519" s="5"/>
      <c r="P1519" s="5"/>
      <c r="U1519" s="5"/>
    </row>
    <row r="1520" spans="10:21" x14ac:dyDescent="0.5">
      <c r="J1520" s="20"/>
      <c r="K1520" s="20"/>
      <c r="L1520" s="5">
        <f>Data!L1520</f>
        <v>0</v>
      </c>
      <c r="M1520" s="5"/>
      <c r="P1520" s="5"/>
      <c r="U1520" s="5"/>
    </row>
    <row r="1521" spans="10:21" x14ac:dyDescent="0.5">
      <c r="J1521" s="20"/>
      <c r="K1521" s="20"/>
      <c r="L1521" s="5">
        <f>Data!L1521</f>
        <v>0</v>
      </c>
      <c r="M1521" s="5"/>
      <c r="P1521" s="5"/>
      <c r="U1521" s="5"/>
    </row>
    <row r="1522" spans="10:21" x14ac:dyDescent="0.5">
      <c r="J1522" s="20"/>
      <c r="K1522" s="20"/>
      <c r="L1522" s="5">
        <f>Data!L1522</f>
        <v>0</v>
      </c>
      <c r="M1522" s="5"/>
      <c r="P1522" s="5"/>
      <c r="U1522" s="5"/>
    </row>
    <row r="1523" spans="10:21" x14ac:dyDescent="0.5">
      <c r="J1523" s="20"/>
      <c r="K1523" s="20"/>
      <c r="L1523" s="5">
        <f>Data!L1523</f>
        <v>0</v>
      </c>
      <c r="M1523" s="5"/>
      <c r="P1523" s="5"/>
      <c r="U1523" s="5"/>
    </row>
    <row r="1524" spans="10:21" x14ac:dyDescent="0.5">
      <c r="J1524" s="20"/>
      <c r="K1524" s="20"/>
      <c r="L1524" s="5">
        <f>Data!L1524</f>
        <v>0</v>
      </c>
      <c r="M1524" s="5"/>
      <c r="P1524" s="5"/>
      <c r="U1524" s="5"/>
    </row>
    <row r="1525" spans="10:21" x14ac:dyDescent="0.5">
      <c r="J1525" s="20"/>
      <c r="K1525" s="20"/>
      <c r="L1525" s="5">
        <f>Data!L1525</f>
        <v>0</v>
      </c>
      <c r="M1525" s="5"/>
      <c r="P1525" s="5"/>
      <c r="U1525" s="5"/>
    </row>
    <row r="1526" spans="10:21" x14ac:dyDescent="0.5">
      <c r="J1526" s="20"/>
      <c r="K1526" s="20"/>
      <c r="L1526" s="5">
        <f>Data!L1526</f>
        <v>0</v>
      </c>
      <c r="M1526" s="5"/>
      <c r="P1526" s="5"/>
      <c r="U1526" s="5"/>
    </row>
    <row r="1527" spans="10:21" x14ac:dyDescent="0.5">
      <c r="J1527" s="20"/>
      <c r="K1527" s="20"/>
      <c r="L1527" s="5">
        <f>Data!L1527</f>
        <v>0</v>
      </c>
      <c r="M1527" s="5"/>
      <c r="P1527" s="5"/>
      <c r="U1527" s="5"/>
    </row>
    <row r="1528" spans="10:21" x14ac:dyDescent="0.5">
      <c r="J1528" s="20"/>
      <c r="K1528" s="20"/>
      <c r="L1528" s="5">
        <f>Data!L1528</f>
        <v>0</v>
      </c>
      <c r="M1528" s="5"/>
      <c r="P1528" s="5"/>
      <c r="U1528" s="5"/>
    </row>
    <row r="1529" spans="10:21" x14ac:dyDescent="0.5">
      <c r="J1529" s="20"/>
      <c r="K1529" s="20"/>
      <c r="L1529" s="5">
        <f>Data!L1529</f>
        <v>0</v>
      </c>
      <c r="M1529" s="5"/>
      <c r="P1529" s="5"/>
      <c r="U1529" s="5"/>
    </row>
    <row r="1530" spans="10:21" x14ac:dyDescent="0.5">
      <c r="J1530" s="20"/>
      <c r="K1530" s="20"/>
      <c r="L1530" s="5">
        <f>Data!L1530</f>
        <v>0</v>
      </c>
      <c r="M1530" s="5"/>
      <c r="P1530" s="5"/>
      <c r="U1530" s="5"/>
    </row>
    <row r="1531" spans="10:21" x14ac:dyDescent="0.5">
      <c r="J1531" s="20"/>
      <c r="K1531" s="20"/>
      <c r="L1531" s="5">
        <f>Data!L1531</f>
        <v>0</v>
      </c>
      <c r="M1531" s="5"/>
      <c r="P1531" s="5"/>
      <c r="U1531" s="5"/>
    </row>
    <row r="1532" spans="10:21" x14ac:dyDescent="0.5">
      <c r="J1532" s="20"/>
      <c r="K1532" s="20"/>
      <c r="L1532" s="5">
        <f>Data!L1532</f>
        <v>0</v>
      </c>
      <c r="M1532" s="5"/>
      <c r="P1532" s="5"/>
      <c r="U1532" s="5"/>
    </row>
    <row r="1533" spans="10:21" x14ac:dyDescent="0.5">
      <c r="J1533" s="20"/>
      <c r="K1533" s="20"/>
      <c r="L1533" s="5">
        <f>Data!L1533</f>
        <v>0</v>
      </c>
      <c r="M1533" s="5"/>
      <c r="P1533" s="5"/>
      <c r="U1533" s="5"/>
    </row>
    <row r="1534" spans="10:21" x14ac:dyDescent="0.5">
      <c r="J1534" s="20"/>
      <c r="K1534" s="20"/>
      <c r="L1534" s="5">
        <f>Data!L1534</f>
        <v>0</v>
      </c>
      <c r="M1534" s="5"/>
      <c r="P1534" s="5"/>
      <c r="U1534" s="5"/>
    </row>
    <row r="1535" spans="10:21" x14ac:dyDescent="0.5">
      <c r="J1535" s="20"/>
      <c r="K1535" s="20"/>
      <c r="L1535" s="5">
        <f>Data!L1535</f>
        <v>0</v>
      </c>
      <c r="M1535" s="5"/>
      <c r="P1535" s="5"/>
      <c r="U1535" s="5"/>
    </row>
    <row r="1536" spans="10:21" x14ac:dyDescent="0.5">
      <c r="J1536" s="20"/>
      <c r="K1536" s="20"/>
      <c r="L1536" s="5">
        <f>Data!L1536</f>
        <v>0</v>
      </c>
      <c r="M1536" s="5"/>
      <c r="P1536" s="5"/>
      <c r="U1536" s="5"/>
    </row>
    <row r="1537" spans="10:21" x14ac:dyDescent="0.5">
      <c r="J1537" s="20"/>
      <c r="K1537" s="20"/>
      <c r="L1537" s="5">
        <f>Data!L1537</f>
        <v>0</v>
      </c>
      <c r="M1537" s="5"/>
      <c r="P1537" s="5"/>
      <c r="U1537" s="5"/>
    </row>
    <row r="1538" spans="10:21" x14ac:dyDescent="0.5">
      <c r="J1538" s="20"/>
      <c r="K1538" s="20"/>
      <c r="L1538" s="5">
        <f>Data!L1538</f>
        <v>0</v>
      </c>
      <c r="M1538" s="5"/>
      <c r="P1538" s="5"/>
      <c r="U1538" s="5"/>
    </row>
    <row r="1539" spans="10:21" x14ac:dyDescent="0.5">
      <c r="J1539" s="20"/>
      <c r="K1539" s="20"/>
      <c r="L1539" s="5">
        <f>Data!L1539</f>
        <v>0</v>
      </c>
      <c r="M1539" s="5"/>
      <c r="P1539" s="5"/>
      <c r="U1539" s="5"/>
    </row>
    <row r="1540" spans="10:21" x14ac:dyDescent="0.5">
      <c r="J1540" s="20"/>
      <c r="K1540" s="20"/>
      <c r="L1540" s="5">
        <f>Data!L1540</f>
        <v>0</v>
      </c>
      <c r="M1540" s="5"/>
      <c r="P1540" s="5"/>
      <c r="U1540" s="5"/>
    </row>
    <row r="1541" spans="10:21" x14ac:dyDescent="0.5">
      <c r="J1541" s="20"/>
      <c r="K1541" s="20"/>
      <c r="L1541" s="5">
        <f>Data!L1541</f>
        <v>0</v>
      </c>
      <c r="M1541" s="5"/>
      <c r="P1541" s="5"/>
      <c r="U1541" s="5"/>
    </row>
    <row r="1542" spans="10:21" x14ac:dyDescent="0.5">
      <c r="J1542" s="20"/>
      <c r="K1542" s="20"/>
      <c r="L1542" s="5">
        <f>Data!L1542</f>
        <v>0</v>
      </c>
      <c r="M1542" s="5"/>
      <c r="P1542" s="5"/>
      <c r="U1542" s="5"/>
    </row>
    <row r="1543" spans="10:21" x14ac:dyDescent="0.5">
      <c r="J1543" s="20"/>
      <c r="K1543" s="20"/>
      <c r="L1543" s="5">
        <f>Data!L1543</f>
        <v>0</v>
      </c>
      <c r="M1543" s="5"/>
      <c r="P1543" s="5"/>
      <c r="U1543" s="5"/>
    </row>
    <row r="1544" spans="10:21" x14ac:dyDescent="0.5">
      <c r="J1544" s="20"/>
      <c r="K1544" s="20"/>
      <c r="L1544" s="5">
        <f>Data!L1544</f>
        <v>0</v>
      </c>
      <c r="M1544" s="5"/>
      <c r="P1544" s="5"/>
      <c r="U1544" s="5"/>
    </row>
    <row r="1545" spans="10:21" x14ac:dyDescent="0.5">
      <c r="J1545" s="20"/>
      <c r="K1545" s="20"/>
      <c r="L1545" s="5">
        <f>Data!L1545</f>
        <v>0</v>
      </c>
      <c r="M1545" s="5"/>
      <c r="P1545" s="5"/>
      <c r="U1545" s="5"/>
    </row>
    <row r="1546" spans="10:21" x14ac:dyDescent="0.5">
      <c r="J1546" s="20"/>
      <c r="K1546" s="20"/>
      <c r="L1546" s="5">
        <f>Data!L1546</f>
        <v>0</v>
      </c>
      <c r="M1546" s="5"/>
      <c r="P1546" s="5"/>
      <c r="U1546" s="5"/>
    </row>
    <row r="1547" spans="10:21" x14ac:dyDescent="0.5">
      <c r="J1547" s="20"/>
      <c r="K1547" s="20"/>
      <c r="L1547" s="5">
        <f>Data!L1547</f>
        <v>0</v>
      </c>
      <c r="M1547" s="5"/>
      <c r="P1547" s="5"/>
      <c r="U1547" s="5"/>
    </row>
    <row r="1548" spans="10:21" x14ac:dyDescent="0.5">
      <c r="J1548" s="20"/>
      <c r="K1548" s="20"/>
      <c r="L1548" s="5">
        <f>Data!L1548</f>
        <v>0</v>
      </c>
      <c r="M1548" s="5"/>
      <c r="P1548" s="5"/>
      <c r="U1548" s="5"/>
    </row>
    <row r="1549" spans="10:21" x14ac:dyDescent="0.5">
      <c r="J1549" s="20"/>
      <c r="K1549" s="20"/>
      <c r="L1549" s="5">
        <f>Data!L1549</f>
        <v>0</v>
      </c>
      <c r="M1549" s="5"/>
      <c r="P1549" s="5"/>
      <c r="U1549" s="5"/>
    </row>
    <row r="1550" spans="10:21" x14ac:dyDescent="0.5">
      <c r="J1550" s="20"/>
      <c r="K1550" s="20"/>
      <c r="L1550" s="5">
        <f>Data!L1550</f>
        <v>0</v>
      </c>
      <c r="M1550" s="5"/>
      <c r="P1550" s="5"/>
      <c r="U1550" s="5"/>
    </row>
    <row r="1551" spans="10:21" x14ac:dyDescent="0.5">
      <c r="J1551" s="20"/>
      <c r="K1551" s="20"/>
      <c r="L1551" s="5">
        <f>Data!L1551</f>
        <v>0</v>
      </c>
      <c r="M1551" s="5"/>
      <c r="P1551" s="5"/>
      <c r="U1551" s="5"/>
    </row>
    <row r="1552" spans="10:21" x14ac:dyDescent="0.5">
      <c r="J1552" s="20"/>
      <c r="K1552" s="20"/>
      <c r="L1552" s="5">
        <f>Data!L1552</f>
        <v>0</v>
      </c>
      <c r="M1552" s="5"/>
      <c r="P1552" s="5"/>
      <c r="U1552" s="5"/>
    </row>
    <row r="1553" spans="10:21" x14ac:dyDescent="0.5">
      <c r="J1553" s="20"/>
      <c r="K1553" s="20"/>
      <c r="L1553" s="5">
        <f>Data!L1553</f>
        <v>0</v>
      </c>
      <c r="M1553" s="5"/>
      <c r="P1553" s="5"/>
      <c r="U1553" s="5"/>
    </row>
    <row r="1554" spans="10:21" x14ac:dyDescent="0.5">
      <c r="J1554" s="20"/>
      <c r="K1554" s="20"/>
      <c r="L1554" s="5">
        <f>Data!L1554</f>
        <v>0</v>
      </c>
      <c r="M1554" s="5"/>
      <c r="P1554" s="5"/>
      <c r="U1554" s="5"/>
    </row>
    <row r="1555" spans="10:21" x14ac:dyDescent="0.5">
      <c r="J1555" s="20"/>
      <c r="K1555" s="20"/>
      <c r="L1555" s="5">
        <f>Data!L1555</f>
        <v>0</v>
      </c>
      <c r="M1555" s="5"/>
      <c r="P1555" s="5"/>
      <c r="U1555" s="5"/>
    </row>
    <row r="1556" spans="10:21" x14ac:dyDescent="0.5">
      <c r="J1556" s="20"/>
      <c r="K1556" s="20"/>
      <c r="L1556" s="5">
        <f>Data!L1556</f>
        <v>0</v>
      </c>
      <c r="M1556" s="5"/>
      <c r="P1556" s="5"/>
      <c r="U1556" s="5"/>
    </row>
    <row r="1557" spans="10:21" x14ac:dyDescent="0.5">
      <c r="J1557" s="20"/>
      <c r="K1557" s="20"/>
      <c r="L1557" s="5">
        <f>Data!L1557</f>
        <v>0</v>
      </c>
      <c r="M1557" s="5"/>
      <c r="P1557" s="5"/>
      <c r="U1557" s="5"/>
    </row>
    <row r="1558" spans="10:21" x14ac:dyDescent="0.5">
      <c r="J1558" s="20"/>
      <c r="K1558" s="20"/>
      <c r="L1558" s="5">
        <f>Data!L1558</f>
        <v>0</v>
      </c>
      <c r="M1558" s="5"/>
      <c r="P1558" s="5"/>
      <c r="U1558" s="5"/>
    </row>
    <row r="1559" spans="10:21" x14ac:dyDescent="0.5">
      <c r="J1559" s="20"/>
      <c r="K1559" s="20"/>
      <c r="L1559" s="5">
        <f>Data!L1559</f>
        <v>0</v>
      </c>
      <c r="M1559" s="5"/>
      <c r="P1559" s="5"/>
      <c r="U1559" s="5"/>
    </row>
    <row r="1560" spans="10:21" x14ac:dyDescent="0.5">
      <c r="J1560" s="20"/>
      <c r="K1560" s="20"/>
      <c r="L1560" s="5">
        <f>Data!L1560</f>
        <v>0</v>
      </c>
      <c r="M1560" s="5"/>
      <c r="P1560" s="5"/>
      <c r="U1560" s="5"/>
    </row>
    <row r="1561" spans="10:21" x14ac:dyDescent="0.5">
      <c r="J1561" s="20"/>
      <c r="K1561" s="20"/>
      <c r="L1561" s="5">
        <f>Data!L1561</f>
        <v>0</v>
      </c>
      <c r="M1561" s="5"/>
      <c r="P1561" s="5"/>
      <c r="U1561" s="5"/>
    </row>
    <row r="1562" spans="10:21" x14ac:dyDescent="0.5">
      <c r="J1562" s="20"/>
      <c r="K1562" s="20"/>
      <c r="L1562" s="5">
        <f>Data!L1562</f>
        <v>0</v>
      </c>
      <c r="M1562" s="5"/>
      <c r="P1562" s="5"/>
      <c r="U1562" s="5"/>
    </row>
    <row r="1563" spans="10:21" x14ac:dyDescent="0.5">
      <c r="J1563" s="20"/>
      <c r="K1563" s="20"/>
      <c r="L1563" s="5">
        <f>Data!L1563</f>
        <v>0</v>
      </c>
      <c r="M1563" s="5"/>
      <c r="P1563" s="5"/>
      <c r="U1563" s="5"/>
    </row>
    <row r="1564" spans="10:21" x14ac:dyDescent="0.5">
      <c r="J1564" s="20"/>
      <c r="K1564" s="20"/>
      <c r="L1564" s="5">
        <f>Data!L1564</f>
        <v>0</v>
      </c>
      <c r="M1564" s="5"/>
      <c r="P1564" s="5"/>
      <c r="U1564" s="5"/>
    </row>
    <row r="1565" spans="10:21" x14ac:dyDescent="0.5">
      <c r="J1565" s="20"/>
      <c r="K1565" s="20"/>
      <c r="L1565" s="5">
        <f>Data!L1565</f>
        <v>0</v>
      </c>
      <c r="M1565" s="5"/>
      <c r="P1565" s="5"/>
      <c r="U1565" s="5"/>
    </row>
    <row r="1566" spans="10:21" x14ac:dyDescent="0.5">
      <c r="J1566" s="20"/>
      <c r="K1566" s="20"/>
      <c r="L1566" s="5">
        <f>Data!L1566</f>
        <v>0</v>
      </c>
      <c r="M1566" s="5"/>
      <c r="P1566" s="5"/>
      <c r="U1566" s="5"/>
    </row>
    <row r="1567" spans="10:21" x14ac:dyDescent="0.5">
      <c r="J1567" s="20"/>
      <c r="K1567" s="20"/>
      <c r="L1567" s="5">
        <f>Data!L1567</f>
        <v>0</v>
      </c>
      <c r="M1567" s="5"/>
      <c r="P1567" s="5"/>
      <c r="U1567" s="5"/>
    </row>
    <row r="1568" spans="10:21" x14ac:dyDescent="0.5">
      <c r="J1568" s="20"/>
      <c r="K1568" s="20"/>
      <c r="L1568" s="5">
        <f>Data!L1568</f>
        <v>0</v>
      </c>
      <c r="M1568" s="5"/>
      <c r="P1568" s="5"/>
      <c r="U1568" s="5"/>
    </row>
    <row r="1569" spans="10:21" x14ac:dyDescent="0.5">
      <c r="J1569" s="20"/>
      <c r="K1569" s="20"/>
      <c r="L1569" s="5">
        <f>Data!L1569</f>
        <v>0</v>
      </c>
      <c r="M1569" s="5"/>
      <c r="P1569" s="5"/>
      <c r="U1569" s="5"/>
    </row>
    <row r="1570" spans="10:21" x14ac:dyDescent="0.5">
      <c r="J1570" s="20"/>
      <c r="K1570" s="20"/>
      <c r="L1570" s="5">
        <f>Data!L1570</f>
        <v>0</v>
      </c>
      <c r="M1570" s="5"/>
      <c r="P1570" s="5"/>
      <c r="U1570" s="5"/>
    </row>
    <row r="1571" spans="10:21" x14ac:dyDescent="0.5">
      <c r="J1571" s="20"/>
      <c r="K1571" s="20"/>
      <c r="L1571" s="5">
        <f>Data!L1571</f>
        <v>0</v>
      </c>
      <c r="M1571" s="5"/>
      <c r="P1571" s="5"/>
      <c r="U1571" s="5"/>
    </row>
    <row r="1572" spans="10:21" x14ac:dyDescent="0.5">
      <c r="J1572" s="20"/>
      <c r="K1572" s="20"/>
      <c r="L1572" s="5">
        <f>Data!L1572</f>
        <v>0</v>
      </c>
      <c r="M1572" s="5"/>
      <c r="P1572" s="5"/>
      <c r="U1572" s="5"/>
    </row>
    <row r="1573" spans="10:21" x14ac:dyDescent="0.5">
      <c r="J1573" s="20"/>
      <c r="K1573" s="20"/>
      <c r="L1573" s="5">
        <f>Data!L1573</f>
        <v>0</v>
      </c>
      <c r="M1573" s="5"/>
      <c r="P1573" s="5"/>
      <c r="U1573" s="5"/>
    </row>
    <row r="1574" spans="10:21" x14ac:dyDescent="0.5">
      <c r="J1574" s="20"/>
      <c r="K1574" s="20"/>
      <c r="L1574" s="5">
        <f>Data!L1574</f>
        <v>0</v>
      </c>
      <c r="M1574" s="5"/>
      <c r="P1574" s="5"/>
      <c r="U1574" s="5"/>
    </row>
    <row r="1575" spans="10:21" x14ac:dyDescent="0.5">
      <c r="J1575" s="20"/>
      <c r="K1575" s="20"/>
      <c r="L1575" s="5">
        <f>Data!L1575</f>
        <v>0</v>
      </c>
      <c r="M1575" s="5"/>
      <c r="P1575" s="5"/>
      <c r="U1575" s="5"/>
    </row>
    <row r="1576" spans="10:21" x14ac:dyDescent="0.5">
      <c r="J1576" s="20"/>
      <c r="K1576" s="20"/>
      <c r="L1576" s="5">
        <f>Data!L1576</f>
        <v>0</v>
      </c>
      <c r="M1576" s="5"/>
      <c r="P1576" s="5"/>
      <c r="U1576" s="5"/>
    </row>
    <row r="1577" spans="10:21" x14ac:dyDescent="0.5">
      <c r="J1577" s="20"/>
      <c r="K1577" s="20"/>
      <c r="L1577" s="5">
        <f>Data!L1577</f>
        <v>0</v>
      </c>
      <c r="M1577" s="5"/>
      <c r="P1577" s="5"/>
      <c r="U1577" s="5"/>
    </row>
    <row r="1578" spans="10:21" x14ac:dyDescent="0.5">
      <c r="J1578" s="20"/>
      <c r="K1578" s="20"/>
      <c r="L1578" s="5">
        <f>Data!L1578</f>
        <v>0</v>
      </c>
      <c r="M1578" s="5"/>
      <c r="P1578" s="5"/>
      <c r="U1578" s="5"/>
    </row>
    <row r="1579" spans="10:21" x14ac:dyDescent="0.5">
      <c r="J1579" s="20"/>
      <c r="K1579" s="20"/>
      <c r="L1579" s="5">
        <f>Data!L1579</f>
        <v>0</v>
      </c>
      <c r="M1579" s="5"/>
      <c r="P1579" s="5"/>
      <c r="U1579" s="5"/>
    </row>
    <row r="1580" spans="10:21" x14ac:dyDescent="0.5">
      <c r="J1580" s="20"/>
      <c r="K1580" s="20"/>
      <c r="L1580" s="5">
        <f>Data!L1580</f>
        <v>0</v>
      </c>
      <c r="M1580" s="5"/>
      <c r="P1580" s="5"/>
      <c r="U1580" s="5"/>
    </row>
    <row r="1581" spans="10:21" x14ac:dyDescent="0.5">
      <c r="J1581" s="20"/>
      <c r="K1581" s="20"/>
      <c r="L1581" s="5">
        <f>Data!L1581</f>
        <v>0</v>
      </c>
      <c r="M1581" s="5"/>
      <c r="P1581" s="5"/>
      <c r="U1581" s="5"/>
    </row>
    <row r="1582" spans="10:21" x14ac:dyDescent="0.5">
      <c r="J1582" s="20"/>
      <c r="K1582" s="20"/>
      <c r="L1582" s="5">
        <f>Data!L1582</f>
        <v>0</v>
      </c>
      <c r="M1582" s="5"/>
      <c r="P1582" s="5"/>
      <c r="U1582" s="5"/>
    </row>
    <row r="1583" spans="10:21" x14ac:dyDescent="0.5">
      <c r="J1583" s="20"/>
      <c r="K1583" s="20"/>
      <c r="L1583" s="5">
        <f>Data!L1583</f>
        <v>0</v>
      </c>
      <c r="M1583" s="5"/>
      <c r="P1583" s="5"/>
      <c r="U1583" s="5"/>
    </row>
    <row r="1584" spans="10:21" x14ac:dyDescent="0.5">
      <c r="J1584" s="20"/>
      <c r="K1584" s="20"/>
      <c r="L1584" s="5">
        <f>Data!L1584</f>
        <v>0</v>
      </c>
      <c r="M1584" s="5"/>
      <c r="P1584" s="5"/>
      <c r="U1584" s="5"/>
    </row>
    <row r="1585" spans="10:21" x14ac:dyDescent="0.5">
      <c r="J1585" s="20"/>
      <c r="K1585" s="20"/>
      <c r="L1585" s="5">
        <f>Data!L1585</f>
        <v>0</v>
      </c>
      <c r="M1585" s="5"/>
      <c r="P1585" s="5"/>
      <c r="U1585" s="5"/>
    </row>
    <row r="1586" spans="10:21" x14ac:dyDescent="0.5">
      <c r="J1586" s="20"/>
      <c r="K1586" s="20"/>
      <c r="L1586" s="5">
        <f>Data!L1586</f>
        <v>0</v>
      </c>
      <c r="M1586" s="5"/>
      <c r="P1586" s="5"/>
      <c r="U1586" s="5"/>
    </row>
    <row r="1587" spans="10:21" x14ac:dyDescent="0.5">
      <c r="J1587" s="20"/>
      <c r="K1587" s="20"/>
      <c r="L1587" s="5">
        <f>Data!L1587</f>
        <v>0</v>
      </c>
      <c r="M1587" s="5"/>
      <c r="P1587" s="5"/>
      <c r="U1587" s="5"/>
    </row>
    <row r="1588" spans="10:21" x14ac:dyDescent="0.5">
      <c r="J1588" s="20"/>
      <c r="K1588" s="20"/>
      <c r="L1588" s="5">
        <f>Data!L1588</f>
        <v>0</v>
      </c>
      <c r="M1588" s="5"/>
      <c r="P1588" s="5"/>
      <c r="U1588" s="5"/>
    </row>
    <row r="1589" spans="10:21" x14ac:dyDescent="0.5">
      <c r="J1589" s="20"/>
      <c r="K1589" s="20"/>
      <c r="L1589" s="5">
        <f>Data!L1589</f>
        <v>0</v>
      </c>
      <c r="M1589" s="5"/>
      <c r="P1589" s="5"/>
      <c r="U1589" s="5"/>
    </row>
    <row r="1590" spans="10:21" x14ac:dyDescent="0.5">
      <c r="J1590" s="20"/>
      <c r="K1590" s="20"/>
      <c r="L1590" s="5">
        <f>Data!L1590</f>
        <v>0</v>
      </c>
      <c r="M1590" s="5"/>
      <c r="P1590" s="5"/>
      <c r="U1590" s="5"/>
    </row>
    <row r="1591" spans="10:21" x14ac:dyDescent="0.5">
      <c r="J1591" s="20"/>
      <c r="K1591" s="20"/>
      <c r="L1591" s="5">
        <f>Data!L1591</f>
        <v>0</v>
      </c>
      <c r="M1591" s="5"/>
      <c r="P1591" s="5"/>
      <c r="U1591" s="5"/>
    </row>
    <row r="1592" spans="10:21" x14ac:dyDescent="0.5">
      <c r="J1592" s="20"/>
      <c r="K1592" s="20"/>
      <c r="L1592" s="5">
        <f>Data!L1592</f>
        <v>0</v>
      </c>
      <c r="M1592" s="5"/>
      <c r="P1592" s="5"/>
      <c r="U1592" s="5"/>
    </row>
    <row r="1593" spans="10:21" x14ac:dyDescent="0.5">
      <c r="J1593" s="20"/>
      <c r="K1593" s="20"/>
      <c r="L1593" s="5">
        <f>Data!L1593</f>
        <v>0</v>
      </c>
      <c r="M1593" s="5"/>
      <c r="P1593" s="5"/>
      <c r="U1593" s="5"/>
    </row>
    <row r="1594" spans="10:21" x14ac:dyDescent="0.5">
      <c r="J1594" s="20"/>
      <c r="K1594" s="20"/>
      <c r="L1594" s="5">
        <f>Data!L1594</f>
        <v>0</v>
      </c>
      <c r="M1594" s="5"/>
      <c r="P1594" s="5"/>
      <c r="U1594" s="5"/>
    </row>
    <row r="1595" spans="10:21" x14ac:dyDescent="0.5">
      <c r="J1595" s="20"/>
      <c r="K1595" s="20"/>
      <c r="L1595" s="5">
        <f>Data!L1595</f>
        <v>0</v>
      </c>
      <c r="M1595" s="5"/>
      <c r="P1595" s="5"/>
      <c r="U1595" s="5"/>
    </row>
    <row r="1596" spans="10:21" x14ac:dyDescent="0.5">
      <c r="J1596" s="20"/>
      <c r="K1596" s="20"/>
      <c r="L1596" s="5">
        <f>Data!L1596</f>
        <v>0</v>
      </c>
      <c r="M1596" s="5"/>
      <c r="P1596" s="5"/>
      <c r="U1596" s="5"/>
    </row>
    <row r="1597" spans="10:21" x14ac:dyDescent="0.5">
      <c r="J1597" s="20"/>
      <c r="K1597" s="20"/>
      <c r="L1597" s="5">
        <f>Data!L1597</f>
        <v>0</v>
      </c>
      <c r="M1597" s="5"/>
      <c r="P1597" s="5"/>
      <c r="U1597" s="5"/>
    </row>
    <row r="1598" spans="10:21" x14ac:dyDescent="0.5">
      <c r="J1598" s="20"/>
      <c r="K1598" s="20"/>
      <c r="L1598" s="5">
        <f>Data!L1598</f>
        <v>0</v>
      </c>
      <c r="M1598" s="5"/>
      <c r="P1598" s="5"/>
      <c r="U1598" s="5"/>
    </row>
    <row r="1599" spans="10:21" x14ac:dyDescent="0.5">
      <c r="J1599" s="20"/>
      <c r="K1599" s="20"/>
      <c r="L1599" s="5">
        <f>Data!L1599</f>
        <v>0</v>
      </c>
      <c r="M1599" s="5"/>
      <c r="P1599" s="5"/>
      <c r="U1599" s="5"/>
    </row>
    <row r="1600" spans="10:21" x14ac:dyDescent="0.5">
      <c r="J1600" s="20"/>
      <c r="K1600" s="20"/>
      <c r="L1600" s="5">
        <f>Data!L1600</f>
        <v>0</v>
      </c>
      <c r="M1600" s="5"/>
      <c r="P1600" s="5"/>
      <c r="U1600" s="5"/>
    </row>
    <row r="1601" spans="10:21" x14ac:dyDescent="0.5">
      <c r="J1601" s="20"/>
      <c r="K1601" s="20"/>
      <c r="L1601" s="5">
        <f>Data!L1601</f>
        <v>0</v>
      </c>
      <c r="M1601" s="5"/>
      <c r="P1601" s="5"/>
      <c r="U1601" s="5"/>
    </row>
    <row r="1602" spans="10:21" x14ac:dyDescent="0.5">
      <c r="J1602" s="20"/>
      <c r="K1602" s="20"/>
      <c r="L1602" s="5">
        <f>Data!L1602</f>
        <v>0</v>
      </c>
      <c r="M1602" s="5"/>
      <c r="P1602" s="5"/>
      <c r="U1602" s="5"/>
    </row>
    <row r="1603" spans="10:21" x14ac:dyDescent="0.5">
      <c r="J1603" s="20"/>
      <c r="K1603" s="20"/>
      <c r="L1603" s="5">
        <f>Data!L1603</f>
        <v>0</v>
      </c>
      <c r="M1603" s="5"/>
      <c r="P1603" s="5"/>
      <c r="U1603" s="5"/>
    </row>
    <row r="1604" spans="10:21" x14ac:dyDescent="0.5">
      <c r="J1604" s="20"/>
      <c r="K1604" s="20"/>
      <c r="L1604" s="5">
        <f>Data!L1604</f>
        <v>0</v>
      </c>
      <c r="M1604" s="5"/>
      <c r="P1604" s="5"/>
      <c r="U1604" s="5"/>
    </row>
    <row r="1605" spans="10:21" x14ac:dyDescent="0.5">
      <c r="J1605" s="20"/>
      <c r="K1605" s="20"/>
      <c r="L1605" s="5">
        <f>Data!L1605</f>
        <v>0</v>
      </c>
      <c r="M1605" s="5"/>
      <c r="P1605" s="5"/>
      <c r="U1605" s="5"/>
    </row>
    <row r="1606" spans="10:21" x14ac:dyDescent="0.5">
      <c r="J1606" s="20"/>
      <c r="K1606" s="20"/>
      <c r="L1606" s="5">
        <f>Data!L1606</f>
        <v>0</v>
      </c>
      <c r="M1606" s="5"/>
      <c r="P1606" s="5"/>
      <c r="U1606" s="5"/>
    </row>
    <row r="1607" spans="10:21" x14ac:dyDescent="0.5">
      <c r="J1607" s="20"/>
      <c r="K1607" s="20"/>
      <c r="L1607" s="5">
        <f>Data!L1607</f>
        <v>0</v>
      </c>
      <c r="M1607" s="5"/>
      <c r="P1607" s="5"/>
      <c r="U1607" s="5"/>
    </row>
    <row r="1608" spans="10:21" x14ac:dyDescent="0.5">
      <c r="J1608" s="20"/>
      <c r="K1608" s="20"/>
      <c r="L1608" s="5">
        <f>Data!L1608</f>
        <v>0</v>
      </c>
      <c r="M1608" s="5"/>
      <c r="P1608" s="5"/>
      <c r="U1608" s="5"/>
    </row>
    <row r="1609" spans="10:21" x14ac:dyDescent="0.5">
      <c r="J1609" s="20"/>
      <c r="K1609" s="20"/>
      <c r="L1609" s="5">
        <f>Data!L1609</f>
        <v>0</v>
      </c>
      <c r="M1609" s="5"/>
      <c r="P1609" s="5"/>
      <c r="U1609" s="5"/>
    </row>
    <row r="1610" spans="10:21" x14ac:dyDescent="0.5">
      <c r="J1610" s="20"/>
      <c r="K1610" s="20"/>
      <c r="L1610" s="5">
        <f>Data!L1610</f>
        <v>0</v>
      </c>
      <c r="M1610" s="5"/>
      <c r="P1610" s="5"/>
      <c r="U1610" s="5"/>
    </row>
    <row r="1611" spans="10:21" x14ac:dyDescent="0.5">
      <c r="J1611" s="20"/>
      <c r="K1611" s="20"/>
      <c r="L1611" s="5">
        <f>Data!L1611</f>
        <v>0</v>
      </c>
      <c r="M1611" s="5"/>
      <c r="P1611" s="5"/>
      <c r="U1611" s="5"/>
    </row>
    <row r="1612" spans="10:21" x14ac:dyDescent="0.5">
      <c r="J1612" s="20"/>
      <c r="K1612" s="20"/>
      <c r="L1612" s="5">
        <f>Data!L1612</f>
        <v>0</v>
      </c>
      <c r="M1612" s="5"/>
      <c r="P1612" s="5"/>
      <c r="U1612" s="5"/>
    </row>
    <row r="1613" spans="10:21" x14ac:dyDescent="0.5">
      <c r="J1613" s="20"/>
      <c r="K1613" s="20"/>
      <c r="L1613" s="5">
        <f>Data!L1613</f>
        <v>0</v>
      </c>
      <c r="M1613" s="5"/>
      <c r="P1613" s="5"/>
      <c r="U1613" s="5"/>
    </row>
    <row r="1614" spans="10:21" x14ac:dyDescent="0.5">
      <c r="J1614" s="20"/>
      <c r="K1614" s="20"/>
      <c r="L1614" s="5">
        <f>Data!L1614</f>
        <v>0</v>
      </c>
      <c r="M1614" s="5"/>
      <c r="P1614" s="5"/>
      <c r="U1614" s="5"/>
    </row>
    <row r="1615" spans="10:21" x14ac:dyDescent="0.5">
      <c r="J1615" s="20"/>
      <c r="K1615" s="20"/>
      <c r="L1615" s="5">
        <f>Data!L1615</f>
        <v>0</v>
      </c>
      <c r="M1615" s="5"/>
      <c r="P1615" s="5"/>
      <c r="U1615" s="5"/>
    </row>
    <row r="1616" spans="10:21" x14ac:dyDescent="0.5">
      <c r="J1616" s="20"/>
      <c r="K1616" s="20"/>
      <c r="L1616" s="5">
        <f>Data!L1616</f>
        <v>0</v>
      </c>
      <c r="M1616" s="5"/>
      <c r="P1616" s="5"/>
      <c r="U1616" s="5"/>
    </row>
    <row r="1617" spans="10:21" x14ac:dyDescent="0.5">
      <c r="J1617" s="20"/>
      <c r="K1617" s="20"/>
      <c r="L1617" s="5">
        <f>Data!L1617</f>
        <v>0</v>
      </c>
      <c r="M1617" s="5"/>
      <c r="P1617" s="5"/>
      <c r="U1617" s="5"/>
    </row>
    <row r="1618" spans="10:21" x14ac:dyDescent="0.5">
      <c r="J1618" s="20"/>
      <c r="K1618" s="20"/>
      <c r="L1618" s="5">
        <f>Data!L1618</f>
        <v>0</v>
      </c>
      <c r="M1618" s="5"/>
      <c r="P1618" s="5"/>
      <c r="U1618" s="5"/>
    </row>
    <row r="1619" spans="10:21" x14ac:dyDescent="0.5">
      <c r="J1619" s="20"/>
      <c r="K1619" s="20"/>
      <c r="L1619" s="5">
        <f>Data!L1619</f>
        <v>0</v>
      </c>
      <c r="M1619" s="5"/>
      <c r="P1619" s="5"/>
      <c r="U1619" s="5"/>
    </row>
    <row r="1620" spans="10:21" x14ac:dyDescent="0.5">
      <c r="J1620" s="20"/>
      <c r="K1620" s="20"/>
      <c r="L1620" s="5">
        <f>Data!L1620</f>
        <v>0</v>
      </c>
      <c r="M1620" s="5"/>
      <c r="P1620" s="5"/>
      <c r="U1620" s="5"/>
    </row>
    <row r="1621" spans="10:21" x14ac:dyDescent="0.5">
      <c r="J1621" s="20"/>
      <c r="K1621" s="20"/>
      <c r="L1621" s="5">
        <f>Data!L1621</f>
        <v>0</v>
      </c>
      <c r="M1621" s="5"/>
      <c r="P1621" s="5"/>
      <c r="U1621" s="5"/>
    </row>
    <row r="1622" spans="10:21" x14ac:dyDescent="0.5">
      <c r="J1622" s="20"/>
      <c r="K1622" s="20"/>
      <c r="L1622" s="5">
        <f>Data!L1622</f>
        <v>0</v>
      </c>
      <c r="M1622" s="5"/>
      <c r="P1622" s="5"/>
      <c r="U1622" s="5"/>
    </row>
    <row r="1623" spans="10:21" x14ac:dyDescent="0.5">
      <c r="J1623" s="20"/>
      <c r="K1623" s="20"/>
      <c r="L1623" s="5">
        <f>Data!L1623</f>
        <v>0</v>
      </c>
      <c r="M1623" s="5"/>
      <c r="P1623" s="5"/>
      <c r="U1623" s="5"/>
    </row>
    <row r="1624" spans="10:21" x14ac:dyDescent="0.5">
      <c r="J1624" s="20"/>
      <c r="K1624" s="20"/>
      <c r="L1624" s="5">
        <f>Data!L1624</f>
        <v>0</v>
      </c>
      <c r="M1624" s="5"/>
      <c r="P1624" s="5"/>
      <c r="U1624" s="5"/>
    </row>
    <row r="1625" spans="10:21" x14ac:dyDescent="0.5">
      <c r="J1625" s="20"/>
      <c r="K1625" s="20"/>
      <c r="L1625" s="5">
        <f>Data!L1625</f>
        <v>0</v>
      </c>
      <c r="M1625" s="5"/>
      <c r="P1625" s="5"/>
      <c r="U1625" s="5"/>
    </row>
    <row r="1626" spans="10:21" x14ac:dyDescent="0.5">
      <c r="J1626" s="20"/>
      <c r="K1626" s="20"/>
      <c r="L1626" s="5">
        <f>Data!L1626</f>
        <v>0</v>
      </c>
      <c r="M1626" s="5"/>
      <c r="P1626" s="5"/>
      <c r="U1626" s="5"/>
    </row>
    <row r="1627" spans="10:21" x14ac:dyDescent="0.5">
      <c r="J1627" s="20"/>
      <c r="K1627" s="20"/>
      <c r="L1627" s="5">
        <f>Data!L1627</f>
        <v>0</v>
      </c>
      <c r="M1627" s="5"/>
      <c r="P1627" s="5"/>
      <c r="U1627" s="5"/>
    </row>
    <row r="1628" spans="10:21" x14ac:dyDescent="0.5">
      <c r="J1628" s="20"/>
      <c r="K1628" s="20"/>
      <c r="L1628" s="5">
        <f>Data!L1628</f>
        <v>0</v>
      </c>
      <c r="M1628" s="5"/>
      <c r="P1628" s="5"/>
      <c r="U1628" s="5"/>
    </row>
    <row r="1629" spans="10:21" x14ac:dyDescent="0.5">
      <c r="J1629" s="20"/>
      <c r="K1629" s="20"/>
      <c r="L1629" s="5">
        <f>Data!L1629</f>
        <v>0</v>
      </c>
      <c r="M1629" s="5"/>
      <c r="P1629" s="5"/>
      <c r="U1629" s="5"/>
    </row>
    <row r="1630" spans="10:21" x14ac:dyDescent="0.5">
      <c r="J1630" s="20"/>
      <c r="K1630" s="20"/>
      <c r="L1630" s="5">
        <f>Data!L1630</f>
        <v>0</v>
      </c>
      <c r="M1630" s="5"/>
      <c r="P1630" s="5"/>
      <c r="U1630" s="5"/>
    </row>
    <row r="1631" spans="10:21" x14ac:dyDescent="0.5">
      <c r="J1631" s="20"/>
      <c r="K1631" s="20"/>
      <c r="L1631" s="5">
        <f>Data!L1631</f>
        <v>0</v>
      </c>
      <c r="M1631" s="5"/>
      <c r="P1631" s="5"/>
      <c r="U1631" s="5"/>
    </row>
    <row r="1632" spans="10:21" x14ac:dyDescent="0.5">
      <c r="J1632" s="20"/>
      <c r="K1632" s="20"/>
      <c r="L1632" s="5">
        <f>Data!L1632</f>
        <v>0</v>
      </c>
      <c r="M1632" s="5"/>
      <c r="P1632" s="5"/>
      <c r="U1632" s="5"/>
    </row>
    <row r="1633" spans="10:21" x14ac:dyDescent="0.5">
      <c r="J1633" s="20"/>
      <c r="K1633" s="20"/>
      <c r="L1633" s="5">
        <f>Data!L1633</f>
        <v>0</v>
      </c>
      <c r="M1633" s="5"/>
      <c r="P1633" s="5"/>
      <c r="U1633" s="5"/>
    </row>
    <row r="1634" spans="10:21" x14ac:dyDescent="0.5">
      <c r="J1634" s="20"/>
      <c r="K1634" s="20"/>
      <c r="L1634" s="5">
        <f>Data!L1634</f>
        <v>0</v>
      </c>
      <c r="M1634" s="5"/>
      <c r="P1634" s="5"/>
      <c r="U1634" s="5"/>
    </row>
    <row r="1635" spans="10:21" x14ac:dyDescent="0.5">
      <c r="J1635" s="20"/>
      <c r="K1635" s="20"/>
      <c r="L1635" s="5">
        <f>Data!L1635</f>
        <v>0</v>
      </c>
      <c r="M1635" s="5"/>
      <c r="P1635" s="5"/>
      <c r="U1635" s="5"/>
    </row>
    <row r="1636" spans="10:21" x14ac:dyDescent="0.5">
      <c r="J1636" s="20"/>
      <c r="K1636" s="20"/>
      <c r="L1636" s="5">
        <f>Data!L1636</f>
        <v>0</v>
      </c>
      <c r="M1636" s="5"/>
      <c r="P1636" s="5"/>
      <c r="U1636" s="5"/>
    </row>
    <row r="1637" spans="10:21" x14ac:dyDescent="0.5">
      <c r="J1637" s="20"/>
      <c r="K1637" s="20"/>
      <c r="L1637" s="5">
        <f>Data!L1637</f>
        <v>0</v>
      </c>
      <c r="M1637" s="5"/>
      <c r="P1637" s="5"/>
      <c r="U1637" s="5"/>
    </row>
    <row r="1638" spans="10:21" x14ac:dyDescent="0.5">
      <c r="J1638" s="20"/>
      <c r="K1638" s="20"/>
      <c r="L1638" s="5">
        <f>Data!L1638</f>
        <v>0</v>
      </c>
      <c r="M1638" s="5"/>
      <c r="P1638" s="5"/>
      <c r="U1638" s="5"/>
    </row>
    <row r="1639" spans="10:21" x14ac:dyDescent="0.5">
      <c r="J1639" s="20"/>
      <c r="K1639" s="20"/>
      <c r="L1639" s="5">
        <f>Data!L1639</f>
        <v>0</v>
      </c>
      <c r="M1639" s="5"/>
      <c r="P1639" s="5"/>
      <c r="U1639" s="5"/>
    </row>
    <row r="1640" spans="10:21" x14ac:dyDescent="0.5">
      <c r="J1640" s="20"/>
      <c r="K1640" s="20"/>
      <c r="L1640" s="5">
        <f>Data!L1640</f>
        <v>0</v>
      </c>
      <c r="M1640" s="5"/>
      <c r="P1640" s="5"/>
      <c r="U1640" s="5"/>
    </row>
    <row r="1641" spans="10:21" x14ac:dyDescent="0.5">
      <c r="J1641" s="20"/>
      <c r="K1641" s="20"/>
      <c r="L1641" s="5">
        <f>Data!L1641</f>
        <v>0</v>
      </c>
      <c r="M1641" s="5"/>
      <c r="P1641" s="5"/>
      <c r="U1641" s="5"/>
    </row>
    <row r="1642" spans="10:21" x14ac:dyDescent="0.5">
      <c r="J1642" s="20"/>
      <c r="K1642" s="20"/>
      <c r="L1642" s="5">
        <f>Data!L1642</f>
        <v>0</v>
      </c>
      <c r="M1642" s="5"/>
      <c r="P1642" s="5"/>
      <c r="U1642" s="5"/>
    </row>
    <row r="1643" spans="10:21" x14ac:dyDescent="0.5">
      <c r="J1643" s="20"/>
      <c r="K1643" s="20"/>
      <c r="L1643" s="5">
        <f>Data!L1643</f>
        <v>0</v>
      </c>
      <c r="M1643" s="5"/>
      <c r="P1643" s="5"/>
      <c r="U1643" s="5"/>
    </row>
    <row r="1644" spans="10:21" x14ac:dyDescent="0.5">
      <c r="J1644" s="20"/>
      <c r="K1644" s="20"/>
      <c r="L1644" s="5">
        <f>Data!L1644</f>
        <v>0</v>
      </c>
      <c r="M1644" s="5"/>
      <c r="P1644" s="5"/>
      <c r="U1644" s="5"/>
    </row>
    <row r="1645" spans="10:21" x14ac:dyDescent="0.5">
      <c r="J1645" s="20"/>
      <c r="K1645" s="20"/>
      <c r="L1645" s="5">
        <f>Data!L1645</f>
        <v>0</v>
      </c>
      <c r="M1645" s="5"/>
      <c r="P1645" s="5"/>
      <c r="U1645" s="5"/>
    </row>
    <row r="1646" spans="10:21" x14ac:dyDescent="0.5">
      <c r="J1646" s="20"/>
      <c r="K1646" s="20"/>
      <c r="L1646" s="5">
        <f>Data!L1646</f>
        <v>0</v>
      </c>
      <c r="M1646" s="5"/>
      <c r="P1646" s="5"/>
      <c r="U1646" s="5"/>
    </row>
    <row r="1647" spans="10:21" x14ac:dyDescent="0.5">
      <c r="J1647" s="20"/>
      <c r="K1647" s="20"/>
      <c r="L1647" s="5">
        <f>Data!L1647</f>
        <v>0</v>
      </c>
      <c r="M1647" s="5"/>
      <c r="P1647" s="5"/>
      <c r="U1647" s="5"/>
    </row>
    <row r="1648" spans="10:21" x14ac:dyDescent="0.5">
      <c r="J1648" s="20"/>
      <c r="K1648" s="20"/>
      <c r="L1648" s="5">
        <f>Data!L1648</f>
        <v>0</v>
      </c>
      <c r="M1648" s="5"/>
      <c r="P1648" s="5"/>
      <c r="U1648" s="5"/>
    </row>
    <row r="1649" spans="10:21" x14ac:dyDescent="0.5">
      <c r="J1649" s="20"/>
      <c r="K1649" s="20"/>
      <c r="L1649" s="5">
        <f>Data!L1649</f>
        <v>0</v>
      </c>
      <c r="M1649" s="5"/>
      <c r="P1649" s="5"/>
      <c r="U1649" s="5"/>
    </row>
    <row r="1650" spans="10:21" x14ac:dyDescent="0.5">
      <c r="J1650" s="20"/>
      <c r="K1650" s="20"/>
      <c r="L1650" s="5">
        <f>Data!L1650</f>
        <v>0</v>
      </c>
      <c r="M1650" s="5"/>
      <c r="P1650" s="5"/>
      <c r="U1650" s="5"/>
    </row>
    <row r="1651" spans="10:21" x14ac:dyDescent="0.5">
      <c r="J1651" s="20"/>
      <c r="K1651" s="20"/>
      <c r="L1651" s="5">
        <f>Data!L1651</f>
        <v>0</v>
      </c>
      <c r="M1651" s="5"/>
      <c r="P1651" s="5"/>
      <c r="U1651" s="5"/>
    </row>
    <row r="1652" spans="10:21" x14ac:dyDescent="0.5">
      <c r="J1652" s="20"/>
      <c r="K1652" s="20"/>
      <c r="L1652" s="5">
        <f>Data!L1652</f>
        <v>0</v>
      </c>
      <c r="M1652" s="5"/>
      <c r="P1652" s="5"/>
      <c r="U1652" s="5"/>
    </row>
    <row r="1653" spans="10:21" x14ac:dyDescent="0.5">
      <c r="J1653" s="20"/>
      <c r="K1653" s="20"/>
      <c r="L1653" s="5">
        <f>Data!L1653</f>
        <v>0</v>
      </c>
      <c r="M1653" s="5"/>
      <c r="P1653" s="5"/>
      <c r="U1653" s="5"/>
    </row>
    <row r="1654" spans="10:21" x14ac:dyDescent="0.5">
      <c r="J1654" s="20"/>
      <c r="K1654" s="20"/>
      <c r="L1654" s="5">
        <f>Data!L1654</f>
        <v>0</v>
      </c>
      <c r="M1654" s="5"/>
      <c r="P1654" s="5"/>
      <c r="U1654" s="5"/>
    </row>
    <row r="1655" spans="10:21" x14ac:dyDescent="0.5">
      <c r="J1655" s="20"/>
      <c r="K1655" s="20"/>
      <c r="L1655" s="5">
        <f>Data!L1655</f>
        <v>0</v>
      </c>
      <c r="M1655" s="5"/>
      <c r="P1655" s="5"/>
      <c r="U1655" s="5"/>
    </row>
    <row r="1656" spans="10:21" x14ac:dyDescent="0.5">
      <c r="J1656" s="20"/>
      <c r="K1656" s="20"/>
      <c r="L1656" s="5">
        <f>Data!L1656</f>
        <v>0</v>
      </c>
      <c r="M1656" s="5"/>
      <c r="P1656" s="5"/>
      <c r="U1656" s="5"/>
    </row>
    <row r="1657" spans="10:21" x14ac:dyDescent="0.5">
      <c r="J1657" s="20"/>
      <c r="K1657" s="20"/>
      <c r="L1657" s="5">
        <f>Data!L1657</f>
        <v>0</v>
      </c>
      <c r="M1657" s="5"/>
      <c r="P1657" s="5"/>
      <c r="U1657" s="5"/>
    </row>
    <row r="1658" spans="10:21" x14ac:dyDescent="0.5">
      <c r="J1658" s="20"/>
      <c r="K1658" s="20"/>
      <c r="L1658" s="5">
        <f>Data!L1658</f>
        <v>0</v>
      </c>
      <c r="M1658" s="5"/>
      <c r="P1658" s="5"/>
      <c r="U1658" s="5"/>
    </row>
    <row r="1659" spans="10:21" x14ac:dyDescent="0.5">
      <c r="J1659" s="20"/>
      <c r="K1659" s="20"/>
      <c r="L1659" s="5">
        <f>Data!L1659</f>
        <v>0</v>
      </c>
      <c r="M1659" s="5"/>
      <c r="P1659" s="5"/>
      <c r="U1659" s="5"/>
    </row>
    <row r="1660" spans="10:21" x14ac:dyDescent="0.5">
      <c r="J1660" s="20"/>
      <c r="K1660" s="20"/>
      <c r="L1660" s="5">
        <f>Data!L1660</f>
        <v>0</v>
      </c>
      <c r="M1660" s="5"/>
      <c r="P1660" s="5"/>
      <c r="U1660" s="5"/>
    </row>
    <row r="1661" spans="10:21" x14ac:dyDescent="0.5">
      <c r="J1661" s="20"/>
      <c r="K1661" s="20"/>
      <c r="L1661" s="5">
        <f>Data!L1661</f>
        <v>0</v>
      </c>
      <c r="M1661" s="5"/>
      <c r="P1661" s="5"/>
      <c r="U1661" s="5"/>
    </row>
    <row r="1662" spans="10:21" x14ac:dyDescent="0.5">
      <c r="J1662" s="20"/>
      <c r="K1662" s="20"/>
      <c r="L1662" s="5">
        <f>Data!L1662</f>
        <v>0</v>
      </c>
      <c r="M1662" s="5"/>
      <c r="P1662" s="5"/>
      <c r="U1662" s="5"/>
    </row>
    <row r="1663" spans="10:21" x14ac:dyDescent="0.5">
      <c r="J1663" s="20"/>
      <c r="K1663" s="20"/>
      <c r="L1663" s="5">
        <f>Data!L1663</f>
        <v>0</v>
      </c>
      <c r="M1663" s="5"/>
      <c r="P1663" s="5"/>
      <c r="U1663" s="5"/>
    </row>
    <row r="1664" spans="10:21" x14ac:dyDescent="0.5">
      <c r="J1664" s="20"/>
      <c r="K1664" s="20"/>
      <c r="L1664" s="5">
        <f>Data!L1664</f>
        <v>0</v>
      </c>
      <c r="M1664" s="5"/>
      <c r="P1664" s="5"/>
      <c r="U1664" s="5"/>
    </row>
    <row r="1665" spans="10:21" x14ac:dyDescent="0.5">
      <c r="J1665" s="20"/>
      <c r="K1665" s="20"/>
      <c r="L1665" s="5">
        <f>Data!L1665</f>
        <v>0</v>
      </c>
      <c r="M1665" s="5"/>
      <c r="P1665" s="5"/>
      <c r="U1665" s="5"/>
    </row>
    <row r="1666" spans="10:21" x14ac:dyDescent="0.5">
      <c r="J1666" s="20"/>
      <c r="K1666" s="20"/>
      <c r="L1666" s="5">
        <f>Data!L1666</f>
        <v>0</v>
      </c>
      <c r="M1666" s="5"/>
      <c r="P1666" s="5"/>
      <c r="U1666" s="5"/>
    </row>
    <row r="1667" spans="10:21" x14ac:dyDescent="0.5">
      <c r="J1667" s="20"/>
      <c r="K1667" s="20"/>
      <c r="L1667" s="5">
        <f>Data!L1667</f>
        <v>0</v>
      </c>
      <c r="M1667" s="5"/>
      <c r="P1667" s="5"/>
      <c r="U1667" s="5"/>
    </row>
    <row r="1668" spans="10:21" x14ac:dyDescent="0.5">
      <c r="J1668" s="20"/>
      <c r="K1668" s="20"/>
      <c r="L1668" s="5">
        <f>Data!L1668</f>
        <v>0</v>
      </c>
      <c r="M1668" s="5"/>
      <c r="P1668" s="5"/>
      <c r="U1668" s="5"/>
    </row>
    <row r="1669" spans="10:21" x14ac:dyDescent="0.5">
      <c r="J1669" s="20"/>
      <c r="K1669" s="20"/>
      <c r="L1669" s="5">
        <f>Data!L1669</f>
        <v>0</v>
      </c>
      <c r="M1669" s="5"/>
      <c r="P1669" s="5"/>
      <c r="U1669" s="5"/>
    </row>
    <row r="1670" spans="10:21" x14ac:dyDescent="0.5">
      <c r="J1670" s="20"/>
      <c r="K1670" s="20"/>
      <c r="L1670" s="5">
        <f>Data!L1670</f>
        <v>0</v>
      </c>
      <c r="M1670" s="5"/>
      <c r="P1670" s="5"/>
      <c r="U1670" s="5"/>
    </row>
    <row r="1671" spans="10:21" x14ac:dyDescent="0.5">
      <c r="J1671" s="20"/>
      <c r="K1671" s="20"/>
      <c r="L1671" s="5">
        <f>Data!L1671</f>
        <v>0</v>
      </c>
      <c r="M1671" s="5"/>
      <c r="P1671" s="5"/>
      <c r="U1671" s="5"/>
    </row>
    <row r="1672" spans="10:21" x14ac:dyDescent="0.5">
      <c r="J1672" s="20"/>
      <c r="K1672" s="20"/>
      <c r="L1672" s="5">
        <f>Data!L1672</f>
        <v>0</v>
      </c>
      <c r="M1672" s="5"/>
      <c r="P1672" s="5"/>
      <c r="U1672" s="5"/>
    </row>
    <row r="1673" spans="10:21" x14ac:dyDescent="0.5">
      <c r="J1673" s="20"/>
      <c r="K1673" s="20"/>
      <c r="L1673" s="5">
        <f>Data!L1673</f>
        <v>0</v>
      </c>
      <c r="M1673" s="5"/>
      <c r="P1673" s="5"/>
      <c r="U1673" s="5"/>
    </row>
    <row r="1674" spans="10:21" x14ac:dyDescent="0.5">
      <c r="J1674" s="20"/>
      <c r="K1674" s="20"/>
      <c r="L1674" s="5">
        <f>Data!L1674</f>
        <v>0</v>
      </c>
      <c r="M1674" s="5"/>
      <c r="P1674" s="5"/>
      <c r="U1674" s="5"/>
    </row>
    <row r="1675" spans="10:21" x14ac:dyDescent="0.5">
      <c r="J1675" s="20"/>
      <c r="K1675" s="20"/>
      <c r="L1675" s="5">
        <f>Data!L1675</f>
        <v>0</v>
      </c>
      <c r="M1675" s="5"/>
      <c r="P1675" s="5"/>
      <c r="U1675" s="5"/>
    </row>
    <row r="1676" spans="10:21" x14ac:dyDescent="0.5">
      <c r="J1676" s="20"/>
      <c r="K1676" s="20"/>
      <c r="L1676" s="5">
        <f>Data!L1676</f>
        <v>0</v>
      </c>
      <c r="M1676" s="5"/>
      <c r="P1676" s="5"/>
      <c r="U1676" s="5"/>
    </row>
    <row r="1677" spans="10:21" x14ac:dyDescent="0.5">
      <c r="J1677" s="20"/>
      <c r="K1677" s="20"/>
      <c r="L1677" s="5">
        <f>Data!L1677</f>
        <v>0</v>
      </c>
      <c r="M1677" s="5"/>
      <c r="P1677" s="5"/>
      <c r="U1677" s="5"/>
    </row>
    <row r="1678" spans="10:21" x14ac:dyDescent="0.5">
      <c r="J1678" s="20"/>
      <c r="K1678" s="20"/>
      <c r="L1678" s="5">
        <f>Data!L1678</f>
        <v>0</v>
      </c>
      <c r="M1678" s="5"/>
      <c r="P1678" s="5"/>
      <c r="U1678" s="5"/>
    </row>
    <row r="1679" spans="10:21" x14ac:dyDescent="0.5">
      <c r="J1679" s="20"/>
      <c r="K1679" s="20"/>
      <c r="L1679" s="5">
        <f>Data!L1679</f>
        <v>0</v>
      </c>
      <c r="M1679" s="5"/>
      <c r="P1679" s="5"/>
      <c r="U1679" s="5"/>
    </row>
    <row r="1680" spans="10:21" x14ac:dyDescent="0.5">
      <c r="J1680" s="20"/>
      <c r="K1680" s="20"/>
      <c r="L1680" s="5">
        <f>Data!L1680</f>
        <v>0</v>
      </c>
      <c r="M1680" s="5"/>
      <c r="P1680" s="5"/>
      <c r="U1680" s="5"/>
    </row>
    <row r="1681" spans="10:21" x14ac:dyDescent="0.5">
      <c r="J1681" s="20"/>
      <c r="K1681" s="20"/>
      <c r="L1681" s="5">
        <f>Data!L1681</f>
        <v>0</v>
      </c>
      <c r="M1681" s="5"/>
      <c r="P1681" s="5"/>
      <c r="U1681" s="5"/>
    </row>
    <row r="1682" spans="10:21" x14ac:dyDescent="0.5">
      <c r="J1682" s="20"/>
      <c r="K1682" s="20"/>
      <c r="L1682" s="5">
        <f>Data!L1682</f>
        <v>0</v>
      </c>
      <c r="M1682" s="5"/>
      <c r="P1682" s="5"/>
      <c r="U1682" s="5"/>
    </row>
    <row r="1683" spans="10:21" x14ac:dyDescent="0.5">
      <c r="J1683" s="20"/>
      <c r="K1683" s="20"/>
      <c r="L1683" s="5">
        <f>Data!L1683</f>
        <v>0</v>
      </c>
      <c r="M1683" s="5"/>
      <c r="P1683" s="5"/>
      <c r="U1683" s="5"/>
    </row>
    <row r="1684" spans="10:21" x14ac:dyDescent="0.5">
      <c r="J1684" s="20"/>
      <c r="K1684" s="20"/>
      <c r="L1684" s="5">
        <f>Data!L1684</f>
        <v>0</v>
      </c>
      <c r="M1684" s="5"/>
      <c r="P1684" s="5"/>
      <c r="U1684" s="5"/>
    </row>
    <row r="1685" spans="10:21" x14ac:dyDescent="0.5">
      <c r="J1685" s="20"/>
      <c r="K1685" s="20"/>
      <c r="L1685" s="5">
        <f>Data!L1685</f>
        <v>0</v>
      </c>
      <c r="M1685" s="5"/>
      <c r="P1685" s="5"/>
      <c r="U1685" s="5"/>
    </row>
    <row r="1686" spans="10:21" x14ac:dyDescent="0.5">
      <c r="J1686" s="20"/>
      <c r="K1686" s="20"/>
      <c r="L1686" s="5">
        <f>Data!L1686</f>
        <v>0</v>
      </c>
      <c r="M1686" s="5"/>
      <c r="P1686" s="5"/>
      <c r="U1686" s="5"/>
    </row>
    <row r="1687" spans="10:21" x14ac:dyDescent="0.5">
      <c r="J1687" s="20"/>
      <c r="K1687" s="20"/>
      <c r="L1687" s="5">
        <f>Data!L1687</f>
        <v>0</v>
      </c>
      <c r="M1687" s="5"/>
      <c r="P1687" s="5"/>
      <c r="U1687" s="5"/>
    </row>
    <row r="1688" spans="10:21" x14ac:dyDescent="0.5">
      <c r="J1688" s="20"/>
      <c r="K1688" s="20"/>
      <c r="L1688" s="5">
        <f>Data!L1688</f>
        <v>0</v>
      </c>
      <c r="M1688" s="5"/>
      <c r="P1688" s="5"/>
      <c r="U1688" s="5"/>
    </row>
    <row r="1689" spans="10:21" x14ac:dyDescent="0.5">
      <c r="J1689" s="20"/>
      <c r="K1689" s="20"/>
      <c r="L1689" s="5">
        <f>Data!L1689</f>
        <v>0</v>
      </c>
      <c r="M1689" s="5"/>
      <c r="P1689" s="5"/>
      <c r="U1689" s="5"/>
    </row>
    <row r="1690" spans="10:21" x14ac:dyDescent="0.5">
      <c r="J1690" s="20"/>
      <c r="K1690" s="20"/>
      <c r="L1690" s="5">
        <f>Data!L1690</f>
        <v>0</v>
      </c>
      <c r="M1690" s="5"/>
      <c r="P1690" s="5"/>
      <c r="U1690" s="5"/>
    </row>
    <row r="1691" spans="10:21" x14ac:dyDescent="0.5">
      <c r="J1691" s="20"/>
      <c r="K1691" s="20"/>
      <c r="L1691" s="5">
        <f>Data!L1691</f>
        <v>0</v>
      </c>
      <c r="M1691" s="5"/>
      <c r="P1691" s="5"/>
      <c r="U1691" s="5"/>
    </row>
    <row r="1692" spans="10:21" x14ac:dyDescent="0.5">
      <c r="J1692" s="20"/>
      <c r="K1692" s="20"/>
      <c r="L1692" s="5">
        <f>Data!L1692</f>
        <v>0</v>
      </c>
      <c r="M1692" s="5"/>
      <c r="P1692" s="5"/>
      <c r="U1692" s="5"/>
    </row>
    <row r="1693" spans="10:21" x14ac:dyDescent="0.5">
      <c r="J1693" s="20"/>
      <c r="K1693" s="20"/>
      <c r="L1693" s="5">
        <f>Data!L1693</f>
        <v>0</v>
      </c>
      <c r="M1693" s="5"/>
      <c r="P1693" s="5"/>
      <c r="U1693" s="5"/>
    </row>
    <row r="1694" spans="10:21" x14ac:dyDescent="0.5">
      <c r="J1694" s="20"/>
      <c r="K1694" s="20"/>
      <c r="L1694" s="5">
        <f>Data!L1694</f>
        <v>0</v>
      </c>
      <c r="M1694" s="5"/>
      <c r="P1694" s="5"/>
      <c r="U1694" s="5"/>
    </row>
    <row r="1695" spans="10:21" x14ac:dyDescent="0.5">
      <c r="J1695" s="20"/>
      <c r="K1695" s="20"/>
      <c r="L1695" s="5">
        <f>Data!L1695</f>
        <v>0</v>
      </c>
      <c r="M1695" s="5"/>
      <c r="P1695" s="5"/>
      <c r="U1695" s="5"/>
    </row>
    <row r="1696" spans="10:21" x14ac:dyDescent="0.5">
      <c r="J1696" s="20"/>
      <c r="K1696" s="20"/>
      <c r="L1696" s="5">
        <f>Data!L1696</f>
        <v>0</v>
      </c>
      <c r="M1696" s="5"/>
      <c r="P1696" s="5"/>
      <c r="U1696" s="5"/>
    </row>
    <row r="1697" spans="10:21" x14ac:dyDescent="0.5">
      <c r="J1697" s="20"/>
      <c r="K1697" s="20"/>
      <c r="L1697" s="5">
        <f>Data!L1697</f>
        <v>0</v>
      </c>
      <c r="M1697" s="5"/>
      <c r="P1697" s="5"/>
      <c r="U1697" s="5"/>
    </row>
    <row r="1698" spans="10:21" x14ac:dyDescent="0.5">
      <c r="J1698" s="20"/>
      <c r="K1698" s="20"/>
      <c r="L1698" s="5">
        <f>Data!L1698</f>
        <v>0</v>
      </c>
      <c r="M1698" s="5"/>
      <c r="P1698" s="5"/>
      <c r="U1698" s="5"/>
    </row>
    <row r="1699" spans="10:21" x14ac:dyDescent="0.5">
      <c r="J1699" s="20"/>
      <c r="K1699" s="20"/>
      <c r="L1699" s="5">
        <f>Data!L1699</f>
        <v>0</v>
      </c>
      <c r="M1699" s="5"/>
      <c r="P1699" s="5"/>
      <c r="U1699" s="5"/>
    </row>
    <row r="1700" spans="10:21" x14ac:dyDescent="0.5">
      <c r="J1700" s="20"/>
      <c r="K1700" s="20"/>
      <c r="L1700" s="5">
        <f>Data!L1700</f>
        <v>0</v>
      </c>
      <c r="M1700" s="5"/>
      <c r="P1700" s="5"/>
      <c r="U1700" s="5"/>
    </row>
    <row r="1701" spans="10:21" x14ac:dyDescent="0.5">
      <c r="J1701" s="20"/>
      <c r="K1701" s="20"/>
      <c r="L1701" s="5">
        <f>Data!L1701</f>
        <v>0</v>
      </c>
      <c r="M1701" s="5"/>
      <c r="P1701" s="5"/>
      <c r="U1701" s="5"/>
    </row>
    <row r="1702" spans="10:21" x14ac:dyDescent="0.5">
      <c r="J1702" s="20"/>
      <c r="K1702" s="20"/>
      <c r="L1702" s="5">
        <f>Data!L1702</f>
        <v>0</v>
      </c>
      <c r="M1702" s="5"/>
      <c r="P1702" s="5"/>
      <c r="U1702" s="5"/>
    </row>
    <row r="1703" spans="10:21" x14ac:dyDescent="0.5">
      <c r="J1703" s="20"/>
      <c r="K1703" s="20"/>
      <c r="L1703" s="5">
        <f>Data!L1703</f>
        <v>0</v>
      </c>
      <c r="M1703" s="5"/>
      <c r="P1703" s="5"/>
      <c r="U1703" s="5"/>
    </row>
    <row r="1704" spans="10:21" x14ac:dyDescent="0.5">
      <c r="J1704" s="20"/>
      <c r="K1704" s="20"/>
      <c r="L1704" s="5">
        <f>Data!L1704</f>
        <v>0</v>
      </c>
      <c r="M1704" s="5"/>
      <c r="P1704" s="5"/>
      <c r="U1704" s="5"/>
    </row>
    <row r="1705" spans="10:21" x14ac:dyDescent="0.5">
      <c r="J1705" s="20"/>
      <c r="K1705" s="20"/>
      <c r="L1705" s="5">
        <f>Data!L1705</f>
        <v>0</v>
      </c>
      <c r="M1705" s="5"/>
      <c r="P1705" s="5"/>
      <c r="U1705" s="5"/>
    </row>
    <row r="1706" spans="10:21" x14ac:dyDescent="0.5">
      <c r="J1706" s="20"/>
      <c r="K1706" s="20"/>
      <c r="L1706" s="5">
        <f>Data!L1706</f>
        <v>0</v>
      </c>
      <c r="M1706" s="5"/>
      <c r="P1706" s="5"/>
      <c r="U1706" s="5"/>
    </row>
    <row r="1707" spans="10:21" x14ac:dyDescent="0.5">
      <c r="J1707" s="20"/>
      <c r="K1707" s="20"/>
      <c r="L1707" s="5">
        <f>Data!L1707</f>
        <v>0</v>
      </c>
      <c r="M1707" s="5"/>
      <c r="P1707" s="5"/>
      <c r="U1707" s="5"/>
    </row>
    <row r="1708" spans="10:21" x14ac:dyDescent="0.5">
      <c r="J1708" s="20"/>
      <c r="K1708" s="20"/>
      <c r="L1708" s="5">
        <f>Data!L1708</f>
        <v>0</v>
      </c>
      <c r="M1708" s="5"/>
      <c r="P1708" s="5"/>
      <c r="U1708" s="5"/>
    </row>
    <row r="1709" spans="10:21" x14ac:dyDescent="0.5">
      <c r="J1709" s="20"/>
      <c r="K1709" s="20"/>
      <c r="L1709" s="5">
        <f>Data!L1709</f>
        <v>0</v>
      </c>
      <c r="M1709" s="5"/>
      <c r="P1709" s="5"/>
      <c r="U1709" s="5"/>
    </row>
    <row r="1710" spans="10:21" x14ac:dyDescent="0.5">
      <c r="J1710" s="20"/>
      <c r="K1710" s="20"/>
      <c r="L1710" s="5">
        <f>Data!L1710</f>
        <v>0</v>
      </c>
      <c r="M1710" s="5"/>
      <c r="P1710" s="5"/>
      <c r="U1710" s="5"/>
    </row>
    <row r="1711" spans="10:21" x14ac:dyDescent="0.5">
      <c r="J1711" s="20"/>
      <c r="K1711" s="20"/>
      <c r="L1711" s="5">
        <f>Data!L1711</f>
        <v>0</v>
      </c>
      <c r="M1711" s="5"/>
      <c r="P1711" s="5"/>
      <c r="U1711" s="5"/>
    </row>
    <row r="1712" spans="10:21" x14ac:dyDescent="0.5">
      <c r="J1712" s="20"/>
      <c r="K1712" s="20"/>
      <c r="L1712" s="5">
        <f>Data!L1712</f>
        <v>0</v>
      </c>
      <c r="M1712" s="5"/>
      <c r="P1712" s="5"/>
      <c r="U1712" s="5"/>
    </row>
    <row r="1713" spans="10:21" x14ac:dyDescent="0.5">
      <c r="J1713" s="20"/>
      <c r="K1713" s="20"/>
      <c r="L1713" s="5">
        <f>Data!L1713</f>
        <v>0</v>
      </c>
      <c r="M1713" s="5"/>
      <c r="P1713" s="5"/>
      <c r="U1713" s="5"/>
    </row>
    <row r="1714" spans="10:21" x14ac:dyDescent="0.5">
      <c r="J1714" s="20"/>
      <c r="K1714" s="20"/>
      <c r="L1714" s="5">
        <f>Data!L1714</f>
        <v>0</v>
      </c>
      <c r="M1714" s="5"/>
      <c r="P1714" s="5"/>
      <c r="U1714" s="5"/>
    </row>
    <row r="1715" spans="10:21" x14ac:dyDescent="0.5">
      <c r="J1715" s="20"/>
      <c r="K1715" s="20"/>
      <c r="L1715" s="5">
        <f>Data!L1715</f>
        <v>0</v>
      </c>
      <c r="M1715" s="5"/>
      <c r="P1715" s="5"/>
      <c r="U1715" s="5"/>
    </row>
    <row r="1716" spans="10:21" x14ac:dyDescent="0.5">
      <c r="J1716" s="20"/>
      <c r="K1716" s="20"/>
      <c r="L1716" s="5">
        <f>Data!L1716</f>
        <v>0</v>
      </c>
      <c r="M1716" s="5"/>
      <c r="P1716" s="5"/>
      <c r="U1716" s="5"/>
    </row>
    <row r="1717" spans="10:21" x14ac:dyDescent="0.5">
      <c r="J1717" s="20"/>
      <c r="K1717" s="20"/>
      <c r="L1717" s="5">
        <f>Data!L1717</f>
        <v>0</v>
      </c>
      <c r="M1717" s="5"/>
      <c r="P1717" s="5"/>
      <c r="U1717" s="5"/>
    </row>
    <row r="1718" spans="10:21" x14ac:dyDescent="0.5">
      <c r="J1718" s="20"/>
      <c r="K1718" s="20"/>
      <c r="L1718" s="5">
        <f>Data!L1718</f>
        <v>0</v>
      </c>
      <c r="M1718" s="5"/>
      <c r="P1718" s="5"/>
      <c r="U1718" s="5"/>
    </row>
    <row r="1719" spans="10:21" x14ac:dyDescent="0.5">
      <c r="J1719" s="20"/>
      <c r="K1719" s="20"/>
      <c r="L1719" s="5">
        <f>Data!L1719</f>
        <v>0</v>
      </c>
      <c r="M1719" s="5"/>
      <c r="P1719" s="5"/>
      <c r="U1719" s="5"/>
    </row>
    <row r="1720" spans="10:21" x14ac:dyDescent="0.5">
      <c r="J1720" s="20"/>
      <c r="K1720" s="20"/>
      <c r="L1720" s="5">
        <f>Data!L1720</f>
        <v>0</v>
      </c>
      <c r="M1720" s="5"/>
      <c r="P1720" s="5"/>
      <c r="U1720" s="5"/>
    </row>
    <row r="1721" spans="10:21" x14ac:dyDescent="0.5">
      <c r="J1721" s="20"/>
      <c r="K1721" s="20"/>
      <c r="L1721" s="5">
        <f>Data!L1721</f>
        <v>0</v>
      </c>
      <c r="M1721" s="5"/>
      <c r="P1721" s="5"/>
      <c r="U1721" s="5"/>
    </row>
    <row r="1722" spans="10:21" x14ac:dyDescent="0.5">
      <c r="J1722" s="20"/>
      <c r="K1722" s="20"/>
      <c r="L1722" s="5">
        <f>Data!L1722</f>
        <v>0</v>
      </c>
      <c r="M1722" s="5"/>
      <c r="P1722" s="5"/>
      <c r="U1722" s="5"/>
    </row>
    <row r="1723" spans="10:21" x14ac:dyDescent="0.5">
      <c r="J1723" s="20"/>
      <c r="K1723" s="20"/>
      <c r="L1723" s="5">
        <f>Data!L1723</f>
        <v>0</v>
      </c>
      <c r="M1723" s="5"/>
      <c r="P1723" s="5"/>
      <c r="U1723" s="5"/>
    </row>
    <row r="1724" spans="10:21" x14ac:dyDescent="0.5">
      <c r="J1724" s="20"/>
      <c r="K1724" s="20"/>
      <c r="L1724" s="5">
        <f>Data!L1724</f>
        <v>0</v>
      </c>
      <c r="M1724" s="5"/>
      <c r="P1724" s="5"/>
      <c r="U1724" s="5"/>
    </row>
    <row r="1725" spans="10:21" x14ac:dyDescent="0.5">
      <c r="J1725" s="20"/>
      <c r="K1725" s="20"/>
      <c r="L1725" s="5">
        <f>Data!L1725</f>
        <v>0</v>
      </c>
      <c r="M1725" s="5"/>
      <c r="P1725" s="5"/>
      <c r="U1725" s="5"/>
    </row>
    <row r="1726" spans="10:21" x14ac:dyDescent="0.5">
      <c r="J1726" s="20"/>
      <c r="K1726" s="20"/>
      <c r="L1726" s="5">
        <f>Data!L1726</f>
        <v>0</v>
      </c>
      <c r="M1726" s="5"/>
      <c r="P1726" s="5"/>
      <c r="U1726" s="5"/>
    </row>
    <row r="1727" spans="10:21" x14ac:dyDescent="0.5">
      <c r="J1727" s="20"/>
      <c r="K1727" s="20"/>
      <c r="L1727" s="5">
        <f>Data!L1727</f>
        <v>0</v>
      </c>
      <c r="M1727" s="5"/>
      <c r="P1727" s="5"/>
      <c r="U1727" s="5"/>
    </row>
    <row r="1728" spans="10:21" x14ac:dyDescent="0.5">
      <c r="J1728" s="20"/>
      <c r="K1728" s="20"/>
      <c r="L1728" s="5">
        <f>Data!L1728</f>
        <v>0</v>
      </c>
      <c r="M1728" s="5"/>
      <c r="P1728" s="5"/>
      <c r="U1728" s="5"/>
    </row>
    <row r="1729" spans="10:21" x14ac:dyDescent="0.5">
      <c r="J1729" s="20"/>
      <c r="K1729" s="20"/>
      <c r="L1729" s="5">
        <f>Data!L1729</f>
        <v>0</v>
      </c>
      <c r="M1729" s="5"/>
      <c r="P1729" s="5"/>
      <c r="U1729" s="5"/>
    </row>
    <row r="1730" spans="10:21" x14ac:dyDescent="0.5">
      <c r="J1730" s="20"/>
      <c r="K1730" s="20"/>
      <c r="L1730" s="5">
        <f>Data!L1730</f>
        <v>0</v>
      </c>
      <c r="M1730" s="5"/>
      <c r="P1730" s="5"/>
      <c r="U1730" s="5"/>
    </row>
    <row r="1731" spans="10:21" x14ac:dyDescent="0.5">
      <c r="J1731" s="20"/>
      <c r="K1731" s="20"/>
      <c r="L1731" s="5">
        <f>Data!L1731</f>
        <v>0</v>
      </c>
      <c r="M1731" s="5"/>
      <c r="P1731" s="5"/>
      <c r="U1731" s="5"/>
    </row>
    <row r="1732" spans="10:21" x14ac:dyDescent="0.5">
      <c r="J1732" s="20"/>
      <c r="K1732" s="20"/>
      <c r="L1732" s="5">
        <f>Data!L1732</f>
        <v>0</v>
      </c>
      <c r="M1732" s="5"/>
      <c r="P1732" s="5"/>
      <c r="U1732" s="5"/>
    </row>
    <row r="1733" spans="10:21" x14ac:dyDescent="0.5">
      <c r="J1733" s="20"/>
      <c r="K1733" s="20"/>
      <c r="L1733" s="5">
        <f>Data!L1733</f>
        <v>0</v>
      </c>
      <c r="M1733" s="5"/>
      <c r="P1733" s="5"/>
      <c r="U1733" s="5"/>
    </row>
    <row r="1734" spans="10:21" x14ac:dyDescent="0.5">
      <c r="J1734" s="20"/>
      <c r="K1734" s="20"/>
      <c r="L1734" s="5">
        <f>Data!L1734</f>
        <v>0</v>
      </c>
      <c r="M1734" s="5"/>
      <c r="P1734" s="5"/>
      <c r="U1734" s="5"/>
    </row>
    <row r="1735" spans="10:21" x14ac:dyDescent="0.5">
      <c r="J1735" s="20"/>
      <c r="K1735" s="20"/>
      <c r="L1735" s="5">
        <f>Data!L1735</f>
        <v>0</v>
      </c>
      <c r="M1735" s="5"/>
      <c r="P1735" s="5"/>
      <c r="U1735" s="5"/>
    </row>
    <row r="1736" spans="10:21" x14ac:dyDescent="0.5">
      <c r="J1736" s="20"/>
      <c r="K1736" s="20"/>
      <c r="L1736" s="5">
        <f>Data!L1736</f>
        <v>0</v>
      </c>
      <c r="M1736" s="5"/>
      <c r="P1736" s="5"/>
      <c r="U1736" s="5"/>
    </row>
    <row r="1737" spans="10:21" x14ac:dyDescent="0.5">
      <c r="J1737" s="20"/>
      <c r="K1737" s="20"/>
      <c r="L1737" s="5">
        <f>Data!L1737</f>
        <v>0</v>
      </c>
      <c r="M1737" s="5"/>
      <c r="P1737" s="5"/>
      <c r="U1737" s="5"/>
    </row>
    <row r="1738" spans="10:21" x14ac:dyDescent="0.5">
      <c r="J1738" s="20"/>
      <c r="K1738" s="20"/>
      <c r="L1738" s="5">
        <f>Data!L1738</f>
        <v>0</v>
      </c>
      <c r="M1738" s="5"/>
      <c r="P1738" s="5"/>
      <c r="U1738" s="5"/>
    </row>
    <row r="1739" spans="10:21" x14ac:dyDescent="0.5">
      <c r="J1739" s="20"/>
      <c r="K1739" s="20"/>
      <c r="L1739" s="5">
        <f>Data!L1739</f>
        <v>0</v>
      </c>
      <c r="M1739" s="5"/>
      <c r="P1739" s="5"/>
      <c r="U1739" s="5"/>
    </row>
    <row r="1740" spans="10:21" x14ac:dyDescent="0.5">
      <c r="J1740" s="20"/>
      <c r="K1740" s="20"/>
      <c r="L1740" s="5">
        <f>Data!L1740</f>
        <v>0</v>
      </c>
      <c r="M1740" s="5"/>
      <c r="P1740" s="5"/>
      <c r="U1740" s="5"/>
    </row>
    <row r="1741" spans="10:21" x14ac:dyDescent="0.5">
      <c r="J1741" s="20"/>
      <c r="K1741" s="20"/>
      <c r="L1741" s="5">
        <f>Data!L1741</f>
        <v>0</v>
      </c>
      <c r="M1741" s="5"/>
      <c r="P1741" s="5"/>
      <c r="U1741" s="5"/>
    </row>
    <row r="1742" spans="10:21" x14ac:dyDescent="0.5">
      <c r="J1742" s="20"/>
      <c r="K1742" s="20"/>
      <c r="L1742" s="5">
        <f>Data!L1742</f>
        <v>0</v>
      </c>
      <c r="M1742" s="5"/>
      <c r="P1742" s="5"/>
      <c r="U1742" s="5"/>
    </row>
    <row r="1743" spans="10:21" x14ac:dyDescent="0.5">
      <c r="J1743" s="20"/>
      <c r="K1743" s="20"/>
      <c r="L1743" s="5">
        <f>Data!L1743</f>
        <v>0</v>
      </c>
      <c r="M1743" s="5"/>
      <c r="P1743" s="5"/>
      <c r="U1743" s="5"/>
    </row>
    <row r="1744" spans="10:21" x14ac:dyDescent="0.5">
      <c r="J1744" s="20"/>
      <c r="K1744" s="20"/>
      <c r="L1744" s="5">
        <f>Data!L1744</f>
        <v>0</v>
      </c>
      <c r="M1744" s="5"/>
      <c r="P1744" s="5"/>
      <c r="U1744" s="5"/>
    </row>
    <row r="1745" spans="10:21" x14ac:dyDescent="0.5">
      <c r="J1745" s="20"/>
      <c r="K1745" s="20"/>
      <c r="L1745" s="5">
        <f>Data!L1745</f>
        <v>0</v>
      </c>
      <c r="M1745" s="5"/>
      <c r="P1745" s="5"/>
      <c r="U1745" s="5"/>
    </row>
    <row r="1746" spans="10:21" x14ac:dyDescent="0.5">
      <c r="J1746" s="20"/>
      <c r="K1746" s="20"/>
      <c r="L1746" s="5">
        <f>Data!L1746</f>
        <v>0</v>
      </c>
      <c r="M1746" s="5"/>
      <c r="P1746" s="5"/>
      <c r="U1746" s="5"/>
    </row>
    <row r="1747" spans="10:21" x14ac:dyDescent="0.5">
      <c r="J1747" s="20"/>
      <c r="K1747" s="20"/>
      <c r="L1747" s="5">
        <f>Data!L1747</f>
        <v>0</v>
      </c>
      <c r="M1747" s="5"/>
      <c r="P1747" s="5"/>
      <c r="U1747" s="5"/>
    </row>
    <row r="1748" spans="10:21" x14ac:dyDescent="0.5">
      <c r="J1748" s="20"/>
      <c r="K1748" s="20"/>
      <c r="L1748" s="5">
        <f>Data!L1748</f>
        <v>0</v>
      </c>
      <c r="M1748" s="5"/>
      <c r="P1748" s="5"/>
      <c r="U1748" s="5"/>
    </row>
    <row r="1749" spans="10:21" x14ac:dyDescent="0.5">
      <c r="J1749" s="20"/>
      <c r="K1749" s="20"/>
      <c r="L1749" s="5">
        <f>Data!L1749</f>
        <v>0</v>
      </c>
      <c r="M1749" s="5"/>
      <c r="P1749" s="5"/>
      <c r="U1749" s="5"/>
    </row>
    <row r="1750" spans="10:21" x14ac:dyDescent="0.5">
      <c r="J1750" s="20"/>
      <c r="K1750" s="20"/>
      <c r="L1750" s="5">
        <f>Data!L1750</f>
        <v>0</v>
      </c>
      <c r="M1750" s="5"/>
      <c r="P1750" s="5"/>
      <c r="U1750" s="5"/>
    </row>
    <row r="1751" spans="10:21" x14ac:dyDescent="0.5">
      <c r="J1751" s="20"/>
      <c r="K1751" s="20"/>
      <c r="L1751" s="5">
        <f>Data!L1751</f>
        <v>0</v>
      </c>
      <c r="M1751" s="5"/>
      <c r="P1751" s="5"/>
      <c r="U1751" s="5"/>
    </row>
    <row r="1752" spans="10:21" x14ac:dyDescent="0.5">
      <c r="J1752" s="20"/>
      <c r="K1752" s="20"/>
      <c r="L1752" s="5">
        <f>Data!L1752</f>
        <v>0</v>
      </c>
      <c r="M1752" s="5"/>
      <c r="P1752" s="5"/>
      <c r="U1752" s="5"/>
    </row>
    <row r="1753" spans="10:21" x14ac:dyDescent="0.5">
      <c r="J1753" s="20"/>
      <c r="K1753" s="20"/>
      <c r="L1753" s="5">
        <f>Data!L1753</f>
        <v>0</v>
      </c>
      <c r="M1753" s="5"/>
      <c r="P1753" s="5"/>
      <c r="U1753" s="5"/>
    </row>
    <row r="1754" spans="10:21" x14ac:dyDescent="0.5">
      <c r="J1754" s="20"/>
      <c r="K1754" s="20"/>
      <c r="L1754" s="5">
        <f>Data!L1754</f>
        <v>0</v>
      </c>
      <c r="M1754" s="5"/>
      <c r="P1754" s="5"/>
      <c r="U1754" s="5"/>
    </row>
    <row r="1755" spans="10:21" x14ac:dyDescent="0.5">
      <c r="J1755" s="20"/>
      <c r="K1755" s="20"/>
      <c r="L1755" s="5">
        <f>Data!L1755</f>
        <v>0</v>
      </c>
      <c r="M1755" s="5"/>
      <c r="P1755" s="5"/>
      <c r="U1755" s="5"/>
    </row>
    <row r="1756" spans="10:21" x14ac:dyDescent="0.5">
      <c r="J1756" s="20"/>
      <c r="K1756" s="20"/>
      <c r="L1756" s="5">
        <f>Data!L1756</f>
        <v>0</v>
      </c>
      <c r="M1756" s="5"/>
      <c r="P1756" s="5"/>
      <c r="U1756" s="5"/>
    </row>
    <row r="1757" spans="10:21" x14ac:dyDescent="0.5">
      <c r="J1757" s="20"/>
      <c r="K1757" s="20"/>
      <c r="L1757" s="5">
        <f>Data!L1757</f>
        <v>0</v>
      </c>
      <c r="M1757" s="5"/>
      <c r="P1757" s="5"/>
      <c r="U1757" s="5"/>
    </row>
    <row r="1758" spans="10:21" x14ac:dyDescent="0.5">
      <c r="J1758" s="20"/>
      <c r="K1758" s="20"/>
      <c r="L1758" s="5">
        <f>Data!L1758</f>
        <v>0</v>
      </c>
      <c r="M1758" s="5"/>
      <c r="P1758" s="5"/>
      <c r="U1758" s="5"/>
    </row>
    <row r="1759" spans="10:21" x14ac:dyDescent="0.5">
      <c r="J1759" s="20"/>
      <c r="K1759" s="20"/>
      <c r="L1759" s="5">
        <f>Data!L1759</f>
        <v>0</v>
      </c>
      <c r="M1759" s="5"/>
      <c r="P1759" s="5"/>
      <c r="U1759" s="5"/>
    </row>
    <row r="1760" spans="10:21" x14ac:dyDescent="0.5">
      <c r="J1760" s="20"/>
      <c r="K1760" s="20"/>
      <c r="L1760" s="5">
        <f>Data!L1760</f>
        <v>0</v>
      </c>
      <c r="M1760" s="5"/>
      <c r="P1760" s="5"/>
      <c r="U1760" s="5"/>
    </row>
    <row r="1761" spans="10:21" x14ac:dyDescent="0.5">
      <c r="J1761" s="20"/>
      <c r="K1761" s="20"/>
      <c r="L1761" s="5">
        <f>Data!L1761</f>
        <v>0</v>
      </c>
      <c r="M1761" s="5"/>
      <c r="P1761" s="5"/>
      <c r="U1761" s="5"/>
    </row>
    <row r="1762" spans="10:21" x14ac:dyDescent="0.5">
      <c r="J1762" s="20"/>
      <c r="K1762" s="20"/>
      <c r="L1762" s="5">
        <f>Data!L1762</f>
        <v>0</v>
      </c>
      <c r="M1762" s="5"/>
      <c r="P1762" s="5"/>
      <c r="U1762" s="5"/>
    </row>
    <row r="1763" spans="10:21" x14ac:dyDescent="0.5">
      <c r="J1763" s="20"/>
      <c r="K1763" s="20"/>
      <c r="L1763" s="5">
        <f>Data!L1763</f>
        <v>0</v>
      </c>
      <c r="M1763" s="5"/>
      <c r="P1763" s="5"/>
      <c r="U1763" s="5"/>
    </row>
    <row r="1764" spans="10:21" x14ac:dyDescent="0.5">
      <c r="J1764" s="20"/>
      <c r="K1764" s="20"/>
      <c r="L1764" s="5">
        <f>Data!L1764</f>
        <v>0</v>
      </c>
      <c r="M1764" s="5"/>
      <c r="P1764" s="5"/>
      <c r="U1764" s="5"/>
    </row>
    <row r="1765" spans="10:21" x14ac:dyDescent="0.5">
      <c r="J1765" s="20"/>
      <c r="K1765" s="20"/>
      <c r="L1765" s="5">
        <f>Data!L1765</f>
        <v>0</v>
      </c>
      <c r="M1765" s="5"/>
      <c r="P1765" s="5"/>
      <c r="U1765" s="5"/>
    </row>
    <row r="1766" spans="10:21" x14ac:dyDescent="0.5">
      <c r="J1766" s="20"/>
      <c r="K1766" s="20"/>
      <c r="L1766" s="5">
        <f>Data!L1766</f>
        <v>0</v>
      </c>
      <c r="M1766" s="5"/>
      <c r="P1766" s="5"/>
      <c r="U1766" s="5"/>
    </row>
    <row r="1767" spans="10:21" x14ac:dyDescent="0.5">
      <c r="J1767" s="20"/>
      <c r="K1767" s="20"/>
      <c r="L1767" s="5">
        <f>Data!L1767</f>
        <v>0</v>
      </c>
      <c r="M1767" s="5"/>
      <c r="P1767" s="5"/>
      <c r="U1767" s="5"/>
    </row>
    <row r="1768" spans="10:21" x14ac:dyDescent="0.5">
      <c r="J1768" s="20"/>
      <c r="K1768" s="20"/>
      <c r="L1768" s="5">
        <f>Data!L1768</f>
        <v>0</v>
      </c>
      <c r="M1768" s="5"/>
      <c r="P1768" s="5"/>
      <c r="U1768" s="5"/>
    </row>
    <row r="1769" spans="10:21" x14ac:dyDescent="0.5">
      <c r="J1769" s="20"/>
      <c r="K1769" s="20"/>
      <c r="L1769" s="5">
        <f>Data!L1769</f>
        <v>0</v>
      </c>
      <c r="M1769" s="5"/>
      <c r="P1769" s="5"/>
      <c r="U1769" s="5"/>
    </row>
    <row r="1770" spans="10:21" x14ac:dyDescent="0.5">
      <c r="J1770" s="20"/>
      <c r="K1770" s="20"/>
      <c r="L1770" s="5">
        <f>Data!L1770</f>
        <v>0</v>
      </c>
      <c r="M1770" s="5"/>
      <c r="P1770" s="5"/>
      <c r="U1770" s="5"/>
    </row>
    <row r="1771" spans="10:21" x14ac:dyDescent="0.5">
      <c r="J1771" s="20"/>
      <c r="K1771" s="20"/>
      <c r="L1771" s="5">
        <f>Data!L1771</f>
        <v>0</v>
      </c>
      <c r="M1771" s="5"/>
      <c r="P1771" s="5"/>
      <c r="U1771" s="5"/>
    </row>
    <row r="1772" spans="10:21" x14ac:dyDescent="0.5">
      <c r="J1772" s="20"/>
      <c r="K1772" s="20"/>
      <c r="L1772" s="5">
        <f>Data!L1772</f>
        <v>0</v>
      </c>
      <c r="M1772" s="5"/>
      <c r="P1772" s="5"/>
      <c r="U1772" s="5"/>
    </row>
    <row r="1773" spans="10:21" x14ac:dyDescent="0.5">
      <c r="J1773" s="20"/>
      <c r="K1773" s="20"/>
      <c r="L1773" s="5">
        <f>Data!L1773</f>
        <v>0</v>
      </c>
      <c r="M1773" s="5"/>
      <c r="P1773" s="5"/>
      <c r="U1773" s="5"/>
    </row>
    <row r="1774" spans="10:21" x14ac:dyDescent="0.5">
      <c r="J1774" s="20"/>
      <c r="K1774" s="20"/>
      <c r="L1774" s="5">
        <f>Data!L1774</f>
        <v>0</v>
      </c>
      <c r="M1774" s="5"/>
      <c r="P1774" s="5"/>
      <c r="U1774" s="5"/>
    </row>
    <row r="1775" spans="10:21" x14ac:dyDescent="0.5">
      <c r="J1775" s="20"/>
      <c r="K1775" s="20"/>
      <c r="L1775" s="5">
        <f>Data!L1775</f>
        <v>0</v>
      </c>
      <c r="M1775" s="5"/>
      <c r="P1775" s="5"/>
      <c r="U1775" s="5"/>
    </row>
    <row r="1776" spans="10:21" x14ac:dyDescent="0.5">
      <c r="J1776" s="20"/>
      <c r="K1776" s="20"/>
      <c r="L1776" s="5">
        <f>Data!L1776</f>
        <v>0</v>
      </c>
      <c r="M1776" s="5"/>
      <c r="P1776" s="5"/>
      <c r="U1776" s="5"/>
    </row>
    <row r="1777" spans="10:21" x14ac:dyDescent="0.5">
      <c r="J1777" s="20"/>
      <c r="K1777" s="20"/>
      <c r="L1777" s="5">
        <f>Data!L1777</f>
        <v>0</v>
      </c>
      <c r="M1777" s="5"/>
      <c r="P1777" s="5"/>
      <c r="U1777" s="5"/>
    </row>
    <row r="1778" spans="10:21" x14ac:dyDescent="0.5">
      <c r="J1778" s="20"/>
      <c r="K1778" s="20"/>
      <c r="L1778" s="5">
        <f>Data!L1778</f>
        <v>0</v>
      </c>
      <c r="M1778" s="5"/>
      <c r="P1778" s="5"/>
      <c r="U1778" s="5"/>
    </row>
    <row r="1779" spans="10:21" x14ac:dyDescent="0.5">
      <c r="J1779" s="20"/>
      <c r="K1779" s="20"/>
      <c r="L1779" s="5">
        <f>Data!L1779</f>
        <v>0</v>
      </c>
      <c r="M1779" s="5"/>
      <c r="P1779" s="5"/>
      <c r="U1779" s="5"/>
    </row>
    <row r="1780" spans="10:21" x14ac:dyDescent="0.5">
      <c r="J1780" s="20"/>
      <c r="K1780" s="20"/>
      <c r="L1780" s="5">
        <f>Data!L1780</f>
        <v>0</v>
      </c>
      <c r="M1780" s="5"/>
      <c r="P1780" s="5"/>
      <c r="U1780" s="5"/>
    </row>
    <row r="1781" spans="10:21" x14ac:dyDescent="0.5">
      <c r="J1781" s="20"/>
      <c r="K1781" s="20"/>
      <c r="L1781" s="5">
        <f>Data!L1781</f>
        <v>0</v>
      </c>
      <c r="M1781" s="5"/>
      <c r="P1781" s="5"/>
      <c r="U1781" s="5"/>
    </row>
    <row r="1782" spans="10:21" x14ac:dyDescent="0.5">
      <c r="J1782" s="20"/>
      <c r="K1782" s="20"/>
      <c r="L1782" s="5">
        <f>Data!L1782</f>
        <v>0</v>
      </c>
      <c r="M1782" s="5"/>
      <c r="P1782" s="5"/>
      <c r="U1782" s="5"/>
    </row>
    <row r="1783" spans="10:21" x14ac:dyDescent="0.5">
      <c r="J1783" s="20"/>
      <c r="K1783" s="20"/>
      <c r="L1783" s="5">
        <f>Data!L1783</f>
        <v>0</v>
      </c>
      <c r="M1783" s="5"/>
      <c r="P1783" s="5"/>
      <c r="U1783" s="5"/>
    </row>
    <row r="1784" spans="10:21" x14ac:dyDescent="0.5">
      <c r="J1784" s="20"/>
      <c r="K1784" s="20"/>
      <c r="L1784" s="5">
        <f>Data!L1784</f>
        <v>0</v>
      </c>
      <c r="M1784" s="5"/>
      <c r="P1784" s="5"/>
      <c r="U1784" s="5"/>
    </row>
    <row r="1785" spans="10:21" x14ac:dyDescent="0.5">
      <c r="J1785" s="20"/>
      <c r="K1785" s="20"/>
      <c r="L1785" s="5">
        <f>Data!L1785</f>
        <v>0</v>
      </c>
      <c r="M1785" s="5"/>
      <c r="P1785" s="5"/>
      <c r="U1785" s="5"/>
    </row>
    <row r="1786" spans="10:21" x14ac:dyDescent="0.5">
      <c r="J1786" s="20"/>
      <c r="K1786" s="20"/>
      <c r="L1786" s="5">
        <f>Data!L1786</f>
        <v>0</v>
      </c>
      <c r="M1786" s="5"/>
      <c r="P1786" s="5"/>
      <c r="U1786" s="5"/>
    </row>
    <row r="1787" spans="10:21" x14ac:dyDescent="0.5">
      <c r="J1787" s="20"/>
      <c r="K1787" s="20"/>
      <c r="L1787" s="5">
        <f>Data!L1787</f>
        <v>0</v>
      </c>
      <c r="M1787" s="5"/>
      <c r="P1787" s="5"/>
      <c r="U1787" s="5"/>
    </row>
    <row r="1788" spans="10:21" x14ac:dyDescent="0.5">
      <c r="J1788" s="20"/>
      <c r="K1788" s="20"/>
      <c r="L1788" s="5">
        <f>Data!L1788</f>
        <v>0</v>
      </c>
      <c r="M1788" s="5"/>
      <c r="P1788" s="5"/>
      <c r="U1788" s="5"/>
    </row>
    <row r="1789" spans="10:21" x14ac:dyDescent="0.5">
      <c r="J1789" s="20"/>
      <c r="K1789" s="20"/>
      <c r="L1789" s="5">
        <f>Data!L1789</f>
        <v>0</v>
      </c>
      <c r="M1789" s="5"/>
      <c r="P1789" s="5"/>
      <c r="U1789" s="5"/>
    </row>
    <row r="1790" spans="10:21" x14ac:dyDescent="0.5">
      <c r="J1790" s="20"/>
      <c r="K1790" s="20"/>
      <c r="L1790" s="5">
        <f>Data!L1790</f>
        <v>0</v>
      </c>
      <c r="M1790" s="5"/>
      <c r="P1790" s="5"/>
      <c r="U1790" s="5"/>
    </row>
    <row r="1791" spans="10:21" x14ac:dyDescent="0.5">
      <c r="J1791" s="20"/>
      <c r="K1791" s="20"/>
      <c r="L1791" s="5">
        <f>Data!L1791</f>
        <v>0</v>
      </c>
      <c r="M1791" s="5"/>
      <c r="P1791" s="5"/>
      <c r="U1791" s="5"/>
    </row>
    <row r="1792" spans="10:21" x14ac:dyDescent="0.5">
      <c r="J1792" s="20"/>
      <c r="K1792" s="20"/>
      <c r="L1792" s="5">
        <f>Data!L1792</f>
        <v>0</v>
      </c>
      <c r="M1792" s="5"/>
      <c r="P1792" s="5"/>
      <c r="U1792" s="5"/>
    </row>
    <row r="1793" spans="10:21" x14ac:dyDescent="0.5">
      <c r="J1793" s="20"/>
      <c r="K1793" s="20"/>
      <c r="L1793" s="5">
        <f>Data!L1793</f>
        <v>0</v>
      </c>
      <c r="M1793" s="5"/>
      <c r="P1793" s="5"/>
      <c r="U1793" s="5"/>
    </row>
    <row r="1794" spans="10:21" x14ac:dyDescent="0.5">
      <c r="J1794" s="20"/>
      <c r="K1794" s="20"/>
      <c r="L1794" s="5">
        <f>Data!L1794</f>
        <v>0</v>
      </c>
      <c r="M1794" s="5"/>
      <c r="P1794" s="5"/>
      <c r="U1794" s="5"/>
    </row>
    <row r="1795" spans="10:21" x14ac:dyDescent="0.5">
      <c r="J1795" s="20"/>
      <c r="K1795" s="20"/>
      <c r="L1795" s="5">
        <f>Data!L1795</f>
        <v>0</v>
      </c>
      <c r="M1795" s="5"/>
      <c r="P1795" s="5"/>
      <c r="U1795" s="5"/>
    </row>
    <row r="1796" spans="10:21" x14ac:dyDescent="0.5">
      <c r="J1796" s="20"/>
      <c r="K1796" s="20"/>
      <c r="L1796" s="5">
        <f>Data!L1796</f>
        <v>0</v>
      </c>
      <c r="M1796" s="5"/>
      <c r="P1796" s="5"/>
      <c r="U1796" s="5"/>
    </row>
    <row r="1797" spans="10:21" x14ac:dyDescent="0.5">
      <c r="J1797" s="20"/>
      <c r="K1797" s="20"/>
      <c r="L1797" s="5">
        <f>Data!L1797</f>
        <v>0</v>
      </c>
      <c r="M1797" s="5"/>
      <c r="P1797" s="5"/>
      <c r="U1797" s="5"/>
    </row>
    <row r="1798" spans="10:21" x14ac:dyDescent="0.5">
      <c r="J1798" s="20"/>
      <c r="K1798" s="20"/>
      <c r="L1798" s="5">
        <f>Data!L1798</f>
        <v>0</v>
      </c>
      <c r="M1798" s="5"/>
      <c r="P1798" s="5"/>
      <c r="U1798" s="5"/>
    </row>
    <row r="1799" spans="10:21" x14ac:dyDescent="0.5">
      <c r="J1799" s="20"/>
      <c r="K1799" s="20"/>
      <c r="L1799" s="5">
        <f>Data!L1799</f>
        <v>0</v>
      </c>
      <c r="M1799" s="5"/>
      <c r="P1799" s="5"/>
      <c r="U1799" s="5"/>
    </row>
    <row r="1800" spans="10:21" x14ac:dyDescent="0.5">
      <c r="J1800" s="20"/>
      <c r="K1800" s="20"/>
      <c r="L1800" s="5">
        <f>Data!L1800</f>
        <v>0</v>
      </c>
      <c r="M1800" s="5"/>
      <c r="P1800" s="5"/>
      <c r="U1800" s="5"/>
    </row>
    <row r="1801" spans="10:21" x14ac:dyDescent="0.5">
      <c r="J1801" s="20"/>
      <c r="K1801" s="20"/>
      <c r="L1801" s="5">
        <f>Data!L1801</f>
        <v>0</v>
      </c>
      <c r="M1801" s="5"/>
      <c r="P1801" s="5"/>
      <c r="U1801" s="5"/>
    </row>
    <row r="1802" spans="10:21" x14ac:dyDescent="0.5">
      <c r="J1802" s="20"/>
      <c r="K1802" s="20"/>
      <c r="L1802" s="5">
        <f>Data!L1802</f>
        <v>0</v>
      </c>
      <c r="M1802" s="5"/>
      <c r="P1802" s="5"/>
      <c r="U1802" s="5"/>
    </row>
    <row r="1803" spans="10:21" x14ac:dyDescent="0.5">
      <c r="J1803" s="20"/>
      <c r="K1803" s="20"/>
      <c r="L1803" s="5">
        <f>Data!L1803</f>
        <v>0</v>
      </c>
      <c r="M1803" s="5"/>
      <c r="P1803" s="5"/>
      <c r="U1803" s="5"/>
    </row>
    <row r="1804" spans="10:21" x14ac:dyDescent="0.5">
      <c r="J1804" s="20"/>
      <c r="K1804" s="20"/>
      <c r="L1804" s="5">
        <f>Data!L1804</f>
        <v>0</v>
      </c>
      <c r="M1804" s="5"/>
      <c r="P1804" s="5"/>
      <c r="U1804" s="5"/>
    </row>
    <row r="1805" spans="10:21" x14ac:dyDescent="0.5">
      <c r="J1805" s="20"/>
      <c r="K1805" s="20"/>
      <c r="L1805" s="5">
        <f>Data!L1805</f>
        <v>0</v>
      </c>
      <c r="M1805" s="5"/>
      <c r="P1805" s="5"/>
      <c r="U1805" s="5"/>
    </row>
    <row r="1806" spans="10:21" x14ac:dyDescent="0.5">
      <c r="J1806" s="20"/>
      <c r="K1806" s="20"/>
      <c r="L1806" s="5">
        <f>Data!L1806</f>
        <v>0</v>
      </c>
      <c r="M1806" s="5"/>
      <c r="P1806" s="5"/>
      <c r="U1806" s="5"/>
    </row>
    <row r="1807" spans="10:21" x14ac:dyDescent="0.5">
      <c r="J1807" s="20"/>
      <c r="K1807" s="20"/>
      <c r="L1807" s="5">
        <f>Data!L1807</f>
        <v>0</v>
      </c>
      <c r="M1807" s="5"/>
      <c r="P1807" s="5"/>
      <c r="U1807" s="5"/>
    </row>
    <row r="1808" spans="10:21" x14ac:dyDescent="0.5">
      <c r="J1808" s="20"/>
      <c r="K1808" s="20"/>
      <c r="L1808" s="5">
        <f>Data!L1808</f>
        <v>0</v>
      </c>
      <c r="M1808" s="5"/>
      <c r="P1808" s="5"/>
      <c r="U1808" s="5"/>
    </row>
    <row r="1809" spans="10:21" x14ac:dyDescent="0.5">
      <c r="J1809" s="20"/>
      <c r="K1809" s="20"/>
      <c r="L1809" s="5">
        <f>Data!L1809</f>
        <v>0</v>
      </c>
      <c r="M1809" s="5"/>
      <c r="P1809" s="5"/>
      <c r="U1809" s="5"/>
    </row>
    <row r="1810" spans="10:21" x14ac:dyDescent="0.5">
      <c r="J1810" s="20"/>
      <c r="K1810" s="20"/>
      <c r="L1810" s="5">
        <f>Data!L1810</f>
        <v>0</v>
      </c>
      <c r="M1810" s="5"/>
      <c r="P1810" s="5"/>
      <c r="U1810" s="5"/>
    </row>
    <row r="1811" spans="10:21" x14ac:dyDescent="0.5">
      <c r="J1811" s="20"/>
      <c r="K1811" s="20"/>
      <c r="L1811" s="5">
        <f>Data!L1811</f>
        <v>0</v>
      </c>
      <c r="M1811" s="5"/>
      <c r="P1811" s="5"/>
      <c r="U1811" s="5"/>
    </row>
    <row r="1812" spans="10:21" x14ac:dyDescent="0.5">
      <c r="J1812" s="20"/>
      <c r="K1812" s="20"/>
      <c r="L1812" s="5">
        <f>Data!L1812</f>
        <v>0</v>
      </c>
      <c r="M1812" s="5"/>
      <c r="P1812" s="5"/>
      <c r="U1812" s="5"/>
    </row>
    <row r="1813" spans="10:21" x14ac:dyDescent="0.5">
      <c r="J1813" s="20"/>
      <c r="K1813" s="20"/>
      <c r="L1813" s="5">
        <f>Data!L1813</f>
        <v>0</v>
      </c>
      <c r="M1813" s="5"/>
      <c r="P1813" s="5"/>
      <c r="U1813" s="5"/>
    </row>
    <row r="1814" spans="10:21" x14ac:dyDescent="0.5">
      <c r="J1814" s="20"/>
      <c r="K1814" s="20"/>
      <c r="L1814" s="5">
        <f>Data!L1814</f>
        <v>0</v>
      </c>
      <c r="M1814" s="5"/>
      <c r="P1814" s="5"/>
      <c r="U1814" s="5"/>
    </row>
    <row r="1815" spans="10:21" x14ac:dyDescent="0.5">
      <c r="J1815" s="20"/>
      <c r="K1815" s="20"/>
      <c r="L1815" s="5">
        <f>Data!L1815</f>
        <v>0</v>
      </c>
      <c r="M1815" s="5"/>
      <c r="P1815" s="5"/>
      <c r="U1815" s="5"/>
    </row>
    <row r="1816" spans="10:21" x14ac:dyDescent="0.5">
      <c r="J1816" s="20"/>
      <c r="K1816" s="20"/>
      <c r="L1816" s="5">
        <f>Data!L1816</f>
        <v>0</v>
      </c>
      <c r="M1816" s="5"/>
      <c r="P1816" s="5"/>
      <c r="U1816" s="5"/>
    </row>
    <row r="1817" spans="10:21" x14ac:dyDescent="0.5">
      <c r="J1817" s="20"/>
      <c r="K1817" s="20"/>
      <c r="L1817" s="5">
        <f>Data!L1817</f>
        <v>0</v>
      </c>
      <c r="M1817" s="5"/>
      <c r="P1817" s="5"/>
      <c r="U1817" s="5"/>
    </row>
    <row r="1818" spans="10:21" x14ac:dyDescent="0.5">
      <c r="J1818" s="20"/>
      <c r="K1818" s="20"/>
      <c r="L1818" s="5">
        <f>Data!L1818</f>
        <v>0</v>
      </c>
      <c r="M1818" s="5"/>
      <c r="P1818" s="5"/>
      <c r="U1818" s="5"/>
    </row>
    <row r="1819" spans="10:21" x14ac:dyDescent="0.5">
      <c r="J1819" s="20"/>
      <c r="K1819" s="20"/>
      <c r="L1819" s="5">
        <f>Data!L1819</f>
        <v>0</v>
      </c>
      <c r="M1819" s="5"/>
      <c r="P1819" s="5"/>
      <c r="U1819" s="5"/>
    </row>
    <row r="1820" spans="10:21" x14ac:dyDescent="0.5">
      <c r="J1820" s="20"/>
      <c r="K1820" s="20"/>
      <c r="L1820" s="5">
        <f>Data!L1820</f>
        <v>0</v>
      </c>
      <c r="M1820" s="5"/>
      <c r="P1820" s="5"/>
      <c r="U1820" s="5"/>
    </row>
    <row r="1821" spans="10:21" x14ac:dyDescent="0.5">
      <c r="J1821" s="20"/>
      <c r="K1821" s="20"/>
      <c r="L1821" s="5">
        <f>Data!L1821</f>
        <v>0</v>
      </c>
      <c r="M1821" s="5"/>
      <c r="P1821" s="5"/>
      <c r="U1821" s="5"/>
    </row>
    <row r="1822" spans="10:21" x14ac:dyDescent="0.5">
      <c r="J1822" s="20"/>
      <c r="K1822" s="20"/>
      <c r="L1822" s="5">
        <f>Data!L1822</f>
        <v>0</v>
      </c>
      <c r="M1822" s="5"/>
      <c r="P1822" s="5"/>
      <c r="U1822" s="5"/>
    </row>
    <row r="1823" spans="10:21" x14ac:dyDescent="0.5">
      <c r="J1823" s="20"/>
      <c r="K1823" s="20"/>
      <c r="L1823" s="5">
        <f>Data!L1823</f>
        <v>0</v>
      </c>
      <c r="M1823" s="5"/>
      <c r="P1823" s="5"/>
      <c r="U1823" s="5"/>
    </row>
    <row r="1824" spans="10:21" x14ac:dyDescent="0.5">
      <c r="J1824" s="20"/>
      <c r="K1824" s="20"/>
      <c r="L1824" s="5">
        <f>Data!L1824</f>
        <v>0</v>
      </c>
      <c r="M1824" s="5"/>
      <c r="P1824" s="5"/>
      <c r="U1824" s="5"/>
    </row>
    <row r="1825" spans="10:21" x14ac:dyDescent="0.5">
      <c r="J1825" s="20"/>
      <c r="K1825" s="20"/>
      <c r="L1825" s="5">
        <f>Data!L1825</f>
        <v>0</v>
      </c>
      <c r="M1825" s="5"/>
      <c r="P1825" s="5"/>
      <c r="U1825" s="5"/>
    </row>
    <row r="1826" spans="10:21" x14ac:dyDescent="0.5">
      <c r="J1826" s="20"/>
      <c r="K1826" s="20"/>
      <c r="L1826" s="5">
        <f>Data!L1826</f>
        <v>0</v>
      </c>
      <c r="M1826" s="5"/>
      <c r="P1826" s="5"/>
      <c r="U1826" s="5"/>
    </row>
    <row r="1827" spans="10:21" x14ac:dyDescent="0.5">
      <c r="J1827" s="20"/>
      <c r="K1827" s="20"/>
      <c r="L1827" s="5">
        <f>Data!L1827</f>
        <v>0</v>
      </c>
      <c r="M1827" s="5"/>
      <c r="P1827" s="5"/>
      <c r="U1827" s="5"/>
    </row>
    <row r="1828" spans="10:21" x14ac:dyDescent="0.5">
      <c r="J1828" s="20"/>
      <c r="K1828" s="20"/>
      <c r="L1828" s="5">
        <f>Data!L1828</f>
        <v>0</v>
      </c>
      <c r="M1828" s="5"/>
      <c r="P1828" s="5"/>
      <c r="U1828" s="5"/>
    </row>
    <row r="1829" spans="10:21" x14ac:dyDescent="0.5">
      <c r="J1829" s="20"/>
      <c r="K1829" s="20"/>
      <c r="L1829" s="5">
        <f>Data!L1829</f>
        <v>0</v>
      </c>
      <c r="M1829" s="5"/>
      <c r="P1829" s="5"/>
      <c r="U1829" s="5"/>
    </row>
    <row r="1830" spans="10:21" x14ac:dyDescent="0.5">
      <c r="J1830" s="20"/>
      <c r="K1830" s="20"/>
      <c r="L1830" s="5">
        <f>Data!L1830</f>
        <v>0</v>
      </c>
      <c r="M1830" s="5"/>
      <c r="P1830" s="5"/>
      <c r="U1830" s="5"/>
    </row>
    <row r="1831" spans="10:21" x14ac:dyDescent="0.5">
      <c r="J1831" s="20"/>
      <c r="K1831" s="20"/>
      <c r="L1831" s="5">
        <f>Data!L1831</f>
        <v>0</v>
      </c>
      <c r="M1831" s="5"/>
      <c r="P1831" s="5"/>
      <c r="U1831" s="5"/>
    </row>
    <row r="1832" spans="10:21" x14ac:dyDescent="0.5">
      <c r="J1832" s="20"/>
      <c r="K1832" s="20"/>
      <c r="L1832" s="5">
        <f>Data!L1832</f>
        <v>0</v>
      </c>
      <c r="M1832" s="5"/>
      <c r="P1832" s="5"/>
      <c r="U1832" s="5"/>
    </row>
    <row r="1833" spans="10:21" x14ac:dyDescent="0.5">
      <c r="J1833" s="20"/>
      <c r="K1833" s="20"/>
      <c r="L1833" s="5">
        <f>Data!L1833</f>
        <v>0</v>
      </c>
      <c r="M1833" s="5"/>
      <c r="P1833" s="5"/>
      <c r="U1833" s="5"/>
    </row>
    <row r="1834" spans="10:21" x14ac:dyDescent="0.5">
      <c r="J1834" s="20"/>
      <c r="K1834" s="20"/>
      <c r="L1834" s="5">
        <f>Data!L1834</f>
        <v>0</v>
      </c>
      <c r="M1834" s="5"/>
      <c r="P1834" s="5"/>
      <c r="U1834" s="5"/>
    </row>
    <row r="1835" spans="10:21" x14ac:dyDescent="0.5">
      <c r="J1835" s="20"/>
      <c r="K1835" s="20"/>
      <c r="L1835" s="5">
        <f>Data!L1835</f>
        <v>0</v>
      </c>
      <c r="M1835" s="5"/>
      <c r="P1835" s="5"/>
      <c r="U1835" s="5"/>
    </row>
    <row r="1836" spans="10:21" x14ac:dyDescent="0.5">
      <c r="J1836" s="20"/>
      <c r="K1836" s="20"/>
      <c r="L1836" s="5">
        <f>Data!L1836</f>
        <v>0</v>
      </c>
      <c r="M1836" s="5"/>
      <c r="P1836" s="5"/>
      <c r="U1836" s="5"/>
    </row>
    <row r="1837" spans="10:21" x14ac:dyDescent="0.5">
      <c r="J1837" s="20"/>
      <c r="K1837" s="20"/>
      <c r="L1837" s="5">
        <f>Data!L1837</f>
        <v>0</v>
      </c>
      <c r="M1837" s="5"/>
      <c r="P1837" s="5"/>
      <c r="U1837" s="5"/>
    </row>
    <row r="1838" spans="10:21" x14ac:dyDescent="0.5">
      <c r="J1838" s="20"/>
      <c r="K1838" s="20"/>
      <c r="L1838" s="5">
        <f>Data!L1838</f>
        <v>0</v>
      </c>
      <c r="M1838" s="5"/>
      <c r="P1838" s="5"/>
      <c r="U1838" s="5"/>
    </row>
    <row r="1839" spans="10:21" x14ac:dyDescent="0.5">
      <c r="J1839" s="20"/>
      <c r="K1839" s="20"/>
      <c r="L1839" s="5">
        <f>Data!L1839</f>
        <v>0</v>
      </c>
      <c r="M1839" s="5"/>
      <c r="P1839" s="5"/>
      <c r="U1839" s="5"/>
    </row>
    <row r="1840" spans="10:21" x14ac:dyDescent="0.5">
      <c r="J1840" s="20"/>
      <c r="K1840" s="20"/>
      <c r="L1840" s="5">
        <f>Data!L1840</f>
        <v>0</v>
      </c>
      <c r="M1840" s="5"/>
      <c r="P1840" s="5"/>
      <c r="U1840" s="5"/>
    </row>
    <row r="1841" spans="10:21" x14ac:dyDescent="0.5">
      <c r="J1841" s="20"/>
      <c r="K1841" s="20"/>
      <c r="L1841" s="5">
        <f>Data!L1841</f>
        <v>0</v>
      </c>
      <c r="M1841" s="5"/>
      <c r="P1841" s="5"/>
      <c r="U1841" s="5"/>
    </row>
    <row r="1842" spans="10:21" x14ac:dyDescent="0.5">
      <c r="J1842" s="20"/>
      <c r="K1842" s="20"/>
      <c r="L1842" s="5">
        <f>Data!L1842</f>
        <v>0</v>
      </c>
      <c r="M1842" s="5"/>
      <c r="P1842" s="5"/>
      <c r="U1842" s="5"/>
    </row>
    <row r="1843" spans="10:21" x14ac:dyDescent="0.5">
      <c r="J1843" s="20"/>
      <c r="K1843" s="20"/>
      <c r="L1843" s="5">
        <f>Data!L1843</f>
        <v>0</v>
      </c>
      <c r="M1843" s="5"/>
      <c r="P1843" s="5"/>
      <c r="U1843" s="5"/>
    </row>
    <row r="1844" spans="10:21" x14ac:dyDescent="0.5">
      <c r="J1844" s="20"/>
      <c r="K1844" s="20"/>
      <c r="L1844" s="5">
        <f>Data!L1844</f>
        <v>0</v>
      </c>
      <c r="M1844" s="5"/>
      <c r="P1844" s="5"/>
      <c r="U1844" s="5"/>
    </row>
    <row r="1845" spans="10:21" x14ac:dyDescent="0.5">
      <c r="J1845" s="20"/>
      <c r="K1845" s="20"/>
      <c r="L1845" s="5">
        <f>Data!L1845</f>
        <v>0</v>
      </c>
      <c r="M1845" s="5"/>
      <c r="P1845" s="5"/>
      <c r="U1845" s="5"/>
    </row>
    <row r="1846" spans="10:21" x14ac:dyDescent="0.5">
      <c r="J1846" s="20"/>
      <c r="K1846" s="20"/>
      <c r="L1846" s="5">
        <f>Data!L1846</f>
        <v>0</v>
      </c>
      <c r="M1846" s="5"/>
      <c r="P1846" s="5"/>
      <c r="U1846" s="5"/>
    </row>
    <row r="1847" spans="10:21" x14ac:dyDescent="0.5">
      <c r="J1847" s="20"/>
      <c r="K1847" s="20"/>
      <c r="L1847" s="5">
        <f>Data!L1847</f>
        <v>0</v>
      </c>
      <c r="M1847" s="5"/>
      <c r="P1847" s="5"/>
      <c r="U1847" s="5"/>
    </row>
    <row r="1848" spans="10:21" x14ac:dyDescent="0.5">
      <c r="J1848" s="20"/>
      <c r="K1848" s="20"/>
      <c r="L1848" s="5">
        <f>Data!L1848</f>
        <v>0</v>
      </c>
      <c r="M1848" s="5"/>
      <c r="P1848" s="5"/>
      <c r="U1848" s="5"/>
    </row>
    <row r="1849" spans="10:21" x14ac:dyDescent="0.5">
      <c r="J1849" s="20"/>
      <c r="K1849" s="20"/>
      <c r="L1849" s="5">
        <f>Data!L1849</f>
        <v>0</v>
      </c>
      <c r="M1849" s="5"/>
      <c r="P1849" s="5"/>
      <c r="U1849" s="5"/>
    </row>
    <row r="1850" spans="10:21" x14ac:dyDescent="0.5">
      <c r="J1850" s="20"/>
      <c r="K1850" s="20"/>
      <c r="L1850" s="5">
        <f>Data!L1850</f>
        <v>0</v>
      </c>
      <c r="M1850" s="5"/>
      <c r="P1850" s="5"/>
      <c r="U1850" s="5"/>
    </row>
    <row r="1851" spans="10:21" x14ac:dyDescent="0.5">
      <c r="J1851" s="20"/>
      <c r="K1851" s="20"/>
      <c r="L1851" s="5">
        <f>Data!L1851</f>
        <v>0</v>
      </c>
      <c r="M1851" s="5"/>
      <c r="P1851" s="5"/>
      <c r="U1851" s="5"/>
    </row>
    <row r="1852" spans="10:21" x14ac:dyDescent="0.5">
      <c r="J1852" s="20"/>
      <c r="K1852" s="20"/>
      <c r="L1852" s="5">
        <f>Data!L1852</f>
        <v>0</v>
      </c>
      <c r="M1852" s="5"/>
      <c r="P1852" s="5"/>
      <c r="U1852" s="5"/>
    </row>
    <row r="1853" spans="10:21" x14ac:dyDescent="0.5">
      <c r="J1853" s="20"/>
      <c r="K1853" s="20"/>
      <c r="L1853" s="5">
        <f>Data!L1853</f>
        <v>0</v>
      </c>
      <c r="M1853" s="5"/>
      <c r="P1853" s="5"/>
      <c r="U1853" s="5"/>
    </row>
    <row r="1854" spans="10:21" x14ac:dyDescent="0.5">
      <c r="J1854" s="20"/>
      <c r="K1854" s="20"/>
      <c r="L1854" s="5">
        <f>Data!L1854</f>
        <v>0</v>
      </c>
      <c r="M1854" s="5"/>
      <c r="P1854" s="5"/>
      <c r="U1854" s="5"/>
    </row>
    <row r="1855" spans="10:21" x14ac:dyDescent="0.5">
      <c r="J1855" s="20"/>
      <c r="K1855" s="20"/>
      <c r="L1855" s="5">
        <f>Data!L1855</f>
        <v>0</v>
      </c>
      <c r="M1855" s="5"/>
      <c r="P1855" s="5"/>
      <c r="U1855" s="5"/>
    </row>
    <row r="1856" spans="10:21" x14ac:dyDescent="0.5">
      <c r="J1856" s="20"/>
      <c r="K1856" s="20"/>
      <c r="L1856" s="5">
        <f>Data!L1856</f>
        <v>0</v>
      </c>
      <c r="M1856" s="5"/>
      <c r="P1856" s="5"/>
      <c r="U1856" s="5"/>
    </row>
    <row r="1857" spans="10:21" x14ac:dyDescent="0.5">
      <c r="J1857" s="20"/>
      <c r="K1857" s="20"/>
      <c r="L1857" s="5">
        <f>Data!L1857</f>
        <v>0</v>
      </c>
      <c r="M1857" s="5"/>
      <c r="P1857" s="5"/>
      <c r="U1857" s="5"/>
    </row>
    <row r="1858" spans="10:21" x14ac:dyDescent="0.5">
      <c r="J1858" s="20"/>
      <c r="K1858" s="20"/>
      <c r="L1858" s="5">
        <f>Data!L1858</f>
        <v>0</v>
      </c>
      <c r="M1858" s="5"/>
      <c r="P1858" s="5"/>
      <c r="U1858" s="5"/>
    </row>
    <row r="1859" spans="10:21" x14ac:dyDescent="0.5">
      <c r="J1859" s="20"/>
      <c r="K1859" s="20"/>
      <c r="L1859" s="5">
        <f>Data!L1859</f>
        <v>0</v>
      </c>
      <c r="M1859" s="5"/>
      <c r="P1859" s="5"/>
      <c r="U1859" s="5"/>
    </row>
    <row r="1860" spans="10:21" x14ac:dyDescent="0.5">
      <c r="J1860" s="20"/>
      <c r="K1860" s="20"/>
      <c r="L1860" s="5">
        <f>Data!L1860</f>
        <v>0</v>
      </c>
      <c r="M1860" s="5"/>
      <c r="P1860" s="5"/>
      <c r="U1860" s="5"/>
    </row>
    <row r="1861" spans="10:21" x14ac:dyDescent="0.5">
      <c r="J1861" s="20"/>
      <c r="K1861" s="20"/>
      <c r="L1861" s="5">
        <f>Data!L1861</f>
        <v>0</v>
      </c>
      <c r="M1861" s="5"/>
      <c r="P1861" s="5"/>
      <c r="U1861" s="5"/>
    </row>
    <row r="1862" spans="10:21" x14ac:dyDescent="0.5">
      <c r="J1862" s="20"/>
      <c r="K1862" s="20"/>
      <c r="L1862" s="5">
        <f>Data!L1862</f>
        <v>0</v>
      </c>
      <c r="M1862" s="5"/>
      <c r="P1862" s="5"/>
      <c r="U1862" s="5"/>
    </row>
    <row r="1863" spans="10:21" x14ac:dyDescent="0.5">
      <c r="J1863" s="20"/>
      <c r="K1863" s="20"/>
      <c r="L1863" s="5">
        <f>Data!L1863</f>
        <v>0</v>
      </c>
      <c r="M1863" s="5"/>
      <c r="P1863" s="5"/>
      <c r="U1863" s="5"/>
    </row>
    <row r="1864" spans="10:21" x14ac:dyDescent="0.5">
      <c r="J1864" s="20"/>
      <c r="K1864" s="20"/>
      <c r="L1864" s="5">
        <f>Data!L1864</f>
        <v>0</v>
      </c>
      <c r="M1864" s="5"/>
      <c r="P1864" s="5"/>
      <c r="U1864" s="5"/>
    </row>
    <row r="1865" spans="10:21" x14ac:dyDescent="0.5">
      <c r="J1865" s="20"/>
      <c r="K1865" s="20"/>
      <c r="L1865" s="5">
        <f>Data!L1865</f>
        <v>0</v>
      </c>
      <c r="M1865" s="5"/>
      <c r="P1865" s="5"/>
      <c r="U1865" s="5"/>
    </row>
    <row r="1866" spans="10:21" x14ac:dyDescent="0.5">
      <c r="J1866" s="20"/>
      <c r="K1866" s="20"/>
      <c r="L1866" s="5">
        <f>Data!L1866</f>
        <v>0</v>
      </c>
      <c r="M1866" s="5"/>
      <c r="P1866" s="5"/>
      <c r="U1866" s="5"/>
    </row>
    <row r="1867" spans="10:21" x14ac:dyDescent="0.5">
      <c r="J1867" s="20"/>
      <c r="K1867" s="20"/>
      <c r="L1867" s="5">
        <f>Data!L1867</f>
        <v>0</v>
      </c>
      <c r="M1867" s="5"/>
      <c r="P1867" s="5"/>
      <c r="U1867" s="5"/>
    </row>
    <row r="1868" spans="10:21" x14ac:dyDescent="0.5">
      <c r="J1868" s="20"/>
      <c r="K1868" s="20"/>
      <c r="L1868" s="5">
        <f>Data!L1868</f>
        <v>0</v>
      </c>
      <c r="M1868" s="5"/>
      <c r="P1868" s="5"/>
      <c r="U1868" s="5"/>
    </row>
    <row r="1869" spans="10:21" x14ac:dyDescent="0.5">
      <c r="J1869" s="20"/>
      <c r="K1869" s="20"/>
      <c r="L1869" s="5">
        <f>Data!L1869</f>
        <v>0</v>
      </c>
      <c r="M1869" s="5"/>
      <c r="P1869" s="5"/>
      <c r="U1869" s="5"/>
    </row>
    <row r="1870" spans="10:21" x14ac:dyDescent="0.5">
      <c r="J1870" s="20"/>
      <c r="K1870" s="20"/>
      <c r="L1870" s="5">
        <f>Data!L1870</f>
        <v>0</v>
      </c>
      <c r="M1870" s="5"/>
      <c r="P1870" s="5"/>
      <c r="U1870" s="5"/>
    </row>
    <row r="1871" spans="10:21" x14ac:dyDescent="0.5">
      <c r="J1871" s="20"/>
      <c r="K1871" s="20"/>
      <c r="L1871" s="5">
        <f>Data!L1871</f>
        <v>0</v>
      </c>
      <c r="M1871" s="5"/>
      <c r="P1871" s="5"/>
      <c r="U1871" s="5"/>
    </row>
    <row r="1872" spans="10:21" x14ac:dyDescent="0.5">
      <c r="J1872" s="20"/>
      <c r="K1872" s="20"/>
      <c r="L1872" s="5">
        <f>Data!L1872</f>
        <v>0</v>
      </c>
      <c r="M1872" s="5"/>
      <c r="P1872" s="5"/>
      <c r="U1872" s="5"/>
    </row>
    <row r="1873" spans="10:21" x14ac:dyDescent="0.5">
      <c r="J1873" s="20"/>
      <c r="K1873" s="20"/>
      <c r="L1873" s="5">
        <f>Data!L1873</f>
        <v>0</v>
      </c>
      <c r="M1873" s="5"/>
      <c r="P1873" s="5"/>
      <c r="U1873" s="5"/>
    </row>
    <row r="1874" spans="10:21" x14ac:dyDescent="0.5">
      <c r="J1874" s="20"/>
      <c r="K1874" s="20"/>
      <c r="L1874" s="5">
        <f>Data!L1874</f>
        <v>0</v>
      </c>
      <c r="M1874" s="5"/>
      <c r="P1874" s="5"/>
      <c r="U1874" s="5"/>
    </row>
    <row r="1875" spans="10:21" x14ac:dyDescent="0.5">
      <c r="J1875" s="20"/>
      <c r="K1875" s="20"/>
      <c r="L1875" s="5">
        <f>Data!L1875</f>
        <v>0</v>
      </c>
      <c r="M1875" s="5"/>
      <c r="P1875" s="5"/>
      <c r="U1875" s="5"/>
    </row>
    <row r="1876" spans="10:21" x14ac:dyDescent="0.5">
      <c r="J1876" s="20"/>
      <c r="K1876" s="20"/>
      <c r="L1876" s="5">
        <f>Data!L1876</f>
        <v>0</v>
      </c>
      <c r="M1876" s="5"/>
      <c r="P1876" s="5"/>
      <c r="U1876" s="5"/>
    </row>
    <row r="1877" spans="10:21" x14ac:dyDescent="0.5">
      <c r="J1877" s="20"/>
      <c r="K1877" s="20"/>
      <c r="L1877" s="5">
        <f>Data!L1877</f>
        <v>0</v>
      </c>
      <c r="M1877" s="5"/>
      <c r="P1877" s="5"/>
      <c r="U1877" s="5"/>
    </row>
    <row r="1878" spans="10:21" x14ac:dyDescent="0.5">
      <c r="J1878" s="20"/>
      <c r="K1878" s="20"/>
      <c r="L1878" s="5">
        <f>Data!L1878</f>
        <v>0</v>
      </c>
      <c r="M1878" s="5"/>
      <c r="P1878" s="5"/>
      <c r="U1878" s="5"/>
    </row>
    <row r="1879" spans="10:21" x14ac:dyDescent="0.5">
      <c r="J1879" s="20"/>
      <c r="K1879" s="20"/>
      <c r="L1879" s="5">
        <f>Data!L1879</f>
        <v>0</v>
      </c>
      <c r="M1879" s="5"/>
      <c r="P1879" s="5"/>
      <c r="U1879" s="5"/>
    </row>
    <row r="1880" spans="10:21" x14ac:dyDescent="0.5">
      <c r="J1880" s="20"/>
      <c r="K1880" s="20"/>
      <c r="L1880" s="5">
        <f>Data!L1880</f>
        <v>0</v>
      </c>
      <c r="M1880" s="5"/>
      <c r="P1880" s="5"/>
      <c r="U1880" s="5"/>
    </row>
    <row r="1881" spans="10:21" x14ac:dyDescent="0.5">
      <c r="J1881" s="20"/>
      <c r="K1881" s="20"/>
      <c r="L1881" s="5">
        <f>Data!L1881</f>
        <v>0</v>
      </c>
      <c r="M1881" s="5"/>
      <c r="P1881" s="5"/>
      <c r="U1881" s="5"/>
    </row>
    <row r="1882" spans="10:21" x14ac:dyDescent="0.5">
      <c r="J1882" s="20"/>
      <c r="K1882" s="20"/>
      <c r="L1882" s="5">
        <f>Data!L1882</f>
        <v>0</v>
      </c>
      <c r="M1882" s="5"/>
      <c r="P1882" s="5"/>
      <c r="U1882" s="5"/>
    </row>
    <row r="1883" spans="10:21" x14ac:dyDescent="0.5">
      <c r="J1883" s="20"/>
      <c r="K1883" s="20"/>
      <c r="L1883" s="5">
        <f>Data!L1883</f>
        <v>0</v>
      </c>
      <c r="M1883" s="5"/>
      <c r="P1883" s="5"/>
      <c r="U1883" s="5"/>
    </row>
    <row r="1884" spans="10:21" x14ac:dyDescent="0.5">
      <c r="J1884" s="20"/>
      <c r="K1884" s="20"/>
      <c r="L1884" s="5">
        <f>Data!L1884</f>
        <v>0</v>
      </c>
      <c r="M1884" s="5"/>
      <c r="P1884" s="5"/>
      <c r="U1884" s="5"/>
    </row>
    <row r="1885" spans="10:21" x14ac:dyDescent="0.5">
      <c r="J1885" s="20"/>
      <c r="K1885" s="20"/>
      <c r="L1885" s="5">
        <f>Data!L1885</f>
        <v>0</v>
      </c>
      <c r="M1885" s="5"/>
      <c r="P1885" s="5"/>
      <c r="U1885" s="5"/>
    </row>
    <row r="1886" spans="10:21" x14ac:dyDescent="0.5">
      <c r="J1886" s="20"/>
      <c r="K1886" s="20"/>
      <c r="L1886" s="5">
        <f>Data!L1886</f>
        <v>0</v>
      </c>
      <c r="M1886" s="5"/>
      <c r="P1886" s="5"/>
      <c r="U1886" s="5"/>
    </row>
    <row r="1887" spans="10:21" x14ac:dyDescent="0.5">
      <c r="J1887" s="20"/>
      <c r="K1887" s="20"/>
      <c r="L1887" s="5">
        <f>Data!L1887</f>
        <v>0</v>
      </c>
      <c r="M1887" s="5"/>
      <c r="P1887" s="5"/>
      <c r="U1887" s="5"/>
    </row>
    <row r="1888" spans="10:21" x14ac:dyDescent="0.5">
      <c r="J1888" s="20"/>
      <c r="K1888" s="20"/>
      <c r="L1888" s="5">
        <f>Data!L1888</f>
        <v>0</v>
      </c>
      <c r="M1888" s="5"/>
      <c r="P1888" s="5"/>
      <c r="U1888" s="5"/>
    </row>
    <row r="1889" spans="10:21" x14ac:dyDescent="0.5">
      <c r="J1889" s="20"/>
      <c r="K1889" s="20"/>
      <c r="L1889" s="5">
        <f>Data!L1889</f>
        <v>0</v>
      </c>
      <c r="M1889" s="5"/>
      <c r="P1889" s="5"/>
      <c r="U1889" s="5"/>
    </row>
    <row r="1890" spans="10:21" x14ac:dyDescent="0.5">
      <c r="J1890" s="20"/>
      <c r="K1890" s="20"/>
      <c r="L1890" s="5">
        <f>Data!L1890</f>
        <v>0</v>
      </c>
      <c r="M1890" s="5"/>
      <c r="P1890" s="5"/>
      <c r="U1890" s="5"/>
    </row>
    <row r="1891" spans="10:21" x14ac:dyDescent="0.5">
      <c r="J1891" s="20"/>
      <c r="K1891" s="20"/>
      <c r="L1891" s="5">
        <f>Data!L1891</f>
        <v>0</v>
      </c>
      <c r="M1891" s="5"/>
      <c r="P1891" s="5"/>
      <c r="U1891" s="5"/>
    </row>
    <row r="1892" spans="10:21" x14ac:dyDescent="0.5">
      <c r="J1892" s="20"/>
      <c r="K1892" s="20"/>
      <c r="L1892" s="5">
        <f>Data!L1892</f>
        <v>0</v>
      </c>
      <c r="M1892" s="5"/>
      <c r="P1892" s="5"/>
      <c r="U1892" s="5"/>
    </row>
    <row r="1893" spans="10:21" x14ac:dyDescent="0.5">
      <c r="J1893" s="20"/>
      <c r="K1893" s="20"/>
      <c r="L1893" s="5">
        <f>Data!L1893</f>
        <v>0</v>
      </c>
      <c r="M1893" s="5"/>
      <c r="P1893" s="5"/>
      <c r="U1893" s="5"/>
    </row>
    <row r="1894" spans="10:21" x14ac:dyDescent="0.5">
      <c r="J1894" s="20"/>
      <c r="K1894" s="20"/>
      <c r="L1894" s="5">
        <f>Data!L1894</f>
        <v>0</v>
      </c>
      <c r="M1894" s="5"/>
      <c r="P1894" s="5"/>
      <c r="U1894" s="5"/>
    </row>
    <row r="1895" spans="10:21" x14ac:dyDescent="0.5">
      <c r="J1895" s="20"/>
      <c r="K1895" s="20"/>
      <c r="L1895" s="5">
        <f>Data!L1895</f>
        <v>0</v>
      </c>
      <c r="M1895" s="5"/>
      <c r="P1895" s="5"/>
      <c r="U1895" s="5"/>
    </row>
    <row r="1896" spans="10:21" x14ac:dyDescent="0.5">
      <c r="J1896" s="20"/>
      <c r="K1896" s="20"/>
      <c r="L1896" s="5">
        <f>Data!L1896</f>
        <v>0</v>
      </c>
      <c r="M1896" s="5"/>
      <c r="P1896" s="5"/>
      <c r="U1896" s="5"/>
    </row>
    <row r="1897" spans="10:21" x14ac:dyDescent="0.5">
      <c r="J1897" s="20"/>
      <c r="K1897" s="20"/>
      <c r="L1897" s="5">
        <f>Data!L1897</f>
        <v>0</v>
      </c>
      <c r="M1897" s="5"/>
      <c r="P1897" s="5"/>
      <c r="U1897" s="5"/>
    </row>
    <row r="1898" spans="10:21" x14ac:dyDescent="0.5">
      <c r="J1898" s="20"/>
      <c r="K1898" s="20"/>
      <c r="L1898" s="5">
        <f>Data!L1898</f>
        <v>0</v>
      </c>
      <c r="M1898" s="5"/>
      <c r="P1898" s="5"/>
      <c r="U1898" s="5"/>
    </row>
    <row r="1899" spans="10:21" x14ac:dyDescent="0.5">
      <c r="J1899" s="20"/>
      <c r="K1899" s="20"/>
      <c r="L1899" s="5">
        <f>Data!L1899</f>
        <v>0</v>
      </c>
      <c r="M1899" s="5"/>
      <c r="P1899" s="5"/>
      <c r="U1899" s="5"/>
    </row>
    <row r="1900" spans="10:21" x14ac:dyDescent="0.5">
      <c r="J1900" s="20"/>
      <c r="K1900" s="20"/>
      <c r="L1900" s="5">
        <f>Data!L1900</f>
        <v>0</v>
      </c>
      <c r="M1900" s="5"/>
      <c r="P1900" s="5"/>
      <c r="U1900" s="5"/>
    </row>
    <row r="1901" spans="10:21" x14ac:dyDescent="0.5">
      <c r="J1901" s="20"/>
      <c r="K1901" s="20"/>
      <c r="L1901" s="5">
        <f>Data!L1901</f>
        <v>0</v>
      </c>
      <c r="M1901" s="5"/>
      <c r="P1901" s="5"/>
      <c r="U1901" s="5"/>
    </row>
    <row r="1902" spans="10:21" x14ac:dyDescent="0.5">
      <c r="J1902" s="20"/>
      <c r="K1902" s="20"/>
      <c r="L1902" s="5">
        <f>Data!L1902</f>
        <v>0</v>
      </c>
      <c r="M1902" s="5"/>
      <c r="P1902" s="5"/>
      <c r="U1902" s="5"/>
    </row>
    <row r="1903" spans="10:21" x14ac:dyDescent="0.5">
      <c r="J1903" s="20"/>
      <c r="K1903" s="20"/>
      <c r="L1903" s="5">
        <f>Data!L1903</f>
        <v>0</v>
      </c>
      <c r="M1903" s="5"/>
      <c r="P1903" s="5"/>
      <c r="U1903" s="5"/>
    </row>
    <row r="1904" spans="10:21" x14ac:dyDescent="0.5">
      <c r="J1904" s="20"/>
      <c r="K1904" s="20"/>
      <c r="L1904" s="5">
        <f>Data!L1904</f>
        <v>0</v>
      </c>
      <c r="M1904" s="5"/>
      <c r="P1904" s="5"/>
      <c r="U1904" s="5"/>
    </row>
    <row r="1905" spans="10:21" x14ac:dyDescent="0.5">
      <c r="J1905" s="20"/>
      <c r="K1905" s="20"/>
      <c r="L1905" s="5">
        <f>Data!L1905</f>
        <v>0</v>
      </c>
      <c r="M1905" s="5"/>
      <c r="P1905" s="5"/>
      <c r="U1905" s="5"/>
    </row>
    <row r="1906" spans="10:21" x14ac:dyDescent="0.5">
      <c r="J1906" s="20"/>
      <c r="K1906" s="20"/>
      <c r="L1906" s="5">
        <f>Data!L1906</f>
        <v>0</v>
      </c>
      <c r="M1906" s="5"/>
      <c r="P1906" s="5"/>
      <c r="U1906" s="5"/>
    </row>
    <row r="1907" spans="10:21" x14ac:dyDescent="0.5">
      <c r="J1907" s="20"/>
      <c r="K1907" s="20"/>
      <c r="L1907" s="5">
        <f>Data!L1907</f>
        <v>0</v>
      </c>
      <c r="M1907" s="5"/>
      <c r="P1907" s="5"/>
      <c r="U1907" s="5"/>
    </row>
    <row r="1908" spans="10:21" x14ac:dyDescent="0.5">
      <c r="J1908" s="20"/>
      <c r="K1908" s="20"/>
      <c r="L1908" s="5">
        <f>Data!L1908</f>
        <v>0</v>
      </c>
      <c r="M1908" s="5"/>
      <c r="P1908" s="5"/>
      <c r="U1908" s="5"/>
    </row>
    <row r="1909" spans="10:21" x14ac:dyDescent="0.5">
      <c r="J1909" s="20"/>
      <c r="K1909" s="20"/>
      <c r="L1909" s="5">
        <f>Data!L1909</f>
        <v>0</v>
      </c>
      <c r="M1909" s="5"/>
      <c r="P1909" s="5"/>
      <c r="U1909" s="5"/>
    </row>
    <row r="1910" spans="10:21" x14ac:dyDescent="0.5">
      <c r="J1910" s="20"/>
      <c r="K1910" s="20"/>
      <c r="L1910" s="5">
        <f>Data!L1910</f>
        <v>0</v>
      </c>
      <c r="M1910" s="5"/>
      <c r="P1910" s="5"/>
      <c r="U1910" s="5"/>
    </row>
    <row r="1911" spans="10:21" x14ac:dyDescent="0.5">
      <c r="J1911" s="20"/>
      <c r="K1911" s="20"/>
      <c r="L1911" s="5">
        <f>Data!L1911</f>
        <v>0</v>
      </c>
      <c r="M1911" s="5"/>
      <c r="P1911" s="5"/>
      <c r="U1911" s="5"/>
    </row>
    <row r="1912" spans="10:21" x14ac:dyDescent="0.5">
      <c r="J1912" s="20"/>
      <c r="K1912" s="20"/>
      <c r="L1912" s="5">
        <f>Data!L1912</f>
        <v>0</v>
      </c>
      <c r="M1912" s="5"/>
      <c r="P1912" s="5"/>
      <c r="U1912" s="5"/>
    </row>
    <row r="1913" spans="10:21" x14ac:dyDescent="0.5">
      <c r="J1913" s="20"/>
      <c r="K1913" s="20"/>
      <c r="L1913" s="5">
        <f>Data!L1913</f>
        <v>0</v>
      </c>
      <c r="M1913" s="5"/>
      <c r="P1913" s="5"/>
      <c r="U1913" s="5"/>
    </row>
    <row r="1914" spans="10:21" x14ac:dyDescent="0.5">
      <c r="J1914" s="20"/>
      <c r="K1914" s="20"/>
      <c r="L1914" s="5">
        <f>Data!L1914</f>
        <v>0</v>
      </c>
      <c r="M1914" s="5"/>
      <c r="P1914" s="5"/>
      <c r="U1914" s="5"/>
    </row>
    <row r="1915" spans="10:21" x14ac:dyDescent="0.5">
      <c r="J1915" s="20"/>
      <c r="K1915" s="20"/>
      <c r="L1915" s="5">
        <f>Data!L1915</f>
        <v>0</v>
      </c>
      <c r="M1915" s="5"/>
      <c r="P1915" s="5"/>
      <c r="U1915" s="5"/>
    </row>
    <row r="1916" spans="10:21" x14ac:dyDescent="0.5">
      <c r="J1916" s="20"/>
      <c r="K1916" s="20"/>
      <c r="L1916" s="5">
        <f>Data!L1916</f>
        <v>0</v>
      </c>
      <c r="M1916" s="5"/>
      <c r="P1916" s="5"/>
      <c r="U1916" s="5"/>
    </row>
    <row r="1917" spans="10:21" x14ac:dyDescent="0.5">
      <c r="J1917" s="20"/>
      <c r="K1917" s="20"/>
      <c r="L1917" s="5">
        <f>Data!L1917</f>
        <v>0</v>
      </c>
      <c r="M1917" s="5"/>
      <c r="P1917" s="5"/>
      <c r="U1917" s="5"/>
    </row>
    <row r="1918" spans="10:21" x14ac:dyDescent="0.5">
      <c r="J1918" s="20"/>
      <c r="K1918" s="20"/>
      <c r="L1918" s="5">
        <f>Data!L1918</f>
        <v>0</v>
      </c>
      <c r="M1918" s="5"/>
      <c r="P1918" s="5"/>
      <c r="U1918" s="5"/>
    </row>
    <row r="1919" spans="10:21" x14ac:dyDescent="0.5">
      <c r="J1919" s="20"/>
      <c r="K1919" s="20"/>
      <c r="L1919" s="5">
        <f>Data!L1919</f>
        <v>0</v>
      </c>
      <c r="M1919" s="5"/>
      <c r="P1919" s="5"/>
      <c r="U1919" s="5"/>
    </row>
    <row r="1920" spans="10:21" x14ac:dyDescent="0.5">
      <c r="J1920" s="20"/>
      <c r="K1920" s="20"/>
      <c r="L1920" s="5">
        <f>Data!L1920</f>
        <v>0</v>
      </c>
      <c r="M1920" s="5"/>
      <c r="P1920" s="5"/>
      <c r="U1920" s="5"/>
    </row>
    <row r="1921" spans="10:21" x14ac:dyDescent="0.5">
      <c r="J1921" s="20"/>
      <c r="K1921" s="20"/>
      <c r="L1921" s="5">
        <f>Data!L1921</f>
        <v>0</v>
      </c>
      <c r="M1921" s="5"/>
      <c r="P1921" s="5"/>
      <c r="U1921" s="5"/>
    </row>
    <row r="1922" spans="10:21" x14ac:dyDescent="0.5">
      <c r="J1922" s="20"/>
      <c r="K1922" s="20"/>
      <c r="L1922" s="5">
        <f>Data!L1922</f>
        <v>0</v>
      </c>
      <c r="M1922" s="5"/>
      <c r="P1922" s="5"/>
      <c r="U1922" s="5"/>
    </row>
    <row r="1923" spans="10:21" x14ac:dyDescent="0.5">
      <c r="J1923" s="20"/>
      <c r="K1923" s="20"/>
      <c r="L1923" s="5">
        <f>Data!L1923</f>
        <v>0</v>
      </c>
      <c r="M1923" s="5"/>
      <c r="P1923" s="5"/>
      <c r="U1923" s="5"/>
    </row>
    <row r="1924" spans="10:21" x14ac:dyDescent="0.5">
      <c r="J1924" s="20"/>
      <c r="K1924" s="20"/>
      <c r="L1924" s="5">
        <f>Data!L1924</f>
        <v>0</v>
      </c>
      <c r="M1924" s="5"/>
      <c r="P1924" s="5"/>
      <c r="U1924" s="5"/>
    </row>
    <row r="1925" spans="10:21" x14ac:dyDescent="0.5">
      <c r="J1925" s="20"/>
      <c r="K1925" s="20"/>
      <c r="L1925" s="5">
        <f>Data!L1925</f>
        <v>0</v>
      </c>
      <c r="M1925" s="5"/>
      <c r="P1925" s="5"/>
      <c r="U1925" s="5"/>
    </row>
    <row r="1926" spans="10:21" x14ac:dyDescent="0.5">
      <c r="J1926" s="20"/>
      <c r="K1926" s="20"/>
      <c r="L1926" s="5">
        <f>Data!L1926</f>
        <v>0</v>
      </c>
      <c r="M1926" s="5"/>
      <c r="P1926" s="5"/>
      <c r="U1926" s="5"/>
    </row>
    <row r="1927" spans="10:21" x14ac:dyDescent="0.5">
      <c r="J1927" s="20"/>
      <c r="K1927" s="20"/>
      <c r="L1927" s="5">
        <f>Data!L1927</f>
        <v>0</v>
      </c>
      <c r="M1927" s="5"/>
      <c r="P1927" s="5"/>
      <c r="U1927" s="5"/>
    </row>
    <row r="1928" spans="10:21" x14ac:dyDescent="0.5">
      <c r="J1928" s="20"/>
      <c r="K1928" s="20"/>
      <c r="L1928" s="5">
        <f>Data!L1928</f>
        <v>0</v>
      </c>
      <c r="M1928" s="5"/>
      <c r="P1928" s="5"/>
      <c r="U1928" s="5"/>
    </row>
    <row r="1929" spans="10:21" x14ac:dyDescent="0.5">
      <c r="J1929" s="20"/>
      <c r="K1929" s="20"/>
      <c r="L1929" s="5">
        <f>Data!L1929</f>
        <v>0</v>
      </c>
      <c r="M1929" s="5"/>
      <c r="P1929" s="5"/>
      <c r="U1929" s="5"/>
    </row>
    <row r="1930" spans="10:21" x14ac:dyDescent="0.5">
      <c r="J1930" s="20"/>
      <c r="K1930" s="20"/>
      <c r="L1930" s="5">
        <f>Data!L1930</f>
        <v>0</v>
      </c>
      <c r="M1930" s="5"/>
      <c r="P1930" s="5"/>
      <c r="U1930" s="5"/>
    </row>
    <row r="1931" spans="10:21" x14ac:dyDescent="0.5">
      <c r="J1931" s="20"/>
      <c r="K1931" s="20"/>
      <c r="L1931" s="5">
        <f>Data!L1931</f>
        <v>0</v>
      </c>
      <c r="M1931" s="5"/>
      <c r="P1931" s="5"/>
      <c r="U1931" s="5"/>
    </row>
    <row r="1932" spans="10:21" x14ac:dyDescent="0.5">
      <c r="J1932" s="20"/>
      <c r="K1932" s="20"/>
      <c r="L1932" s="5">
        <f>Data!L1932</f>
        <v>0</v>
      </c>
      <c r="M1932" s="5"/>
      <c r="P1932" s="5"/>
      <c r="U1932" s="5"/>
    </row>
    <row r="1933" spans="10:21" x14ac:dyDescent="0.5">
      <c r="J1933" s="20"/>
      <c r="K1933" s="20"/>
      <c r="L1933" s="5">
        <f>Data!L1933</f>
        <v>0</v>
      </c>
      <c r="M1933" s="5"/>
      <c r="P1933" s="5"/>
      <c r="U1933" s="5"/>
    </row>
    <row r="1934" spans="10:21" x14ac:dyDescent="0.5">
      <c r="J1934" s="20"/>
      <c r="K1934" s="20"/>
      <c r="L1934" s="5">
        <f>Data!L1934</f>
        <v>0</v>
      </c>
      <c r="M1934" s="5"/>
      <c r="P1934" s="5"/>
      <c r="U1934" s="5"/>
    </row>
    <row r="1935" spans="10:21" x14ac:dyDescent="0.5">
      <c r="J1935" s="20"/>
      <c r="K1935" s="20"/>
      <c r="L1935" s="5">
        <f>Data!L1935</f>
        <v>0</v>
      </c>
      <c r="M1935" s="5"/>
      <c r="P1935" s="5"/>
      <c r="U1935" s="5"/>
    </row>
    <row r="1936" spans="10:21" x14ac:dyDescent="0.5">
      <c r="J1936" s="20"/>
      <c r="K1936" s="20"/>
      <c r="L1936" s="5">
        <f>Data!L1936</f>
        <v>0</v>
      </c>
      <c r="M1936" s="5"/>
      <c r="P1936" s="5"/>
      <c r="U1936" s="5"/>
    </row>
    <row r="1937" spans="10:21" x14ac:dyDescent="0.5">
      <c r="J1937" s="20"/>
      <c r="K1937" s="20"/>
      <c r="L1937" s="5">
        <f>Data!L1937</f>
        <v>0</v>
      </c>
      <c r="M1937" s="5"/>
      <c r="P1937" s="5"/>
      <c r="U1937" s="5"/>
    </row>
    <row r="1938" spans="10:21" x14ac:dyDescent="0.5">
      <c r="J1938" s="20"/>
      <c r="K1938" s="20"/>
      <c r="L1938" s="5">
        <f>Data!L1938</f>
        <v>0</v>
      </c>
      <c r="M1938" s="5"/>
      <c r="P1938" s="5"/>
      <c r="U1938" s="5"/>
    </row>
    <row r="1939" spans="10:21" x14ac:dyDescent="0.5">
      <c r="J1939" s="20"/>
      <c r="K1939" s="20"/>
      <c r="L1939" s="5">
        <f>Data!L1939</f>
        <v>0</v>
      </c>
      <c r="M1939" s="5"/>
      <c r="P1939" s="5"/>
      <c r="U1939" s="5"/>
    </row>
    <row r="1940" spans="10:21" x14ac:dyDescent="0.5">
      <c r="J1940" s="20"/>
      <c r="K1940" s="20"/>
      <c r="L1940" s="5">
        <f>Data!L1940</f>
        <v>0</v>
      </c>
      <c r="M1940" s="5"/>
      <c r="P1940" s="5"/>
      <c r="U1940" s="5"/>
    </row>
    <row r="1941" spans="10:21" x14ac:dyDescent="0.5">
      <c r="J1941" s="20"/>
      <c r="K1941" s="20"/>
      <c r="L1941" s="5">
        <f>Data!L1941</f>
        <v>0</v>
      </c>
      <c r="M1941" s="5"/>
      <c r="P1941" s="5"/>
      <c r="U1941" s="5"/>
    </row>
    <row r="1942" spans="10:21" x14ac:dyDescent="0.5">
      <c r="J1942" s="20"/>
      <c r="K1942" s="20"/>
      <c r="L1942" s="5">
        <f>Data!L1942</f>
        <v>0</v>
      </c>
      <c r="M1942" s="5"/>
      <c r="P1942" s="5"/>
      <c r="U1942" s="5"/>
    </row>
    <row r="1943" spans="10:21" x14ac:dyDescent="0.5">
      <c r="J1943" s="20"/>
      <c r="K1943" s="20"/>
      <c r="L1943" s="5">
        <f>Data!L1943</f>
        <v>0</v>
      </c>
      <c r="M1943" s="5"/>
      <c r="P1943" s="5"/>
      <c r="U1943" s="5"/>
    </row>
    <row r="1944" spans="10:21" x14ac:dyDescent="0.5">
      <c r="J1944" s="20"/>
      <c r="K1944" s="20"/>
      <c r="L1944" s="5">
        <f>Data!L1944</f>
        <v>0</v>
      </c>
      <c r="M1944" s="5"/>
      <c r="P1944" s="5"/>
      <c r="U1944" s="5"/>
    </row>
    <row r="1945" spans="10:21" x14ac:dyDescent="0.5">
      <c r="J1945" s="20"/>
      <c r="K1945" s="20"/>
      <c r="L1945" s="5">
        <f>Data!L1945</f>
        <v>0</v>
      </c>
      <c r="M1945" s="5"/>
      <c r="P1945" s="5"/>
      <c r="U1945" s="5"/>
    </row>
    <row r="1946" spans="10:21" x14ac:dyDescent="0.5">
      <c r="J1946" s="20"/>
      <c r="K1946" s="20"/>
      <c r="L1946" s="5">
        <f>Data!L1946</f>
        <v>0</v>
      </c>
      <c r="M1946" s="5"/>
      <c r="P1946" s="5"/>
      <c r="U1946" s="5"/>
    </row>
    <row r="1947" spans="10:21" x14ac:dyDescent="0.5">
      <c r="J1947" s="20"/>
      <c r="K1947" s="20"/>
      <c r="L1947" s="5">
        <f>Data!L1947</f>
        <v>0</v>
      </c>
      <c r="M1947" s="5"/>
      <c r="P1947" s="5"/>
      <c r="U1947" s="5"/>
    </row>
    <row r="1948" spans="10:21" x14ac:dyDescent="0.5">
      <c r="J1948" s="20"/>
      <c r="K1948" s="20"/>
      <c r="L1948" s="5">
        <f>Data!L1948</f>
        <v>0</v>
      </c>
      <c r="M1948" s="5"/>
      <c r="P1948" s="5"/>
      <c r="U1948" s="5"/>
    </row>
    <row r="1949" spans="10:21" x14ac:dyDescent="0.5">
      <c r="J1949" s="20"/>
      <c r="K1949" s="20"/>
      <c r="L1949" s="5">
        <f>Data!L1949</f>
        <v>0</v>
      </c>
      <c r="M1949" s="5"/>
      <c r="P1949" s="5"/>
      <c r="U1949" s="5"/>
    </row>
    <row r="1950" spans="10:21" x14ac:dyDescent="0.5">
      <c r="J1950" s="20"/>
      <c r="K1950" s="20"/>
      <c r="L1950" s="5">
        <f>Data!L1950</f>
        <v>0</v>
      </c>
      <c r="M1950" s="5"/>
      <c r="P1950" s="5"/>
      <c r="U1950" s="5"/>
    </row>
    <row r="1951" spans="10:21" x14ac:dyDescent="0.5">
      <c r="J1951" s="20"/>
      <c r="K1951" s="20"/>
      <c r="L1951" s="5">
        <f>Data!L1951</f>
        <v>0</v>
      </c>
      <c r="M1951" s="5"/>
      <c r="P1951" s="5"/>
      <c r="U1951" s="5"/>
    </row>
    <row r="1952" spans="10:21" x14ac:dyDescent="0.5">
      <c r="J1952" s="20"/>
      <c r="K1952" s="20"/>
      <c r="L1952" s="5">
        <f>Data!L1952</f>
        <v>0</v>
      </c>
      <c r="M1952" s="5"/>
      <c r="P1952" s="5"/>
      <c r="U1952" s="5"/>
    </row>
    <row r="1953" spans="10:21" x14ac:dyDescent="0.5">
      <c r="J1953" s="20"/>
      <c r="K1953" s="20"/>
      <c r="L1953" s="5">
        <f>Data!L1953</f>
        <v>0</v>
      </c>
      <c r="M1953" s="5"/>
      <c r="P1953" s="5"/>
      <c r="U1953" s="5"/>
    </row>
    <row r="1954" spans="10:21" x14ac:dyDescent="0.5">
      <c r="J1954" s="20"/>
      <c r="K1954" s="20"/>
      <c r="L1954" s="5">
        <f>Data!L1954</f>
        <v>0</v>
      </c>
      <c r="M1954" s="5"/>
      <c r="P1954" s="5"/>
      <c r="U1954" s="5"/>
    </row>
    <row r="1955" spans="10:21" x14ac:dyDescent="0.5">
      <c r="J1955" s="20"/>
      <c r="K1955" s="20"/>
      <c r="L1955" s="5">
        <f>Data!L1955</f>
        <v>0</v>
      </c>
      <c r="M1955" s="5"/>
      <c r="P1955" s="5"/>
      <c r="U1955" s="5"/>
    </row>
    <row r="1956" spans="10:21" x14ac:dyDescent="0.5">
      <c r="J1956" s="20"/>
      <c r="K1956" s="20"/>
      <c r="L1956" s="5">
        <f>Data!L1956</f>
        <v>0</v>
      </c>
      <c r="M1956" s="5"/>
      <c r="P1956" s="5"/>
      <c r="U1956" s="5"/>
    </row>
    <row r="1957" spans="10:21" x14ac:dyDescent="0.5">
      <c r="J1957" s="20"/>
      <c r="K1957" s="20"/>
      <c r="L1957" s="5">
        <f>Data!L1957</f>
        <v>0</v>
      </c>
      <c r="M1957" s="5"/>
      <c r="P1957" s="5"/>
      <c r="U1957" s="5"/>
    </row>
    <row r="1958" spans="10:21" x14ac:dyDescent="0.5">
      <c r="J1958" s="20"/>
      <c r="K1958" s="20"/>
      <c r="L1958" s="5">
        <f>Data!L1958</f>
        <v>0</v>
      </c>
      <c r="M1958" s="5"/>
      <c r="P1958" s="5"/>
      <c r="U1958" s="5"/>
    </row>
    <row r="1959" spans="10:21" x14ac:dyDescent="0.5">
      <c r="J1959" s="20"/>
      <c r="K1959" s="20"/>
      <c r="L1959" s="5">
        <f>Data!L1959</f>
        <v>0</v>
      </c>
      <c r="M1959" s="5"/>
      <c r="P1959" s="5"/>
      <c r="U1959" s="5"/>
    </row>
    <row r="1960" spans="10:21" x14ac:dyDescent="0.5">
      <c r="J1960" s="20"/>
      <c r="K1960" s="20"/>
      <c r="L1960" s="5">
        <f>Data!L1960</f>
        <v>0</v>
      </c>
      <c r="M1960" s="5"/>
      <c r="P1960" s="5"/>
      <c r="U1960" s="5"/>
    </row>
    <row r="1961" spans="10:21" x14ac:dyDescent="0.5">
      <c r="J1961" s="20"/>
      <c r="K1961" s="20"/>
      <c r="L1961" s="5">
        <f>Data!L1961</f>
        <v>0</v>
      </c>
      <c r="M1961" s="5"/>
      <c r="P1961" s="5"/>
      <c r="U1961" s="5"/>
    </row>
    <row r="1962" spans="10:21" x14ac:dyDescent="0.5">
      <c r="J1962" s="20"/>
      <c r="K1962" s="20"/>
      <c r="L1962" s="5">
        <f>Data!L1962</f>
        <v>0</v>
      </c>
      <c r="M1962" s="5"/>
      <c r="P1962" s="5"/>
      <c r="U1962" s="5"/>
    </row>
    <row r="1963" spans="10:21" x14ac:dyDescent="0.5">
      <c r="J1963" s="20"/>
      <c r="K1963" s="20"/>
      <c r="L1963" s="5">
        <f>Data!L1963</f>
        <v>0</v>
      </c>
      <c r="M1963" s="5"/>
      <c r="P1963" s="5"/>
      <c r="U1963" s="5"/>
    </row>
    <row r="1964" spans="10:21" x14ac:dyDescent="0.5">
      <c r="J1964" s="20"/>
      <c r="K1964" s="20"/>
      <c r="L1964" s="5">
        <f>Data!L1964</f>
        <v>0</v>
      </c>
      <c r="M1964" s="5"/>
      <c r="P1964" s="5"/>
      <c r="U1964" s="5"/>
    </row>
    <row r="1965" spans="10:21" x14ac:dyDescent="0.5">
      <c r="J1965" s="20"/>
      <c r="K1965" s="20"/>
      <c r="L1965" s="5">
        <f>Data!L1965</f>
        <v>0</v>
      </c>
      <c r="M1965" s="5"/>
      <c r="P1965" s="5"/>
      <c r="U1965" s="5"/>
    </row>
    <row r="1966" spans="10:21" x14ac:dyDescent="0.5">
      <c r="J1966" s="20"/>
      <c r="K1966" s="20"/>
      <c r="L1966" s="5">
        <f>Data!L1966</f>
        <v>0</v>
      </c>
      <c r="M1966" s="5"/>
      <c r="P1966" s="5"/>
      <c r="U1966" s="5"/>
    </row>
    <row r="1967" spans="10:21" x14ac:dyDescent="0.5">
      <c r="J1967" s="20"/>
      <c r="K1967" s="20"/>
      <c r="L1967" s="5">
        <f>Data!L1967</f>
        <v>0</v>
      </c>
      <c r="M1967" s="5"/>
      <c r="P1967" s="5"/>
      <c r="U1967" s="5"/>
    </row>
    <row r="1968" spans="10:21" x14ac:dyDescent="0.5">
      <c r="J1968" s="20"/>
      <c r="K1968" s="20"/>
      <c r="L1968" s="5">
        <f>Data!L1968</f>
        <v>0</v>
      </c>
      <c r="M1968" s="5"/>
      <c r="P1968" s="5"/>
      <c r="U1968" s="5"/>
    </row>
    <row r="1969" spans="10:21" x14ac:dyDescent="0.5">
      <c r="J1969" s="20"/>
      <c r="K1969" s="20"/>
      <c r="L1969" s="5">
        <f>Data!L1969</f>
        <v>0</v>
      </c>
      <c r="M1969" s="5"/>
      <c r="P1969" s="5"/>
      <c r="U1969" s="5"/>
    </row>
    <row r="1970" spans="10:21" x14ac:dyDescent="0.5">
      <c r="J1970" s="20"/>
      <c r="K1970" s="20"/>
      <c r="L1970" s="5">
        <f>Data!L1970</f>
        <v>0</v>
      </c>
      <c r="M1970" s="5"/>
      <c r="P1970" s="5"/>
      <c r="U1970" s="5"/>
    </row>
    <row r="1971" spans="10:21" x14ac:dyDescent="0.5">
      <c r="J1971" s="20"/>
      <c r="K1971" s="20"/>
      <c r="L1971" s="5">
        <f>Data!L1971</f>
        <v>0</v>
      </c>
      <c r="M1971" s="5"/>
      <c r="P1971" s="5"/>
      <c r="U1971" s="5"/>
    </row>
    <row r="1972" spans="10:21" x14ac:dyDescent="0.5">
      <c r="J1972" s="20"/>
      <c r="K1972" s="20"/>
      <c r="L1972" s="5">
        <f>Data!L1972</f>
        <v>0</v>
      </c>
      <c r="M1972" s="5"/>
      <c r="P1972" s="5"/>
      <c r="U1972" s="5"/>
    </row>
    <row r="1973" spans="10:21" x14ac:dyDescent="0.5">
      <c r="J1973" s="20"/>
      <c r="K1973" s="20"/>
      <c r="L1973" s="5">
        <f>Data!L1973</f>
        <v>0</v>
      </c>
      <c r="M1973" s="5"/>
      <c r="P1973" s="5"/>
      <c r="U1973" s="5"/>
    </row>
    <row r="1974" spans="10:21" x14ac:dyDescent="0.5">
      <c r="J1974" s="20"/>
      <c r="K1974" s="20"/>
      <c r="L1974" s="5">
        <f>Data!L1974</f>
        <v>0</v>
      </c>
      <c r="M1974" s="5"/>
      <c r="P1974" s="5"/>
      <c r="U1974" s="5"/>
    </row>
    <row r="1975" spans="10:21" x14ac:dyDescent="0.5">
      <c r="J1975" s="20"/>
      <c r="K1975" s="20"/>
      <c r="L1975" s="5">
        <f>Data!L1975</f>
        <v>0</v>
      </c>
      <c r="M1975" s="5"/>
      <c r="P1975" s="5"/>
      <c r="U1975" s="5"/>
    </row>
    <row r="1976" spans="10:21" x14ac:dyDescent="0.5">
      <c r="J1976" s="20"/>
      <c r="K1976" s="20"/>
      <c r="L1976" s="5">
        <f>Data!L1976</f>
        <v>0</v>
      </c>
      <c r="M1976" s="5"/>
      <c r="P1976" s="5"/>
      <c r="U1976" s="5"/>
    </row>
    <row r="1977" spans="10:21" x14ac:dyDescent="0.5">
      <c r="J1977" s="20"/>
      <c r="K1977" s="20"/>
      <c r="L1977" s="5">
        <f>Data!L1977</f>
        <v>0</v>
      </c>
      <c r="M1977" s="5"/>
      <c r="P1977" s="5"/>
      <c r="U1977" s="5"/>
    </row>
    <row r="1978" spans="10:21" x14ac:dyDescent="0.5">
      <c r="J1978" s="20"/>
      <c r="K1978" s="20"/>
      <c r="L1978" s="5">
        <f>Data!L1978</f>
        <v>0</v>
      </c>
      <c r="M1978" s="5"/>
      <c r="P1978" s="5"/>
      <c r="U1978" s="5"/>
    </row>
    <row r="1979" spans="10:21" x14ac:dyDescent="0.5">
      <c r="J1979" s="20"/>
      <c r="K1979" s="20"/>
      <c r="L1979" s="5">
        <f>Data!L1979</f>
        <v>0</v>
      </c>
      <c r="M1979" s="5"/>
      <c r="P1979" s="5"/>
      <c r="U1979" s="5"/>
    </row>
    <row r="1980" spans="10:21" x14ac:dyDescent="0.5">
      <c r="J1980" s="20"/>
      <c r="K1980" s="20"/>
      <c r="L1980" s="5">
        <f>Data!L1980</f>
        <v>0</v>
      </c>
      <c r="M1980" s="5"/>
      <c r="P1980" s="5"/>
      <c r="U1980" s="5"/>
    </row>
    <row r="1981" spans="10:21" x14ac:dyDescent="0.5">
      <c r="J1981" s="20"/>
      <c r="K1981" s="20"/>
      <c r="L1981" s="5">
        <f>Data!L1981</f>
        <v>0</v>
      </c>
      <c r="M1981" s="5"/>
      <c r="P1981" s="5"/>
      <c r="U1981" s="5"/>
    </row>
    <row r="1982" spans="10:21" x14ac:dyDescent="0.5">
      <c r="J1982" s="20"/>
      <c r="K1982" s="20"/>
      <c r="L1982" s="5">
        <f>Data!L1982</f>
        <v>0</v>
      </c>
      <c r="M1982" s="5"/>
      <c r="P1982" s="5"/>
      <c r="U1982" s="5"/>
    </row>
    <row r="1983" spans="10:21" x14ac:dyDescent="0.5">
      <c r="J1983" s="20"/>
      <c r="K1983" s="20"/>
      <c r="L1983" s="5">
        <f>Data!L1983</f>
        <v>0</v>
      </c>
      <c r="M1983" s="5"/>
      <c r="P1983" s="5"/>
      <c r="U1983" s="5"/>
    </row>
    <row r="1984" spans="10:21" x14ac:dyDescent="0.5">
      <c r="J1984" s="20"/>
      <c r="K1984" s="20"/>
      <c r="L1984" s="5">
        <f>Data!L1984</f>
        <v>0</v>
      </c>
      <c r="M1984" s="5"/>
      <c r="P1984" s="5"/>
      <c r="U1984" s="5"/>
    </row>
    <row r="1985" spans="10:21" x14ac:dyDescent="0.5">
      <c r="J1985" s="20"/>
      <c r="K1985" s="20"/>
      <c r="L1985" s="5">
        <f>Data!L1985</f>
        <v>0</v>
      </c>
      <c r="M1985" s="5"/>
      <c r="P1985" s="5"/>
      <c r="U1985" s="5"/>
    </row>
    <row r="1986" spans="10:21" x14ac:dyDescent="0.5">
      <c r="J1986" s="20"/>
      <c r="K1986" s="20"/>
      <c r="L1986" s="5">
        <f>Data!L1986</f>
        <v>0</v>
      </c>
      <c r="M1986" s="5"/>
      <c r="P1986" s="5"/>
      <c r="U1986" s="5"/>
    </row>
    <row r="1987" spans="10:21" x14ac:dyDescent="0.5">
      <c r="J1987" s="20"/>
      <c r="K1987" s="20"/>
      <c r="L1987" s="5">
        <f>Data!L1987</f>
        <v>0</v>
      </c>
      <c r="M1987" s="5"/>
      <c r="P1987" s="5"/>
      <c r="U1987" s="5"/>
    </row>
    <row r="1988" spans="10:21" x14ac:dyDescent="0.5">
      <c r="J1988" s="20"/>
      <c r="K1988" s="20"/>
      <c r="L1988" s="5">
        <f>Data!L1988</f>
        <v>0</v>
      </c>
      <c r="M1988" s="5"/>
      <c r="P1988" s="5"/>
      <c r="U1988" s="5"/>
    </row>
    <row r="1989" spans="10:21" x14ac:dyDescent="0.5">
      <c r="J1989" s="20"/>
      <c r="K1989" s="20"/>
      <c r="L1989" s="5">
        <f>Data!L1989</f>
        <v>0</v>
      </c>
      <c r="M1989" s="5"/>
      <c r="P1989" s="5"/>
      <c r="U1989" s="5"/>
    </row>
    <row r="1990" spans="10:21" x14ac:dyDescent="0.5">
      <c r="J1990" s="20"/>
      <c r="K1990" s="20"/>
      <c r="L1990" s="5">
        <f>Data!L1990</f>
        <v>0</v>
      </c>
      <c r="M1990" s="5"/>
      <c r="P1990" s="5"/>
      <c r="U1990" s="5"/>
    </row>
    <row r="1991" spans="10:21" x14ac:dyDescent="0.5">
      <c r="J1991" s="20"/>
      <c r="K1991" s="20"/>
      <c r="L1991" s="5">
        <f>Data!L1991</f>
        <v>0</v>
      </c>
      <c r="M1991" s="5"/>
      <c r="P1991" s="5"/>
      <c r="U1991" s="5"/>
    </row>
    <row r="1992" spans="10:21" x14ac:dyDescent="0.5">
      <c r="J1992" s="20"/>
      <c r="K1992" s="20"/>
      <c r="L1992" s="5">
        <f>Data!L1992</f>
        <v>0</v>
      </c>
      <c r="M1992" s="5"/>
      <c r="P1992" s="5"/>
      <c r="U1992" s="5"/>
    </row>
    <row r="1993" spans="10:21" x14ac:dyDescent="0.5">
      <c r="J1993" s="20"/>
      <c r="K1993" s="20"/>
      <c r="L1993" s="5">
        <f>Data!L1993</f>
        <v>0</v>
      </c>
      <c r="M1993" s="5"/>
      <c r="P1993" s="5"/>
      <c r="U1993" s="5"/>
    </row>
    <row r="1994" spans="10:21" x14ac:dyDescent="0.5">
      <c r="J1994" s="20"/>
      <c r="K1994" s="20"/>
      <c r="L1994" s="5">
        <f>Data!L1994</f>
        <v>0</v>
      </c>
      <c r="M1994" s="5"/>
      <c r="P1994" s="5"/>
      <c r="U1994" s="5"/>
    </row>
    <row r="1995" spans="10:21" x14ac:dyDescent="0.5">
      <c r="J1995" s="20"/>
      <c r="K1995" s="20"/>
      <c r="L1995" s="5">
        <f>Data!L1995</f>
        <v>0</v>
      </c>
      <c r="M1995" s="5"/>
      <c r="P1995" s="5"/>
      <c r="U1995" s="5"/>
    </row>
    <row r="1996" spans="10:21" x14ac:dyDescent="0.5">
      <c r="J1996" s="20"/>
      <c r="K1996" s="20"/>
      <c r="L1996" s="5">
        <f>Data!L1996</f>
        <v>0</v>
      </c>
      <c r="M1996" s="5"/>
      <c r="P1996" s="5"/>
      <c r="U1996" s="5"/>
    </row>
    <row r="1997" spans="10:21" x14ac:dyDescent="0.5">
      <c r="J1997" s="20"/>
      <c r="K1997" s="20"/>
      <c r="L1997" s="5">
        <f>Data!L1997</f>
        <v>0</v>
      </c>
      <c r="M1997" s="5"/>
      <c r="P1997" s="5"/>
      <c r="U1997" s="5"/>
    </row>
    <row r="1998" spans="10:21" x14ac:dyDescent="0.5">
      <c r="J1998" s="20"/>
      <c r="K1998" s="20"/>
      <c r="L1998" s="5">
        <f>Data!L1998</f>
        <v>0</v>
      </c>
      <c r="M1998" s="5"/>
      <c r="P1998" s="5"/>
      <c r="U1998" s="5"/>
    </row>
    <row r="1999" spans="10:21" x14ac:dyDescent="0.5">
      <c r="J1999" s="20"/>
      <c r="K1999" s="20"/>
      <c r="L1999" s="5">
        <f>Data!L1999</f>
        <v>0</v>
      </c>
      <c r="M1999" s="5"/>
      <c r="P1999" s="5"/>
      <c r="U1999" s="5"/>
    </row>
    <row r="2000" spans="10:21" x14ac:dyDescent="0.5">
      <c r="J2000" s="20"/>
      <c r="K2000" s="20"/>
      <c r="L2000" s="5">
        <f>Data!L2000</f>
        <v>0</v>
      </c>
      <c r="M2000" s="5"/>
      <c r="P2000" s="5"/>
      <c r="U2000" s="5"/>
    </row>
    <row r="2001" spans="10:21" x14ac:dyDescent="0.5">
      <c r="J2001" s="20"/>
      <c r="K2001" s="20"/>
      <c r="L2001" s="5">
        <f>Data!L2001</f>
        <v>0</v>
      </c>
      <c r="M2001" s="5"/>
      <c r="P2001" s="5"/>
      <c r="U2001" s="5"/>
    </row>
    <row r="2002" spans="10:21" x14ac:dyDescent="0.5">
      <c r="J2002" s="20"/>
      <c r="K2002" s="20"/>
      <c r="L2002" s="5">
        <f>Data!L2002</f>
        <v>0</v>
      </c>
      <c r="M2002" s="5"/>
      <c r="P2002" s="5"/>
      <c r="U2002" s="5"/>
    </row>
    <row r="2003" spans="10:21" x14ac:dyDescent="0.5">
      <c r="J2003" s="20"/>
      <c r="K2003" s="20"/>
      <c r="L2003" s="5">
        <f>Data!L2003</f>
        <v>0</v>
      </c>
      <c r="M2003" s="5"/>
      <c r="P2003" s="5"/>
      <c r="U2003" s="5"/>
    </row>
    <row r="2004" spans="10:21" x14ac:dyDescent="0.5">
      <c r="J2004" s="20"/>
      <c r="K2004" s="20"/>
      <c r="L2004" s="5">
        <f>Data!L2004</f>
        <v>0</v>
      </c>
      <c r="M2004" s="5"/>
      <c r="P2004" s="5"/>
      <c r="U2004" s="5"/>
    </row>
    <row r="2005" spans="10:21" x14ac:dyDescent="0.5">
      <c r="J2005" s="20"/>
      <c r="K2005" s="20"/>
      <c r="L2005" s="5">
        <f>Data!L2005</f>
        <v>0</v>
      </c>
      <c r="M2005" s="5"/>
      <c r="P2005" s="5"/>
      <c r="U2005" s="5"/>
    </row>
    <row r="2006" spans="10:21" x14ac:dyDescent="0.5">
      <c r="J2006" s="20"/>
      <c r="K2006" s="20"/>
      <c r="L2006" s="5">
        <f>Data!L2006</f>
        <v>0</v>
      </c>
      <c r="M2006" s="5"/>
      <c r="P2006" s="5"/>
      <c r="U2006" s="5"/>
    </row>
    <row r="2007" spans="10:21" x14ac:dyDescent="0.5">
      <c r="J2007" s="20"/>
      <c r="K2007" s="20"/>
      <c r="L2007" s="5">
        <f>Data!L2007</f>
        <v>0</v>
      </c>
      <c r="M2007" s="5"/>
      <c r="P2007" s="5"/>
      <c r="U2007" s="5"/>
    </row>
    <row r="2008" spans="10:21" x14ac:dyDescent="0.5">
      <c r="J2008" s="20"/>
      <c r="K2008" s="20"/>
      <c r="L2008" s="5">
        <f>Data!L2008</f>
        <v>0</v>
      </c>
      <c r="M2008" s="5"/>
      <c r="P2008" s="5"/>
      <c r="U2008" s="5"/>
    </row>
    <row r="2009" spans="10:21" x14ac:dyDescent="0.5">
      <c r="J2009" s="20"/>
      <c r="K2009" s="20"/>
      <c r="L2009" s="5">
        <f>Data!L2009</f>
        <v>0</v>
      </c>
      <c r="M2009" s="5"/>
      <c r="P2009" s="5"/>
      <c r="U2009" s="5"/>
    </row>
    <row r="2010" spans="10:21" x14ac:dyDescent="0.5">
      <c r="J2010" s="20"/>
      <c r="K2010" s="20"/>
      <c r="L2010" s="5">
        <f>Data!L2010</f>
        <v>0</v>
      </c>
      <c r="M2010" s="5"/>
      <c r="P2010" s="5"/>
      <c r="U2010" s="5"/>
    </row>
    <row r="2011" spans="10:21" x14ac:dyDescent="0.5">
      <c r="J2011" s="20"/>
      <c r="K2011" s="20"/>
      <c r="L2011" s="5">
        <f>Data!L2011</f>
        <v>0</v>
      </c>
      <c r="M2011" s="5"/>
      <c r="P2011" s="5"/>
      <c r="U2011" s="5"/>
    </row>
    <row r="2012" spans="10:21" x14ac:dyDescent="0.5">
      <c r="J2012" s="20"/>
      <c r="K2012" s="20"/>
      <c r="L2012" s="5">
        <f>Data!L2012</f>
        <v>0</v>
      </c>
      <c r="M2012" s="5"/>
      <c r="P2012" s="5"/>
      <c r="U2012" s="5"/>
    </row>
    <row r="2013" spans="10:21" x14ac:dyDescent="0.5">
      <c r="J2013" s="20"/>
      <c r="K2013" s="20"/>
      <c r="L2013" s="5">
        <f>Data!L2013</f>
        <v>0</v>
      </c>
      <c r="M2013" s="5"/>
      <c r="P2013" s="5"/>
      <c r="U2013" s="5"/>
    </row>
    <row r="2014" spans="10:21" x14ac:dyDescent="0.5">
      <c r="J2014" s="20"/>
      <c r="K2014" s="20"/>
      <c r="L2014" s="5">
        <f>Data!L2014</f>
        <v>0</v>
      </c>
      <c r="M2014" s="5"/>
      <c r="P2014" s="5"/>
      <c r="U2014" s="5"/>
    </row>
    <row r="2015" spans="10:21" x14ac:dyDescent="0.5">
      <c r="J2015" s="20"/>
      <c r="K2015" s="20"/>
      <c r="L2015" s="5">
        <f>Data!L2015</f>
        <v>0</v>
      </c>
      <c r="M2015" s="5"/>
      <c r="P2015" s="5"/>
      <c r="U2015" s="5"/>
    </row>
    <row r="2016" spans="10:21" x14ac:dyDescent="0.5">
      <c r="J2016" s="20"/>
      <c r="K2016" s="20"/>
      <c r="L2016" s="5">
        <f>Data!L2016</f>
        <v>0</v>
      </c>
      <c r="M2016" s="5"/>
      <c r="P2016" s="5"/>
      <c r="U2016" s="5"/>
    </row>
    <row r="2017" spans="10:21" x14ac:dyDescent="0.5">
      <c r="J2017" s="20"/>
      <c r="K2017" s="20"/>
      <c r="L2017" s="5">
        <f>Data!L2017</f>
        <v>0</v>
      </c>
      <c r="M2017" s="5"/>
      <c r="P2017" s="5"/>
      <c r="U2017" s="5"/>
    </row>
    <row r="2018" spans="10:21" x14ac:dyDescent="0.5">
      <c r="J2018" s="20"/>
      <c r="K2018" s="20"/>
      <c r="L2018" s="5">
        <f>Data!L2018</f>
        <v>0</v>
      </c>
      <c r="M2018" s="5"/>
      <c r="P2018" s="5"/>
      <c r="U2018" s="5"/>
    </row>
    <row r="2019" spans="10:21" x14ac:dyDescent="0.5">
      <c r="J2019" s="20"/>
      <c r="K2019" s="20"/>
      <c r="L2019" s="5">
        <f>Data!L2019</f>
        <v>0</v>
      </c>
      <c r="M2019" s="5"/>
      <c r="P2019" s="5"/>
      <c r="U2019" s="5"/>
    </row>
    <row r="2020" spans="10:21" x14ac:dyDescent="0.5">
      <c r="J2020" s="20"/>
      <c r="K2020" s="20"/>
      <c r="L2020" s="5">
        <f>Data!L2020</f>
        <v>0</v>
      </c>
      <c r="M2020" s="5"/>
      <c r="P2020" s="5"/>
      <c r="U2020" s="5"/>
    </row>
    <row r="2021" spans="10:21" x14ac:dyDescent="0.5">
      <c r="J2021" s="20"/>
      <c r="K2021" s="20"/>
      <c r="L2021" s="5">
        <f>Data!L2021</f>
        <v>0</v>
      </c>
      <c r="M2021" s="5"/>
      <c r="P2021" s="5"/>
      <c r="U2021" s="5"/>
    </row>
    <row r="2022" spans="10:21" x14ac:dyDescent="0.5">
      <c r="J2022" s="20"/>
      <c r="K2022" s="20"/>
      <c r="L2022" s="5">
        <f>Data!L2022</f>
        <v>0</v>
      </c>
      <c r="M2022" s="5"/>
      <c r="P2022" s="5"/>
      <c r="U2022" s="5"/>
    </row>
    <row r="2023" spans="10:21" x14ac:dyDescent="0.5">
      <c r="J2023" s="20"/>
      <c r="K2023" s="20"/>
      <c r="L2023" s="5">
        <f>Data!L2023</f>
        <v>0</v>
      </c>
      <c r="M2023" s="5"/>
      <c r="P2023" s="5"/>
      <c r="U2023" s="5"/>
    </row>
    <row r="2024" spans="10:21" x14ac:dyDescent="0.5">
      <c r="J2024" s="20"/>
      <c r="K2024" s="20"/>
      <c r="L2024" s="5">
        <f>Data!L2024</f>
        <v>0</v>
      </c>
      <c r="M2024" s="5"/>
      <c r="P2024" s="5"/>
      <c r="U2024" s="5"/>
    </row>
    <row r="2025" spans="10:21" x14ac:dyDescent="0.5">
      <c r="J2025" s="20"/>
      <c r="K2025" s="20"/>
      <c r="L2025" s="5">
        <f>Data!L2025</f>
        <v>0</v>
      </c>
      <c r="M2025" s="5"/>
      <c r="P2025" s="5"/>
      <c r="U2025" s="5"/>
    </row>
    <row r="2026" spans="10:21" x14ac:dyDescent="0.5">
      <c r="J2026" s="20"/>
      <c r="K2026" s="20"/>
      <c r="L2026" s="5">
        <f>Data!L2026</f>
        <v>0</v>
      </c>
      <c r="M2026" s="5"/>
      <c r="P2026" s="5"/>
      <c r="U2026" s="5"/>
    </row>
    <row r="2027" spans="10:21" x14ac:dyDescent="0.5">
      <c r="J2027" s="20"/>
      <c r="K2027" s="20"/>
      <c r="L2027" s="5">
        <f>Data!L2027</f>
        <v>0</v>
      </c>
      <c r="M2027" s="5"/>
      <c r="P2027" s="5"/>
      <c r="U2027" s="5"/>
    </row>
    <row r="2028" spans="10:21" x14ac:dyDescent="0.5">
      <c r="J2028" s="20"/>
      <c r="K2028" s="20"/>
      <c r="L2028" s="5">
        <f>Data!L2028</f>
        <v>0</v>
      </c>
      <c r="M2028" s="5"/>
      <c r="P2028" s="5"/>
      <c r="U2028" s="5"/>
    </row>
    <row r="2029" spans="10:21" x14ac:dyDescent="0.5">
      <c r="J2029" s="20"/>
      <c r="K2029" s="20"/>
      <c r="L2029" s="5">
        <f>Data!L2029</f>
        <v>0</v>
      </c>
      <c r="M2029" s="5"/>
      <c r="P2029" s="5"/>
      <c r="U2029" s="5"/>
    </row>
    <row r="2030" spans="10:21" x14ac:dyDescent="0.5">
      <c r="J2030" s="20"/>
      <c r="K2030" s="20"/>
      <c r="L2030" s="5">
        <f>Data!L2030</f>
        <v>0</v>
      </c>
      <c r="M2030" s="5"/>
      <c r="P2030" s="5"/>
      <c r="U2030" s="5"/>
    </row>
    <row r="2031" spans="10:21" x14ac:dyDescent="0.5">
      <c r="J2031" s="20"/>
      <c r="K2031" s="20"/>
      <c r="L2031" s="5">
        <f>Data!L2031</f>
        <v>0</v>
      </c>
      <c r="M2031" s="5"/>
      <c r="P2031" s="5"/>
      <c r="U2031" s="5"/>
    </row>
    <row r="2032" spans="10:21" x14ac:dyDescent="0.5">
      <c r="J2032" s="20"/>
      <c r="K2032" s="20"/>
      <c r="L2032" s="5">
        <f>Data!L2032</f>
        <v>0</v>
      </c>
      <c r="M2032" s="5"/>
      <c r="P2032" s="5"/>
      <c r="U2032" s="5"/>
    </row>
    <row r="2033" spans="10:21" x14ac:dyDescent="0.5">
      <c r="J2033" s="20"/>
      <c r="K2033" s="20"/>
      <c r="L2033" s="5">
        <f>Data!L2033</f>
        <v>0</v>
      </c>
      <c r="M2033" s="5"/>
      <c r="P2033" s="5"/>
      <c r="U2033" s="5"/>
    </row>
    <row r="2034" spans="10:21" x14ac:dyDescent="0.5">
      <c r="J2034" s="20"/>
      <c r="K2034" s="20"/>
      <c r="L2034" s="5">
        <f>Data!L2034</f>
        <v>0</v>
      </c>
      <c r="M2034" s="5"/>
      <c r="P2034" s="5"/>
      <c r="U2034" s="5"/>
    </row>
    <row r="2035" spans="10:21" x14ac:dyDescent="0.5">
      <c r="J2035" s="20"/>
      <c r="K2035" s="20"/>
      <c r="L2035" s="5">
        <f>Data!L2035</f>
        <v>0</v>
      </c>
      <c r="M2035" s="5"/>
      <c r="P2035" s="5"/>
      <c r="U2035" s="5"/>
    </row>
    <row r="2036" spans="10:21" x14ac:dyDescent="0.5">
      <c r="J2036" s="20"/>
      <c r="K2036" s="20"/>
      <c r="L2036" s="5">
        <f>Data!L2036</f>
        <v>0</v>
      </c>
      <c r="M2036" s="5"/>
      <c r="P2036" s="5"/>
      <c r="U2036" s="5"/>
    </row>
    <row r="2037" spans="10:21" x14ac:dyDescent="0.5">
      <c r="J2037" s="20"/>
      <c r="K2037" s="20"/>
      <c r="L2037" s="5">
        <f>Data!L2037</f>
        <v>0</v>
      </c>
      <c r="M2037" s="5"/>
      <c r="P2037" s="5"/>
      <c r="U2037" s="5"/>
    </row>
    <row r="2038" spans="10:21" x14ac:dyDescent="0.5">
      <c r="J2038" s="20"/>
      <c r="K2038" s="20"/>
      <c r="L2038" s="5">
        <f>Data!L2038</f>
        <v>0</v>
      </c>
      <c r="M2038" s="5"/>
      <c r="P2038" s="5"/>
      <c r="U2038" s="5"/>
    </row>
    <row r="2039" spans="10:21" x14ac:dyDescent="0.5">
      <c r="J2039" s="20"/>
      <c r="K2039" s="20"/>
      <c r="L2039" s="5">
        <f>Data!L2039</f>
        <v>0</v>
      </c>
      <c r="M2039" s="5"/>
      <c r="P2039" s="5"/>
      <c r="U2039" s="5"/>
    </row>
    <row r="2040" spans="10:21" x14ac:dyDescent="0.5">
      <c r="J2040" s="20"/>
      <c r="K2040" s="20"/>
      <c r="L2040" s="5">
        <f>Data!L2040</f>
        <v>0</v>
      </c>
      <c r="M2040" s="5"/>
      <c r="P2040" s="5"/>
      <c r="U2040" s="5"/>
    </row>
    <row r="2041" spans="10:21" x14ac:dyDescent="0.5">
      <c r="J2041" s="20"/>
      <c r="K2041" s="20"/>
      <c r="L2041" s="5">
        <f>Data!L2041</f>
        <v>0</v>
      </c>
      <c r="M2041" s="5"/>
      <c r="P2041" s="5"/>
      <c r="U2041" s="5"/>
    </row>
    <row r="2042" spans="10:21" x14ac:dyDescent="0.5">
      <c r="J2042" s="20"/>
      <c r="K2042" s="20"/>
      <c r="L2042" s="5">
        <f>Data!L2042</f>
        <v>0</v>
      </c>
      <c r="M2042" s="5"/>
      <c r="P2042" s="5"/>
      <c r="U2042" s="5"/>
    </row>
    <row r="2043" spans="10:21" x14ac:dyDescent="0.5">
      <c r="J2043" s="20"/>
      <c r="K2043" s="20"/>
      <c r="L2043" s="5">
        <f>Data!L2043</f>
        <v>0</v>
      </c>
      <c r="M2043" s="5"/>
      <c r="P2043" s="5"/>
      <c r="U2043" s="5"/>
    </row>
    <row r="2044" spans="10:21" x14ac:dyDescent="0.5">
      <c r="J2044" s="20"/>
      <c r="K2044" s="20"/>
      <c r="L2044" s="5">
        <f>Data!L2044</f>
        <v>0</v>
      </c>
      <c r="M2044" s="5"/>
      <c r="P2044" s="5"/>
      <c r="U2044" s="5"/>
    </row>
    <row r="2045" spans="10:21" x14ac:dyDescent="0.5">
      <c r="J2045" s="20"/>
      <c r="K2045" s="20"/>
      <c r="L2045" s="5">
        <f>Data!L2045</f>
        <v>0</v>
      </c>
      <c r="M2045" s="5"/>
      <c r="P2045" s="5"/>
      <c r="U2045" s="5"/>
    </row>
    <row r="2046" spans="10:21" x14ac:dyDescent="0.5">
      <c r="J2046" s="20"/>
      <c r="K2046" s="20"/>
      <c r="L2046" s="5">
        <f>Data!L2046</f>
        <v>0</v>
      </c>
      <c r="M2046" s="5"/>
      <c r="P2046" s="5"/>
      <c r="U2046" s="5"/>
    </row>
    <row r="2047" spans="10:21" x14ac:dyDescent="0.5">
      <c r="J2047" s="20"/>
      <c r="K2047" s="20"/>
      <c r="L2047" s="5">
        <f>Data!L2047</f>
        <v>0</v>
      </c>
      <c r="M2047" s="5"/>
      <c r="P2047" s="5"/>
      <c r="U2047" s="5"/>
    </row>
    <row r="2048" spans="10:21" x14ac:dyDescent="0.5">
      <c r="J2048" s="20"/>
      <c r="K2048" s="20"/>
      <c r="L2048" s="5">
        <f>Data!L2048</f>
        <v>0</v>
      </c>
      <c r="M2048" s="5"/>
      <c r="P2048" s="5"/>
      <c r="U2048" s="5"/>
    </row>
    <row r="2049" spans="10:21" x14ac:dyDescent="0.5">
      <c r="J2049" s="20"/>
      <c r="K2049" s="20"/>
      <c r="L2049" s="5">
        <f>Data!L2049</f>
        <v>0</v>
      </c>
      <c r="M2049" s="5"/>
      <c r="P2049" s="5"/>
      <c r="U2049" s="5"/>
    </row>
    <row r="2050" spans="10:21" x14ac:dyDescent="0.5">
      <c r="J2050" s="20"/>
      <c r="K2050" s="20"/>
      <c r="L2050" s="5">
        <f>Data!L2050</f>
        <v>0</v>
      </c>
      <c r="M2050" s="5"/>
      <c r="P2050" s="5"/>
      <c r="U2050" s="5"/>
    </row>
    <row r="2051" spans="10:21" x14ac:dyDescent="0.5">
      <c r="J2051" s="20"/>
      <c r="K2051" s="20"/>
      <c r="L2051" s="5">
        <f>Data!L2051</f>
        <v>0</v>
      </c>
      <c r="M2051" s="5"/>
      <c r="P2051" s="5"/>
      <c r="U2051" s="5"/>
    </row>
    <row r="2052" spans="10:21" x14ac:dyDescent="0.5">
      <c r="J2052" s="20"/>
      <c r="K2052" s="20"/>
      <c r="L2052" s="5">
        <f>Data!L2052</f>
        <v>0</v>
      </c>
      <c r="M2052" s="5"/>
      <c r="P2052" s="5"/>
      <c r="U2052" s="5"/>
    </row>
    <row r="2053" spans="10:21" x14ac:dyDescent="0.5">
      <c r="J2053" s="20"/>
      <c r="K2053" s="20"/>
      <c r="L2053" s="5">
        <f>Data!L2053</f>
        <v>0</v>
      </c>
      <c r="M2053" s="5"/>
      <c r="P2053" s="5"/>
      <c r="U2053" s="5"/>
    </row>
    <row r="2054" spans="10:21" x14ac:dyDescent="0.5">
      <c r="J2054" s="20"/>
      <c r="K2054" s="20"/>
      <c r="L2054" s="5">
        <f>Data!L2054</f>
        <v>0</v>
      </c>
      <c r="M2054" s="5"/>
      <c r="P2054" s="5"/>
      <c r="U2054" s="5"/>
    </row>
    <row r="2055" spans="10:21" x14ac:dyDescent="0.5">
      <c r="J2055" s="20"/>
      <c r="K2055" s="20"/>
      <c r="L2055" s="5">
        <f>Data!L2055</f>
        <v>0</v>
      </c>
      <c r="M2055" s="5"/>
      <c r="P2055" s="5"/>
      <c r="U2055" s="5"/>
    </row>
    <row r="2056" spans="10:21" x14ac:dyDescent="0.5">
      <c r="J2056" s="20"/>
      <c r="K2056" s="20"/>
      <c r="L2056" s="5">
        <f>Data!L2056</f>
        <v>0</v>
      </c>
      <c r="M2056" s="5"/>
      <c r="P2056" s="5"/>
      <c r="U2056" s="5"/>
    </row>
    <row r="2057" spans="10:21" x14ac:dyDescent="0.5">
      <c r="J2057" s="20"/>
      <c r="K2057" s="20"/>
      <c r="L2057" s="5">
        <f>Data!L2057</f>
        <v>0</v>
      </c>
      <c r="M2057" s="5"/>
      <c r="P2057" s="5"/>
      <c r="U2057" s="5"/>
    </row>
    <row r="2058" spans="10:21" x14ac:dyDescent="0.5">
      <c r="J2058" s="20"/>
      <c r="K2058" s="20"/>
      <c r="L2058" s="5">
        <f>Data!L2058</f>
        <v>0</v>
      </c>
      <c r="M2058" s="5"/>
      <c r="P2058" s="5"/>
      <c r="U2058" s="5"/>
    </row>
    <row r="2059" spans="10:21" x14ac:dyDescent="0.5">
      <c r="J2059" s="20"/>
      <c r="K2059" s="20"/>
      <c r="L2059" s="5">
        <f>Data!L2059</f>
        <v>0</v>
      </c>
      <c r="M2059" s="5"/>
      <c r="P2059" s="5"/>
      <c r="U2059" s="5"/>
    </row>
    <row r="2060" spans="10:21" x14ac:dyDescent="0.5">
      <c r="J2060" s="20"/>
      <c r="K2060" s="20"/>
      <c r="L2060" s="5">
        <f>Data!L2060</f>
        <v>0</v>
      </c>
      <c r="M2060" s="5"/>
      <c r="P2060" s="5"/>
      <c r="U2060" s="5"/>
    </row>
    <row r="2061" spans="10:21" x14ac:dyDescent="0.5">
      <c r="J2061" s="20"/>
      <c r="K2061" s="20"/>
      <c r="L2061" s="5">
        <f>Data!L2061</f>
        <v>0</v>
      </c>
      <c r="M2061" s="5"/>
      <c r="P2061" s="5"/>
      <c r="U2061" s="5"/>
    </row>
    <row r="2062" spans="10:21" x14ac:dyDescent="0.5">
      <c r="J2062" s="20"/>
      <c r="K2062" s="20"/>
      <c r="L2062" s="5">
        <f>Data!L2062</f>
        <v>0</v>
      </c>
      <c r="M2062" s="5"/>
      <c r="P2062" s="5"/>
      <c r="U2062" s="5"/>
    </row>
    <row r="2063" spans="10:21" x14ac:dyDescent="0.5">
      <c r="J2063" s="20"/>
      <c r="K2063" s="20"/>
      <c r="L2063" s="5">
        <f>Data!L2063</f>
        <v>0</v>
      </c>
      <c r="M2063" s="5"/>
      <c r="P2063" s="5"/>
      <c r="U2063" s="5"/>
    </row>
    <row r="2064" spans="10:21" x14ac:dyDescent="0.5">
      <c r="J2064" s="20"/>
      <c r="K2064" s="20"/>
      <c r="L2064" s="5">
        <f>Data!L2064</f>
        <v>0</v>
      </c>
      <c r="M2064" s="5"/>
      <c r="P2064" s="5"/>
      <c r="U2064" s="5"/>
    </row>
    <row r="2065" spans="10:21" x14ac:dyDescent="0.5">
      <c r="J2065" s="20"/>
      <c r="K2065" s="20"/>
      <c r="L2065" s="5">
        <f>Data!L2065</f>
        <v>0</v>
      </c>
      <c r="M2065" s="5"/>
      <c r="P2065" s="5"/>
      <c r="U2065" s="5"/>
    </row>
    <row r="2066" spans="10:21" x14ac:dyDescent="0.5">
      <c r="J2066" s="20"/>
      <c r="K2066" s="20"/>
      <c r="L2066" s="5">
        <f>Data!L2066</f>
        <v>0</v>
      </c>
      <c r="M2066" s="5"/>
      <c r="P2066" s="5"/>
      <c r="U2066" s="5"/>
    </row>
    <row r="2067" spans="10:21" x14ac:dyDescent="0.5">
      <c r="J2067" s="20"/>
      <c r="K2067" s="20"/>
      <c r="L2067" s="5">
        <f>Data!L2067</f>
        <v>0</v>
      </c>
      <c r="M2067" s="5"/>
      <c r="P2067" s="5"/>
      <c r="U2067" s="5"/>
    </row>
    <row r="2068" spans="10:21" x14ac:dyDescent="0.5">
      <c r="J2068" s="20"/>
      <c r="K2068" s="20"/>
      <c r="L2068" s="5">
        <f>Data!L2068</f>
        <v>0</v>
      </c>
      <c r="M2068" s="5"/>
      <c r="P2068" s="5"/>
      <c r="U2068" s="5"/>
    </row>
    <row r="2069" spans="10:21" x14ac:dyDescent="0.5">
      <c r="J2069" s="20"/>
      <c r="K2069" s="20"/>
      <c r="L2069" s="5">
        <f>Data!L2069</f>
        <v>0</v>
      </c>
      <c r="M2069" s="5"/>
      <c r="P2069" s="5"/>
      <c r="U2069" s="5"/>
    </row>
    <row r="2070" spans="10:21" x14ac:dyDescent="0.5">
      <c r="J2070" s="20"/>
      <c r="K2070" s="20"/>
      <c r="L2070" s="5">
        <f>Data!L2070</f>
        <v>0</v>
      </c>
      <c r="M2070" s="5"/>
      <c r="P2070" s="5"/>
      <c r="U2070" s="5"/>
    </row>
    <row r="2071" spans="10:21" x14ac:dyDescent="0.5">
      <c r="J2071" s="20"/>
      <c r="K2071" s="20"/>
      <c r="L2071" s="5">
        <f>Data!L2071</f>
        <v>0</v>
      </c>
      <c r="M2071" s="5"/>
      <c r="P2071" s="5"/>
      <c r="U2071" s="5"/>
    </row>
    <row r="2072" spans="10:21" x14ac:dyDescent="0.5">
      <c r="J2072" s="20"/>
      <c r="K2072" s="20"/>
      <c r="L2072" s="5">
        <f>Data!L2072</f>
        <v>0</v>
      </c>
      <c r="M2072" s="5"/>
      <c r="P2072" s="5"/>
      <c r="U2072" s="5"/>
    </row>
    <row r="2073" spans="10:21" x14ac:dyDescent="0.5">
      <c r="J2073" s="20"/>
      <c r="K2073" s="20"/>
      <c r="L2073" s="5">
        <f>Data!L2073</f>
        <v>0</v>
      </c>
      <c r="M2073" s="5"/>
      <c r="P2073" s="5"/>
      <c r="U2073" s="5"/>
    </row>
    <row r="2074" spans="10:21" x14ac:dyDescent="0.5">
      <c r="J2074" s="20"/>
      <c r="K2074" s="20"/>
      <c r="L2074" s="5">
        <f>Data!L2074</f>
        <v>0</v>
      </c>
      <c r="M2074" s="5"/>
      <c r="P2074" s="5"/>
      <c r="U2074" s="5"/>
    </row>
    <row r="2075" spans="10:21" x14ac:dyDescent="0.5">
      <c r="J2075" s="20"/>
      <c r="K2075" s="20"/>
      <c r="L2075" s="5">
        <f>Data!L2075</f>
        <v>0</v>
      </c>
      <c r="M2075" s="5"/>
      <c r="P2075" s="5"/>
      <c r="U2075" s="5"/>
    </row>
    <row r="2076" spans="10:21" x14ac:dyDescent="0.5">
      <c r="J2076" s="20"/>
      <c r="K2076" s="20"/>
      <c r="L2076" s="5">
        <f>Data!L2076</f>
        <v>0</v>
      </c>
      <c r="M2076" s="5"/>
      <c r="P2076" s="5"/>
      <c r="U2076" s="5"/>
    </row>
    <row r="2077" spans="10:21" x14ac:dyDescent="0.5">
      <c r="J2077" s="20"/>
      <c r="K2077" s="20"/>
      <c r="L2077" s="5">
        <f>Data!L2077</f>
        <v>0</v>
      </c>
      <c r="M2077" s="5"/>
      <c r="P2077" s="5"/>
      <c r="U2077" s="5"/>
    </row>
    <row r="2078" spans="10:21" x14ac:dyDescent="0.5">
      <c r="J2078" s="20"/>
      <c r="K2078" s="20"/>
      <c r="L2078" s="5">
        <f>Data!L2078</f>
        <v>0</v>
      </c>
      <c r="M2078" s="5"/>
      <c r="P2078" s="5"/>
      <c r="U2078" s="5"/>
    </row>
    <row r="2079" spans="10:21" x14ac:dyDescent="0.5">
      <c r="J2079" s="20"/>
      <c r="K2079" s="20"/>
      <c r="L2079" s="5">
        <f>Data!L2079</f>
        <v>0</v>
      </c>
      <c r="M2079" s="5"/>
      <c r="P2079" s="5"/>
      <c r="U2079" s="5"/>
    </row>
    <row r="2080" spans="10:21" x14ac:dyDescent="0.5">
      <c r="J2080" s="20"/>
      <c r="K2080" s="20"/>
      <c r="L2080" s="5">
        <f>Data!L2080</f>
        <v>0</v>
      </c>
      <c r="M2080" s="5"/>
      <c r="P2080" s="5"/>
      <c r="U2080" s="5"/>
    </row>
    <row r="2081" spans="10:21" x14ac:dyDescent="0.5">
      <c r="J2081" s="20"/>
      <c r="K2081" s="20"/>
      <c r="L2081" s="5">
        <f>Data!L2081</f>
        <v>0</v>
      </c>
      <c r="M2081" s="5"/>
      <c r="P2081" s="5"/>
      <c r="U2081" s="5"/>
    </row>
    <row r="2082" spans="10:21" x14ac:dyDescent="0.5">
      <c r="J2082" s="20"/>
      <c r="K2082" s="20"/>
      <c r="L2082" s="5">
        <f>Data!L2082</f>
        <v>0</v>
      </c>
      <c r="M2082" s="5"/>
      <c r="P2082" s="5"/>
      <c r="U2082" s="5"/>
    </row>
    <row r="2083" spans="10:21" x14ac:dyDescent="0.5">
      <c r="J2083" s="20"/>
      <c r="K2083" s="20"/>
      <c r="L2083" s="5">
        <f>Data!L2083</f>
        <v>0</v>
      </c>
      <c r="M2083" s="5"/>
      <c r="P2083" s="5"/>
      <c r="U2083" s="5"/>
    </row>
    <row r="2084" spans="10:21" x14ac:dyDescent="0.5">
      <c r="J2084" s="20"/>
      <c r="K2084" s="20"/>
      <c r="L2084" s="5">
        <f>Data!L2084</f>
        <v>0</v>
      </c>
      <c r="M2084" s="5"/>
      <c r="P2084" s="5"/>
      <c r="U2084" s="5"/>
    </row>
    <row r="2085" spans="10:21" x14ac:dyDescent="0.5">
      <c r="J2085" s="20"/>
      <c r="K2085" s="20"/>
      <c r="L2085" s="5">
        <f>Data!L2085</f>
        <v>0</v>
      </c>
      <c r="M2085" s="5"/>
      <c r="P2085" s="5"/>
      <c r="U2085" s="5"/>
    </row>
    <row r="2086" spans="10:21" x14ac:dyDescent="0.5">
      <c r="J2086" s="20"/>
      <c r="K2086" s="20"/>
      <c r="L2086" s="5">
        <f>Data!L2086</f>
        <v>0</v>
      </c>
      <c r="M2086" s="5"/>
      <c r="P2086" s="5"/>
      <c r="U2086" s="5"/>
    </row>
    <row r="2087" spans="10:21" x14ac:dyDescent="0.5">
      <c r="J2087" s="20"/>
      <c r="K2087" s="20"/>
      <c r="L2087" s="5">
        <f>Data!L2087</f>
        <v>0</v>
      </c>
      <c r="M2087" s="5"/>
      <c r="P2087" s="5"/>
      <c r="U2087" s="5"/>
    </row>
    <row r="2088" spans="10:21" x14ac:dyDescent="0.5">
      <c r="J2088" s="20"/>
      <c r="K2088" s="20"/>
      <c r="L2088" s="5">
        <f>Data!L2088</f>
        <v>0</v>
      </c>
      <c r="M2088" s="5"/>
      <c r="P2088" s="5"/>
      <c r="U2088" s="5"/>
    </row>
    <row r="2089" spans="10:21" x14ac:dyDescent="0.5">
      <c r="J2089" s="20"/>
      <c r="K2089" s="20"/>
      <c r="L2089" s="5">
        <f>Data!L2089</f>
        <v>0</v>
      </c>
      <c r="M2089" s="5"/>
      <c r="P2089" s="5"/>
      <c r="U2089" s="5"/>
    </row>
    <row r="2090" spans="10:21" x14ac:dyDescent="0.5">
      <c r="J2090" s="20"/>
      <c r="K2090" s="20"/>
      <c r="L2090" s="5">
        <f>Data!L2090</f>
        <v>0</v>
      </c>
      <c r="M2090" s="5"/>
      <c r="P2090" s="5"/>
      <c r="U2090" s="5"/>
    </row>
    <row r="2091" spans="10:21" x14ac:dyDescent="0.5">
      <c r="J2091" s="20"/>
      <c r="K2091" s="20"/>
      <c r="L2091" s="5">
        <f>Data!L2091</f>
        <v>0</v>
      </c>
      <c r="M2091" s="5"/>
      <c r="P2091" s="5"/>
      <c r="U2091" s="5"/>
    </row>
    <row r="2092" spans="10:21" x14ac:dyDescent="0.5">
      <c r="J2092" s="20"/>
      <c r="K2092" s="20"/>
      <c r="L2092" s="5">
        <f>Data!L2092</f>
        <v>0</v>
      </c>
      <c r="M2092" s="5"/>
      <c r="P2092" s="5"/>
      <c r="U2092" s="5"/>
    </row>
    <row r="2093" spans="10:21" x14ac:dyDescent="0.5">
      <c r="J2093" s="20"/>
      <c r="K2093" s="20"/>
      <c r="L2093" s="5">
        <f>Data!L2093</f>
        <v>0</v>
      </c>
      <c r="M2093" s="5"/>
      <c r="P2093" s="5"/>
      <c r="U2093" s="5"/>
    </row>
    <row r="2094" spans="10:21" x14ac:dyDescent="0.5">
      <c r="J2094" s="20"/>
      <c r="K2094" s="20"/>
      <c r="L2094" s="5">
        <f>Data!L2094</f>
        <v>0</v>
      </c>
      <c r="M2094" s="5"/>
      <c r="P2094" s="5"/>
      <c r="U2094" s="5"/>
    </row>
    <row r="2095" spans="10:21" x14ac:dyDescent="0.5">
      <c r="J2095" s="20"/>
      <c r="K2095" s="20"/>
      <c r="L2095" s="5">
        <f>Data!L2095</f>
        <v>0</v>
      </c>
      <c r="M2095" s="5"/>
      <c r="P2095" s="5"/>
      <c r="U2095" s="5"/>
    </row>
    <row r="2096" spans="10:21" x14ac:dyDescent="0.5">
      <c r="J2096" s="20"/>
      <c r="K2096" s="20"/>
      <c r="L2096" s="5">
        <f>Data!L2096</f>
        <v>0</v>
      </c>
      <c r="M2096" s="5"/>
      <c r="P2096" s="5"/>
      <c r="U2096" s="5"/>
    </row>
    <row r="2097" spans="10:21" x14ac:dyDescent="0.5">
      <c r="J2097" s="20"/>
      <c r="K2097" s="20"/>
      <c r="L2097" s="5">
        <f>Data!L2097</f>
        <v>0</v>
      </c>
      <c r="M2097" s="5"/>
      <c r="P2097" s="5"/>
      <c r="U2097" s="5"/>
    </row>
    <row r="2098" spans="10:21" x14ac:dyDescent="0.5">
      <c r="J2098" s="20"/>
      <c r="K2098" s="20"/>
      <c r="L2098" s="5">
        <f>Data!L2098</f>
        <v>0</v>
      </c>
      <c r="M2098" s="5"/>
      <c r="P2098" s="5"/>
      <c r="U2098" s="5"/>
    </row>
    <row r="2099" spans="10:21" x14ac:dyDescent="0.5">
      <c r="J2099" s="20"/>
      <c r="K2099" s="20"/>
      <c r="L2099" s="5">
        <f>Data!L2099</f>
        <v>0</v>
      </c>
      <c r="M2099" s="5"/>
      <c r="P2099" s="5"/>
      <c r="U2099" s="5"/>
    </row>
    <row r="2100" spans="10:21" x14ac:dyDescent="0.5">
      <c r="J2100" s="20"/>
      <c r="K2100" s="20"/>
      <c r="L2100" s="5">
        <f>Data!L2100</f>
        <v>0</v>
      </c>
      <c r="M2100" s="5"/>
      <c r="P2100" s="5"/>
      <c r="U2100" s="5"/>
    </row>
    <row r="2101" spans="10:21" x14ac:dyDescent="0.5">
      <c r="J2101" s="20"/>
      <c r="K2101" s="20"/>
      <c r="L2101" s="5">
        <f>Data!L2101</f>
        <v>0</v>
      </c>
      <c r="M2101" s="5"/>
      <c r="P2101" s="5"/>
      <c r="U2101" s="5"/>
    </row>
    <row r="2102" spans="10:21" x14ac:dyDescent="0.5">
      <c r="J2102" s="20"/>
      <c r="K2102" s="20"/>
      <c r="L2102" s="5">
        <f>Data!L2102</f>
        <v>0</v>
      </c>
      <c r="M2102" s="5"/>
      <c r="P2102" s="5"/>
      <c r="U2102" s="5"/>
    </row>
    <row r="2103" spans="10:21" x14ac:dyDescent="0.5">
      <c r="J2103" s="20"/>
      <c r="K2103" s="20"/>
      <c r="L2103" s="5">
        <f>Data!L2103</f>
        <v>0</v>
      </c>
      <c r="M2103" s="5"/>
      <c r="P2103" s="5"/>
      <c r="U2103" s="5"/>
    </row>
    <row r="2104" spans="10:21" x14ac:dyDescent="0.5">
      <c r="J2104" s="20"/>
      <c r="K2104" s="20"/>
      <c r="L2104" s="5">
        <f>Data!L2104</f>
        <v>0</v>
      </c>
      <c r="M2104" s="5"/>
      <c r="P2104" s="5"/>
      <c r="U2104" s="5"/>
    </row>
    <row r="2105" spans="10:21" x14ac:dyDescent="0.5">
      <c r="J2105" s="20"/>
      <c r="K2105" s="20"/>
      <c r="L2105" s="5">
        <f>Data!L2105</f>
        <v>0</v>
      </c>
      <c r="M2105" s="5"/>
      <c r="P2105" s="5"/>
      <c r="U2105" s="5"/>
    </row>
    <row r="2106" spans="10:21" x14ac:dyDescent="0.5">
      <c r="J2106" s="20"/>
      <c r="K2106" s="20"/>
      <c r="L2106" s="5">
        <f>Data!L2106</f>
        <v>0</v>
      </c>
      <c r="M2106" s="5"/>
      <c r="P2106" s="5"/>
      <c r="U2106" s="5"/>
    </row>
    <row r="2107" spans="10:21" x14ac:dyDescent="0.5">
      <c r="J2107" s="20"/>
      <c r="K2107" s="20"/>
      <c r="L2107" s="5">
        <f>Data!L2107</f>
        <v>0</v>
      </c>
      <c r="M2107" s="5"/>
      <c r="P2107" s="5"/>
      <c r="U2107" s="5"/>
    </row>
    <row r="2108" spans="10:21" x14ac:dyDescent="0.5">
      <c r="J2108" s="20"/>
      <c r="K2108" s="20"/>
      <c r="L2108" s="5">
        <f>Data!L2108</f>
        <v>0</v>
      </c>
      <c r="M2108" s="5"/>
      <c r="P2108" s="5"/>
      <c r="U2108" s="5"/>
    </row>
    <row r="2109" spans="10:21" x14ac:dyDescent="0.5">
      <c r="J2109" s="20"/>
      <c r="K2109" s="20"/>
      <c r="L2109" s="5">
        <f>Data!L2109</f>
        <v>0</v>
      </c>
      <c r="M2109" s="5"/>
      <c r="P2109" s="5"/>
      <c r="U2109" s="5"/>
    </row>
    <row r="2110" spans="10:21" x14ac:dyDescent="0.5">
      <c r="J2110" s="20"/>
      <c r="K2110" s="20"/>
      <c r="L2110" s="5">
        <f>Data!L2110</f>
        <v>0</v>
      </c>
      <c r="M2110" s="5"/>
      <c r="P2110" s="5"/>
      <c r="U2110" s="5"/>
    </row>
    <row r="2111" spans="10:21" x14ac:dyDescent="0.5">
      <c r="J2111" s="20"/>
      <c r="K2111" s="20"/>
      <c r="L2111" s="5">
        <f>Data!L2111</f>
        <v>0</v>
      </c>
      <c r="M2111" s="5"/>
      <c r="P2111" s="5"/>
      <c r="U2111" s="5"/>
    </row>
    <row r="2112" spans="10:21" x14ac:dyDescent="0.5">
      <c r="J2112" s="20"/>
      <c r="K2112" s="20"/>
      <c r="L2112" s="5">
        <f>Data!L2112</f>
        <v>0</v>
      </c>
      <c r="M2112" s="5"/>
      <c r="P2112" s="5"/>
      <c r="U2112" s="5"/>
    </row>
    <row r="2113" spans="10:21" x14ac:dyDescent="0.5">
      <c r="J2113" s="20"/>
      <c r="K2113" s="20"/>
      <c r="L2113" s="5">
        <f>Data!L2113</f>
        <v>0</v>
      </c>
      <c r="M2113" s="5"/>
      <c r="P2113" s="5"/>
      <c r="U2113" s="5"/>
    </row>
    <row r="2114" spans="10:21" x14ac:dyDescent="0.5">
      <c r="J2114" s="20"/>
      <c r="K2114" s="20"/>
      <c r="L2114" s="5">
        <f>Data!L2114</f>
        <v>0</v>
      </c>
      <c r="M2114" s="5"/>
      <c r="P2114" s="5"/>
      <c r="U2114" s="5"/>
    </row>
    <row r="2115" spans="10:21" x14ac:dyDescent="0.5">
      <c r="J2115" s="20"/>
      <c r="K2115" s="20"/>
      <c r="L2115" s="5">
        <f>Data!L2115</f>
        <v>0</v>
      </c>
      <c r="M2115" s="5"/>
      <c r="P2115" s="5"/>
      <c r="U2115" s="5"/>
    </row>
    <row r="2116" spans="10:21" x14ac:dyDescent="0.5">
      <c r="J2116" s="20"/>
      <c r="K2116" s="20"/>
      <c r="L2116" s="5">
        <f>Data!L2116</f>
        <v>0</v>
      </c>
      <c r="M2116" s="5"/>
      <c r="P2116" s="5"/>
      <c r="U2116" s="5"/>
    </row>
    <row r="2117" spans="10:21" x14ac:dyDescent="0.5">
      <c r="J2117" s="20"/>
      <c r="K2117" s="20"/>
      <c r="L2117" s="5">
        <f>Data!L2117</f>
        <v>0</v>
      </c>
      <c r="M2117" s="5"/>
      <c r="P2117" s="5"/>
      <c r="U2117" s="5"/>
    </row>
    <row r="2118" spans="10:21" x14ac:dyDescent="0.5">
      <c r="J2118" s="20"/>
      <c r="K2118" s="20"/>
      <c r="L2118" s="5">
        <f>Data!L2118</f>
        <v>0</v>
      </c>
      <c r="M2118" s="5"/>
      <c r="P2118" s="5"/>
      <c r="U2118" s="5"/>
    </row>
    <row r="2119" spans="10:21" x14ac:dyDescent="0.5">
      <c r="J2119" s="20"/>
      <c r="K2119" s="20"/>
      <c r="L2119" s="5">
        <f>Data!L2119</f>
        <v>0</v>
      </c>
      <c r="M2119" s="5"/>
      <c r="P2119" s="5"/>
      <c r="U2119" s="5"/>
    </row>
    <row r="2120" spans="10:21" x14ac:dyDescent="0.5">
      <c r="J2120" s="20"/>
      <c r="K2120" s="20"/>
      <c r="L2120" s="5">
        <f>Data!L2120</f>
        <v>0</v>
      </c>
      <c r="M2120" s="5"/>
      <c r="P2120" s="5"/>
      <c r="U2120" s="5"/>
    </row>
    <row r="2121" spans="10:21" x14ac:dyDescent="0.5">
      <c r="J2121" s="20"/>
      <c r="K2121" s="20"/>
      <c r="L2121" s="5">
        <f>Data!L2121</f>
        <v>0</v>
      </c>
      <c r="M2121" s="5"/>
      <c r="P2121" s="5"/>
      <c r="U2121" s="5"/>
    </row>
    <row r="2122" spans="10:21" x14ac:dyDescent="0.5">
      <c r="J2122" s="20"/>
      <c r="K2122" s="20"/>
      <c r="L2122" s="5">
        <f>Data!L2122</f>
        <v>0</v>
      </c>
      <c r="M2122" s="5"/>
      <c r="P2122" s="5"/>
      <c r="U2122" s="5"/>
    </row>
    <row r="2123" spans="10:21" x14ac:dyDescent="0.5">
      <c r="J2123" s="20"/>
      <c r="K2123" s="20"/>
      <c r="L2123" s="5">
        <f>Data!L2123</f>
        <v>0</v>
      </c>
      <c r="M2123" s="5"/>
      <c r="P2123" s="5"/>
      <c r="U2123" s="5"/>
    </row>
    <row r="2124" spans="10:21" x14ac:dyDescent="0.5">
      <c r="J2124" s="20"/>
      <c r="K2124" s="20"/>
      <c r="L2124" s="5">
        <f>Data!L2124</f>
        <v>0</v>
      </c>
      <c r="M2124" s="5"/>
      <c r="P2124" s="5"/>
      <c r="U2124" s="5"/>
    </row>
    <row r="2125" spans="10:21" x14ac:dyDescent="0.5">
      <c r="J2125" s="20"/>
      <c r="K2125" s="20"/>
      <c r="L2125" s="5">
        <f>Data!L2125</f>
        <v>0</v>
      </c>
      <c r="M2125" s="5"/>
      <c r="P2125" s="5"/>
      <c r="U2125" s="5"/>
    </row>
    <row r="2126" spans="10:21" x14ac:dyDescent="0.5">
      <c r="J2126" s="20"/>
      <c r="K2126" s="20"/>
      <c r="L2126" s="5">
        <f>Data!L2126</f>
        <v>0</v>
      </c>
      <c r="M2126" s="5"/>
      <c r="P2126" s="5"/>
      <c r="U2126" s="5"/>
    </row>
    <row r="2127" spans="10:21" x14ac:dyDescent="0.5">
      <c r="J2127" s="20"/>
      <c r="K2127" s="20"/>
      <c r="L2127" s="5">
        <f>Data!L2127</f>
        <v>0</v>
      </c>
      <c r="M2127" s="5"/>
      <c r="P2127" s="5"/>
      <c r="U2127" s="5"/>
    </row>
    <row r="2128" spans="10:21" x14ac:dyDescent="0.5">
      <c r="J2128" s="20"/>
      <c r="K2128" s="20"/>
      <c r="L2128" s="5">
        <f>Data!L2128</f>
        <v>0</v>
      </c>
      <c r="M2128" s="5"/>
      <c r="P2128" s="5"/>
      <c r="U2128" s="5"/>
    </row>
    <row r="2129" spans="10:21" x14ac:dyDescent="0.5">
      <c r="J2129" s="20"/>
      <c r="K2129" s="20"/>
      <c r="L2129" s="5">
        <f>Data!L2129</f>
        <v>0</v>
      </c>
      <c r="M2129" s="5"/>
      <c r="P2129" s="5"/>
      <c r="U2129" s="5"/>
    </row>
    <row r="2130" spans="10:21" x14ac:dyDescent="0.5">
      <c r="J2130" s="20"/>
      <c r="K2130" s="20"/>
      <c r="L2130" s="5">
        <f>Data!L2130</f>
        <v>0</v>
      </c>
      <c r="M2130" s="5"/>
      <c r="P2130" s="5"/>
      <c r="U2130" s="5"/>
    </row>
    <row r="2131" spans="10:21" x14ac:dyDescent="0.5">
      <c r="J2131" s="20"/>
      <c r="K2131" s="20"/>
      <c r="L2131" s="5">
        <f>Data!L2131</f>
        <v>0</v>
      </c>
      <c r="M2131" s="5"/>
      <c r="P2131" s="5"/>
      <c r="U2131" s="5"/>
    </row>
    <row r="2132" spans="10:21" x14ac:dyDescent="0.5">
      <c r="J2132" s="20"/>
      <c r="K2132" s="20"/>
      <c r="L2132" s="5">
        <f>Data!L2132</f>
        <v>0</v>
      </c>
      <c r="M2132" s="5"/>
      <c r="P2132" s="5"/>
      <c r="U2132" s="5"/>
    </row>
    <row r="2133" spans="10:21" x14ac:dyDescent="0.5">
      <c r="J2133" s="20"/>
      <c r="K2133" s="20"/>
      <c r="L2133" s="5">
        <f>Data!L2133</f>
        <v>0</v>
      </c>
      <c r="M2133" s="5"/>
      <c r="P2133" s="5"/>
      <c r="U2133" s="5"/>
    </row>
    <row r="2134" spans="10:21" x14ac:dyDescent="0.5">
      <c r="J2134" s="20"/>
      <c r="K2134" s="20"/>
      <c r="L2134" s="5">
        <f>Data!L2134</f>
        <v>0</v>
      </c>
      <c r="M2134" s="5"/>
      <c r="P2134" s="5"/>
      <c r="U2134" s="5"/>
    </row>
    <row r="2135" spans="10:21" x14ac:dyDescent="0.5">
      <c r="J2135" s="20"/>
      <c r="K2135" s="20"/>
      <c r="L2135" s="5">
        <f>Data!L2135</f>
        <v>0</v>
      </c>
      <c r="M2135" s="5"/>
      <c r="P2135" s="5"/>
      <c r="U2135" s="5"/>
    </row>
    <row r="2136" spans="10:21" x14ac:dyDescent="0.5">
      <c r="J2136" s="20"/>
      <c r="K2136" s="20"/>
      <c r="L2136" s="5">
        <f>Data!L2136</f>
        <v>0</v>
      </c>
      <c r="M2136" s="5"/>
      <c r="P2136" s="5"/>
      <c r="U2136" s="5"/>
    </row>
    <row r="2137" spans="10:21" x14ac:dyDescent="0.5">
      <c r="J2137" s="20"/>
      <c r="K2137" s="20"/>
      <c r="L2137" s="5">
        <f>Data!L2137</f>
        <v>0</v>
      </c>
      <c r="M2137" s="5"/>
      <c r="P2137" s="5"/>
      <c r="U2137" s="5"/>
    </row>
    <row r="2138" spans="10:21" x14ac:dyDescent="0.5">
      <c r="J2138" s="20"/>
      <c r="K2138" s="20"/>
      <c r="L2138" s="5">
        <f>Data!L2138</f>
        <v>0</v>
      </c>
      <c r="M2138" s="5"/>
      <c r="P2138" s="5"/>
      <c r="U2138" s="5"/>
    </row>
    <row r="2139" spans="10:21" x14ac:dyDescent="0.5">
      <c r="J2139" s="20"/>
      <c r="K2139" s="20"/>
      <c r="L2139" s="5">
        <f>Data!L2139</f>
        <v>0</v>
      </c>
      <c r="M2139" s="5"/>
      <c r="P2139" s="5"/>
      <c r="U2139" s="5"/>
    </row>
    <row r="2140" spans="10:21" x14ac:dyDescent="0.5">
      <c r="J2140" s="20"/>
      <c r="K2140" s="20"/>
      <c r="L2140" s="5">
        <f>Data!L2140</f>
        <v>0</v>
      </c>
      <c r="M2140" s="5"/>
      <c r="P2140" s="5"/>
      <c r="U2140" s="5"/>
    </row>
    <row r="2141" spans="10:21" x14ac:dyDescent="0.5">
      <c r="J2141" s="20"/>
      <c r="K2141" s="20"/>
      <c r="L2141" s="5">
        <f>Data!L2141</f>
        <v>0</v>
      </c>
      <c r="M2141" s="5"/>
      <c r="P2141" s="5"/>
      <c r="U2141" s="5"/>
    </row>
    <row r="2142" spans="10:21" x14ac:dyDescent="0.5">
      <c r="J2142" s="20"/>
      <c r="K2142" s="20"/>
      <c r="L2142" s="5">
        <f>Data!L2142</f>
        <v>0</v>
      </c>
      <c r="M2142" s="5"/>
      <c r="P2142" s="5"/>
      <c r="U2142" s="5"/>
    </row>
    <row r="2143" spans="10:21" x14ac:dyDescent="0.5">
      <c r="J2143" s="20"/>
      <c r="K2143" s="20"/>
      <c r="L2143" s="5">
        <f>Data!L2143</f>
        <v>0</v>
      </c>
      <c r="M2143" s="5"/>
      <c r="P2143" s="5"/>
      <c r="U2143" s="5"/>
    </row>
    <row r="2144" spans="10:21" x14ac:dyDescent="0.5">
      <c r="J2144" s="20"/>
      <c r="K2144" s="20"/>
      <c r="L2144" s="5">
        <f>Data!L2144</f>
        <v>0</v>
      </c>
      <c r="M2144" s="5"/>
      <c r="P2144" s="5"/>
      <c r="U2144" s="5"/>
    </row>
    <row r="2145" spans="10:21" x14ac:dyDescent="0.5">
      <c r="J2145" s="20"/>
      <c r="K2145" s="20"/>
      <c r="L2145" s="5">
        <f>Data!L2145</f>
        <v>0</v>
      </c>
      <c r="M2145" s="5"/>
      <c r="P2145" s="5"/>
      <c r="U2145" s="5"/>
    </row>
    <row r="2146" spans="10:21" x14ac:dyDescent="0.5">
      <c r="J2146" s="20"/>
      <c r="K2146" s="20"/>
      <c r="L2146" s="5">
        <f>Data!L2146</f>
        <v>0</v>
      </c>
      <c r="M2146" s="5"/>
      <c r="P2146" s="5"/>
      <c r="U2146" s="5"/>
    </row>
    <row r="2147" spans="10:21" x14ac:dyDescent="0.5">
      <c r="J2147" s="20"/>
      <c r="K2147" s="20"/>
      <c r="L2147" s="5">
        <f>Data!L2147</f>
        <v>0</v>
      </c>
      <c r="M2147" s="5"/>
      <c r="P2147" s="5"/>
      <c r="U2147" s="5"/>
    </row>
    <row r="2148" spans="10:21" x14ac:dyDescent="0.5">
      <c r="J2148" s="20"/>
      <c r="K2148" s="20"/>
      <c r="L2148" s="5">
        <f>Data!L2148</f>
        <v>0</v>
      </c>
      <c r="M2148" s="5"/>
      <c r="P2148" s="5"/>
      <c r="U2148" s="5"/>
    </row>
    <row r="2149" spans="10:21" x14ac:dyDescent="0.5">
      <c r="J2149" s="20"/>
      <c r="K2149" s="20"/>
      <c r="L2149" s="5">
        <f>Data!L2149</f>
        <v>0</v>
      </c>
      <c r="M2149" s="5"/>
      <c r="P2149" s="5"/>
      <c r="U2149" s="5"/>
    </row>
    <row r="2150" spans="10:21" x14ac:dyDescent="0.5">
      <c r="J2150" s="20"/>
      <c r="K2150" s="20"/>
      <c r="L2150" s="5">
        <f>Data!L2150</f>
        <v>0</v>
      </c>
      <c r="M2150" s="5"/>
      <c r="P2150" s="5"/>
      <c r="U2150" s="5"/>
    </row>
    <row r="2151" spans="10:21" x14ac:dyDescent="0.5">
      <c r="J2151" s="20"/>
      <c r="K2151" s="20"/>
      <c r="L2151" s="5">
        <f>Data!L2151</f>
        <v>0</v>
      </c>
      <c r="M2151" s="5"/>
      <c r="P2151" s="5"/>
      <c r="U2151" s="5"/>
    </row>
    <row r="2152" spans="10:21" x14ac:dyDescent="0.5">
      <c r="J2152" s="20"/>
      <c r="K2152" s="20"/>
      <c r="L2152" s="5">
        <f>Data!L2152</f>
        <v>0</v>
      </c>
      <c r="M2152" s="5"/>
      <c r="P2152" s="5"/>
      <c r="U2152" s="5"/>
    </row>
    <row r="2153" spans="10:21" x14ac:dyDescent="0.5">
      <c r="J2153" s="20"/>
      <c r="K2153" s="20"/>
      <c r="L2153" s="5">
        <f>Data!L2153</f>
        <v>0</v>
      </c>
      <c r="M2153" s="5"/>
      <c r="P2153" s="5"/>
      <c r="U2153" s="5"/>
    </row>
    <row r="2154" spans="10:21" x14ac:dyDescent="0.5">
      <c r="J2154" s="20"/>
      <c r="K2154" s="20"/>
      <c r="L2154" s="5">
        <f>Data!L2154</f>
        <v>0</v>
      </c>
      <c r="M2154" s="5"/>
      <c r="P2154" s="5"/>
      <c r="U2154" s="5"/>
    </row>
    <row r="2155" spans="10:21" x14ac:dyDescent="0.5">
      <c r="J2155" s="20"/>
      <c r="K2155" s="20"/>
      <c r="L2155" s="5">
        <f>Data!L2155</f>
        <v>0</v>
      </c>
      <c r="M2155" s="5"/>
      <c r="P2155" s="5"/>
      <c r="U2155" s="5"/>
    </row>
    <row r="2156" spans="10:21" x14ac:dyDescent="0.5">
      <c r="J2156" s="20"/>
      <c r="K2156" s="20"/>
      <c r="L2156" s="5">
        <f>Data!L2156</f>
        <v>0</v>
      </c>
      <c r="M2156" s="5"/>
      <c r="P2156" s="5"/>
      <c r="U2156" s="5"/>
    </row>
    <row r="2157" spans="10:21" x14ac:dyDescent="0.5">
      <c r="J2157" s="20"/>
      <c r="K2157" s="20"/>
      <c r="L2157" s="5">
        <f>Data!L2157</f>
        <v>0</v>
      </c>
      <c r="M2157" s="5"/>
      <c r="P2157" s="5"/>
      <c r="U2157" s="5"/>
    </row>
    <row r="2158" spans="10:21" x14ac:dyDescent="0.5">
      <c r="J2158" s="20"/>
      <c r="K2158" s="20"/>
      <c r="L2158" s="5">
        <f>Data!L2158</f>
        <v>0</v>
      </c>
      <c r="M2158" s="5"/>
      <c r="P2158" s="5"/>
      <c r="U2158" s="5"/>
    </row>
    <row r="2159" spans="10:21" x14ac:dyDescent="0.5">
      <c r="J2159" s="20"/>
      <c r="K2159" s="20"/>
      <c r="L2159" s="5">
        <f>Data!L2159</f>
        <v>0</v>
      </c>
      <c r="M2159" s="5"/>
      <c r="P2159" s="5"/>
      <c r="U2159" s="5"/>
    </row>
    <row r="2160" spans="10:21" x14ac:dyDescent="0.5">
      <c r="J2160" s="20"/>
      <c r="K2160" s="20"/>
      <c r="L2160" s="5">
        <f>Data!L2160</f>
        <v>0</v>
      </c>
      <c r="M2160" s="5"/>
      <c r="P2160" s="5"/>
      <c r="U2160" s="5"/>
    </row>
    <row r="2161" spans="10:21" x14ac:dyDescent="0.5">
      <c r="J2161" s="20"/>
      <c r="K2161" s="20"/>
      <c r="L2161" s="5">
        <f>Data!L2161</f>
        <v>0</v>
      </c>
      <c r="M2161" s="5"/>
      <c r="P2161" s="5"/>
      <c r="U2161" s="5"/>
    </row>
    <row r="2162" spans="10:21" x14ac:dyDescent="0.5">
      <c r="J2162" s="20"/>
      <c r="K2162" s="20"/>
      <c r="L2162" s="5">
        <f>Data!L2162</f>
        <v>0</v>
      </c>
      <c r="M2162" s="5"/>
      <c r="P2162" s="5"/>
      <c r="U2162" s="5"/>
    </row>
    <row r="2163" spans="10:21" x14ac:dyDescent="0.5">
      <c r="J2163" s="20"/>
      <c r="K2163" s="20"/>
      <c r="L2163" s="5">
        <f>Data!L2163</f>
        <v>0</v>
      </c>
      <c r="M2163" s="5"/>
      <c r="P2163" s="5"/>
      <c r="U2163" s="5"/>
    </row>
    <row r="2164" spans="10:21" x14ac:dyDescent="0.5">
      <c r="J2164" s="20"/>
      <c r="K2164" s="20"/>
      <c r="L2164" s="5">
        <f>Data!L2164</f>
        <v>0</v>
      </c>
      <c r="M2164" s="5"/>
      <c r="P2164" s="5"/>
      <c r="U2164" s="5"/>
    </row>
    <row r="2165" spans="10:21" x14ac:dyDescent="0.5">
      <c r="J2165" s="20"/>
      <c r="K2165" s="20"/>
      <c r="L2165" s="5">
        <f>Data!L2165</f>
        <v>0</v>
      </c>
      <c r="M2165" s="5"/>
      <c r="P2165" s="5"/>
      <c r="U2165" s="5"/>
    </row>
    <row r="2166" spans="10:21" x14ac:dyDescent="0.5">
      <c r="J2166" s="20"/>
      <c r="K2166" s="20"/>
      <c r="L2166" s="5">
        <f>Data!L2166</f>
        <v>0</v>
      </c>
      <c r="M2166" s="5"/>
      <c r="P2166" s="5"/>
      <c r="U2166" s="5"/>
    </row>
    <row r="2167" spans="10:21" x14ac:dyDescent="0.5">
      <c r="J2167" s="20"/>
      <c r="K2167" s="20"/>
      <c r="L2167" s="5">
        <f>Data!L2167</f>
        <v>0</v>
      </c>
      <c r="M2167" s="5"/>
      <c r="P2167" s="5"/>
      <c r="U2167" s="5"/>
    </row>
    <row r="2168" spans="10:21" x14ac:dyDescent="0.5">
      <c r="J2168" s="20"/>
      <c r="K2168" s="20"/>
      <c r="L2168" s="5">
        <f>Data!L2168</f>
        <v>0</v>
      </c>
      <c r="M2168" s="5"/>
      <c r="P2168" s="5"/>
      <c r="U2168" s="5"/>
    </row>
    <row r="2169" spans="10:21" x14ac:dyDescent="0.5">
      <c r="J2169" s="20"/>
      <c r="K2169" s="20"/>
      <c r="L2169" s="5">
        <f>Data!L2169</f>
        <v>0</v>
      </c>
      <c r="M2169" s="5"/>
      <c r="P2169" s="5"/>
      <c r="U2169" s="5"/>
    </row>
    <row r="2170" spans="10:21" x14ac:dyDescent="0.5">
      <c r="J2170" s="20"/>
      <c r="K2170" s="20"/>
      <c r="L2170" s="5">
        <f>Data!L2170</f>
        <v>0</v>
      </c>
      <c r="M2170" s="5"/>
      <c r="P2170" s="5"/>
      <c r="U2170" s="5"/>
    </row>
    <row r="2171" spans="10:21" x14ac:dyDescent="0.5">
      <c r="J2171" s="20"/>
      <c r="K2171" s="20"/>
      <c r="L2171" s="5">
        <f>Data!L2171</f>
        <v>0</v>
      </c>
      <c r="M2171" s="5"/>
      <c r="P2171" s="5"/>
      <c r="U2171" s="5"/>
    </row>
    <row r="2172" spans="10:21" x14ac:dyDescent="0.5">
      <c r="J2172" s="20"/>
      <c r="K2172" s="20"/>
      <c r="L2172" s="5">
        <f>Data!L2172</f>
        <v>0</v>
      </c>
      <c r="M2172" s="5"/>
      <c r="P2172" s="5"/>
      <c r="U2172" s="5"/>
    </row>
    <row r="2173" spans="10:21" x14ac:dyDescent="0.5">
      <c r="J2173" s="20"/>
      <c r="K2173" s="20"/>
      <c r="L2173" s="5">
        <f>Data!L2173</f>
        <v>0</v>
      </c>
      <c r="M2173" s="5"/>
      <c r="P2173" s="5"/>
      <c r="U2173" s="5"/>
    </row>
    <row r="2174" spans="10:21" x14ac:dyDescent="0.5">
      <c r="J2174" s="20"/>
      <c r="K2174" s="20"/>
      <c r="L2174" s="5">
        <f>Data!L2174</f>
        <v>0</v>
      </c>
      <c r="M2174" s="5"/>
      <c r="P2174" s="5"/>
      <c r="U2174" s="5"/>
    </row>
    <row r="2175" spans="10:21" x14ac:dyDescent="0.5">
      <c r="J2175" s="20"/>
      <c r="K2175" s="20"/>
      <c r="L2175" s="5">
        <f>Data!L2175</f>
        <v>0</v>
      </c>
      <c r="M2175" s="5"/>
      <c r="P2175" s="5"/>
      <c r="U2175" s="5"/>
    </row>
    <row r="2176" spans="10:21" x14ac:dyDescent="0.5">
      <c r="J2176" s="20"/>
      <c r="K2176" s="20"/>
      <c r="L2176" s="5">
        <f>Data!L2176</f>
        <v>0</v>
      </c>
      <c r="M2176" s="5"/>
      <c r="P2176" s="5"/>
      <c r="U2176" s="5"/>
    </row>
    <row r="2177" spans="10:21" x14ac:dyDescent="0.5">
      <c r="J2177" s="20"/>
      <c r="K2177" s="20"/>
      <c r="L2177" s="5">
        <f>Data!L2177</f>
        <v>0</v>
      </c>
      <c r="M2177" s="5"/>
      <c r="P2177" s="5"/>
      <c r="U2177" s="5"/>
    </row>
    <row r="2178" spans="10:21" x14ac:dyDescent="0.5">
      <c r="J2178" s="20"/>
      <c r="K2178" s="20"/>
      <c r="L2178" s="5">
        <f>Data!L2178</f>
        <v>0</v>
      </c>
      <c r="M2178" s="5"/>
      <c r="P2178" s="5"/>
      <c r="U2178" s="5"/>
    </row>
    <row r="2179" spans="10:21" x14ac:dyDescent="0.5">
      <c r="J2179" s="20"/>
      <c r="K2179" s="20"/>
      <c r="L2179" s="5">
        <f>Data!L2179</f>
        <v>0</v>
      </c>
      <c r="M2179" s="5"/>
      <c r="P2179" s="5"/>
      <c r="U2179" s="5"/>
    </row>
    <row r="2180" spans="10:21" x14ac:dyDescent="0.5">
      <c r="J2180" s="20"/>
      <c r="K2180" s="20"/>
      <c r="L2180" s="5">
        <f>Data!L2180</f>
        <v>0</v>
      </c>
      <c r="M2180" s="5"/>
      <c r="P2180" s="5"/>
      <c r="U2180" s="5"/>
    </row>
    <row r="2181" spans="10:21" x14ac:dyDescent="0.5">
      <c r="J2181" s="20"/>
      <c r="K2181" s="20"/>
      <c r="L2181" s="5">
        <f>Data!L2181</f>
        <v>0</v>
      </c>
      <c r="M2181" s="5"/>
      <c r="P2181" s="5"/>
      <c r="U2181" s="5"/>
    </row>
    <row r="2182" spans="10:21" x14ac:dyDescent="0.5">
      <c r="J2182" s="20"/>
      <c r="K2182" s="20"/>
      <c r="L2182" s="5">
        <f>Data!L2182</f>
        <v>0</v>
      </c>
      <c r="M2182" s="5"/>
      <c r="P2182" s="5"/>
      <c r="U2182" s="5"/>
    </row>
    <row r="2183" spans="10:21" x14ac:dyDescent="0.5">
      <c r="J2183" s="20"/>
      <c r="K2183" s="20"/>
      <c r="L2183" s="5">
        <f>Data!L2183</f>
        <v>0</v>
      </c>
      <c r="M2183" s="5"/>
      <c r="P2183" s="5"/>
      <c r="U2183" s="5"/>
    </row>
    <row r="2184" spans="10:21" x14ac:dyDescent="0.5">
      <c r="J2184" s="20"/>
      <c r="K2184" s="20"/>
      <c r="L2184" s="5">
        <f>Data!L2184</f>
        <v>0</v>
      </c>
      <c r="M2184" s="5"/>
      <c r="P2184" s="5"/>
      <c r="U2184" s="5"/>
    </row>
    <row r="2185" spans="10:21" x14ac:dyDescent="0.5">
      <c r="J2185" s="20"/>
      <c r="K2185" s="20"/>
      <c r="L2185" s="5">
        <f>Data!L2185</f>
        <v>0</v>
      </c>
      <c r="M2185" s="5"/>
      <c r="P2185" s="5"/>
      <c r="U2185" s="5"/>
    </row>
    <row r="2186" spans="10:21" x14ac:dyDescent="0.5">
      <c r="J2186" s="20"/>
      <c r="K2186" s="20"/>
      <c r="L2186" s="5">
        <f>Data!L2186</f>
        <v>0</v>
      </c>
      <c r="M2186" s="5"/>
      <c r="P2186" s="5"/>
      <c r="U2186" s="5"/>
    </row>
    <row r="2187" spans="10:21" x14ac:dyDescent="0.5">
      <c r="J2187" s="20"/>
      <c r="K2187" s="20"/>
      <c r="L2187" s="5">
        <f>Data!L2187</f>
        <v>0</v>
      </c>
      <c r="M2187" s="5"/>
      <c r="P2187" s="5"/>
      <c r="U2187" s="5"/>
    </row>
    <row r="2188" spans="10:21" x14ac:dyDescent="0.5">
      <c r="J2188" s="20"/>
      <c r="K2188" s="20"/>
      <c r="L2188" s="5">
        <f>Data!L2188</f>
        <v>0</v>
      </c>
      <c r="M2188" s="5"/>
      <c r="P2188" s="5"/>
      <c r="U2188" s="5"/>
    </row>
    <row r="2189" spans="10:21" x14ac:dyDescent="0.5">
      <c r="J2189" s="20"/>
      <c r="K2189" s="20"/>
      <c r="L2189" s="5">
        <f>Data!L2189</f>
        <v>0</v>
      </c>
      <c r="M2189" s="5"/>
      <c r="P2189" s="5"/>
      <c r="U2189" s="5"/>
    </row>
    <row r="2190" spans="10:21" x14ac:dyDescent="0.5">
      <c r="J2190" s="20"/>
      <c r="K2190" s="20"/>
      <c r="L2190" s="5">
        <f>Data!L2190</f>
        <v>0</v>
      </c>
      <c r="M2190" s="5"/>
      <c r="P2190" s="5"/>
      <c r="U2190" s="5"/>
    </row>
    <row r="2191" spans="10:21" x14ac:dyDescent="0.5">
      <c r="J2191" s="20"/>
      <c r="K2191" s="20"/>
      <c r="L2191" s="5">
        <f>Data!L2191</f>
        <v>0</v>
      </c>
      <c r="M2191" s="5"/>
      <c r="P2191" s="5"/>
      <c r="U2191" s="5"/>
    </row>
    <row r="2192" spans="10:21" x14ac:dyDescent="0.5">
      <c r="J2192" s="20"/>
      <c r="K2192" s="20"/>
      <c r="L2192" s="5">
        <f>Data!L2192</f>
        <v>0</v>
      </c>
      <c r="M2192" s="5"/>
      <c r="P2192" s="5"/>
      <c r="U2192" s="5"/>
    </row>
    <row r="2193" spans="10:21" x14ac:dyDescent="0.5">
      <c r="J2193" s="20"/>
      <c r="K2193" s="20"/>
      <c r="L2193" s="5">
        <f>Data!L2193</f>
        <v>0</v>
      </c>
      <c r="M2193" s="5"/>
      <c r="P2193" s="5"/>
      <c r="U2193" s="5"/>
    </row>
    <row r="2194" spans="10:21" x14ac:dyDescent="0.5">
      <c r="J2194" s="20"/>
      <c r="K2194" s="20"/>
      <c r="L2194" s="5">
        <f>Data!L2194</f>
        <v>0</v>
      </c>
      <c r="M2194" s="5"/>
      <c r="P2194" s="5"/>
      <c r="U2194" s="5"/>
    </row>
    <row r="2195" spans="10:21" x14ac:dyDescent="0.5">
      <c r="J2195" s="20"/>
      <c r="K2195" s="20"/>
      <c r="L2195" s="5">
        <f>Data!L2195</f>
        <v>0</v>
      </c>
      <c r="M2195" s="5"/>
      <c r="P2195" s="5"/>
      <c r="U2195" s="5"/>
    </row>
    <row r="2196" spans="10:21" x14ac:dyDescent="0.5">
      <c r="J2196" s="20"/>
      <c r="K2196" s="20"/>
      <c r="L2196" s="5">
        <f>Data!L2196</f>
        <v>0</v>
      </c>
      <c r="M2196" s="5"/>
      <c r="P2196" s="5"/>
      <c r="U2196" s="5"/>
    </row>
    <row r="2197" spans="10:21" x14ac:dyDescent="0.5">
      <c r="J2197" s="20"/>
      <c r="K2197" s="20"/>
      <c r="L2197" s="5">
        <f>Data!L2197</f>
        <v>0</v>
      </c>
      <c r="M2197" s="5"/>
      <c r="P2197" s="5"/>
      <c r="U2197" s="5"/>
    </row>
    <row r="2198" spans="10:21" x14ac:dyDescent="0.5">
      <c r="J2198" s="20"/>
      <c r="K2198" s="20"/>
      <c r="L2198" s="5">
        <f>Data!L2198</f>
        <v>0</v>
      </c>
      <c r="M2198" s="5"/>
      <c r="P2198" s="5"/>
      <c r="U2198" s="5"/>
    </row>
    <row r="2199" spans="10:21" x14ac:dyDescent="0.5">
      <c r="J2199" s="20"/>
      <c r="K2199" s="20"/>
      <c r="L2199" s="5">
        <f>Data!L2199</f>
        <v>0</v>
      </c>
      <c r="M2199" s="5"/>
      <c r="P2199" s="5"/>
      <c r="U2199" s="5"/>
    </row>
    <row r="2200" spans="10:21" x14ac:dyDescent="0.5">
      <c r="J2200" s="20"/>
      <c r="K2200" s="20"/>
      <c r="L2200" s="5">
        <f>Data!L2200</f>
        <v>0</v>
      </c>
      <c r="M2200" s="5"/>
      <c r="P2200" s="5"/>
      <c r="U2200" s="5"/>
    </row>
    <row r="2201" spans="10:21" x14ac:dyDescent="0.5">
      <c r="J2201" s="20"/>
      <c r="K2201" s="20"/>
      <c r="L2201" s="5">
        <f>Data!L2201</f>
        <v>0</v>
      </c>
      <c r="M2201" s="5"/>
      <c r="P2201" s="5"/>
      <c r="U2201" s="5"/>
    </row>
    <row r="2202" spans="10:21" x14ac:dyDescent="0.5">
      <c r="J2202" s="20"/>
      <c r="K2202" s="20"/>
      <c r="L2202" s="5">
        <f>Data!L2202</f>
        <v>0</v>
      </c>
      <c r="M2202" s="5"/>
      <c r="P2202" s="5"/>
      <c r="U2202" s="5"/>
    </row>
    <row r="2203" spans="10:21" x14ac:dyDescent="0.5">
      <c r="J2203" s="20"/>
      <c r="K2203" s="20"/>
      <c r="L2203" s="5">
        <f>Data!L2203</f>
        <v>0</v>
      </c>
      <c r="M2203" s="5"/>
      <c r="P2203" s="5"/>
      <c r="U2203" s="5"/>
    </row>
    <row r="2204" spans="10:21" x14ac:dyDescent="0.5">
      <c r="J2204" s="20"/>
      <c r="K2204" s="20"/>
      <c r="L2204" s="5">
        <f>Data!L2204</f>
        <v>0</v>
      </c>
      <c r="M2204" s="5"/>
      <c r="P2204" s="5"/>
      <c r="U2204" s="5"/>
    </row>
    <row r="2205" spans="10:21" x14ac:dyDescent="0.5">
      <c r="J2205" s="20"/>
      <c r="K2205" s="20"/>
      <c r="L2205" s="5">
        <f>Data!L2205</f>
        <v>0</v>
      </c>
      <c r="M2205" s="5"/>
      <c r="P2205" s="5"/>
      <c r="U2205" s="5"/>
    </row>
    <row r="2206" spans="10:21" x14ac:dyDescent="0.5">
      <c r="J2206" s="20"/>
      <c r="K2206" s="20"/>
      <c r="L2206" s="5">
        <f>Data!L2206</f>
        <v>0</v>
      </c>
      <c r="M2206" s="5"/>
      <c r="P2206" s="5"/>
      <c r="U2206" s="5"/>
    </row>
    <row r="2207" spans="10:21" x14ac:dyDescent="0.5">
      <c r="J2207" s="20"/>
      <c r="K2207" s="20"/>
      <c r="L2207" s="5">
        <f>Data!L2207</f>
        <v>0</v>
      </c>
      <c r="M2207" s="5"/>
      <c r="P2207" s="5"/>
      <c r="U2207" s="5"/>
    </row>
    <row r="2208" spans="10:21" x14ac:dyDescent="0.5">
      <c r="J2208" s="20"/>
      <c r="K2208" s="20"/>
      <c r="L2208" s="5">
        <f>Data!L2208</f>
        <v>0</v>
      </c>
      <c r="M2208" s="5"/>
      <c r="P2208" s="5"/>
      <c r="U2208" s="5"/>
    </row>
    <row r="2209" spans="10:21" x14ac:dyDescent="0.5">
      <c r="J2209" s="20"/>
      <c r="K2209" s="20"/>
      <c r="L2209" s="5">
        <f>Data!L2209</f>
        <v>0</v>
      </c>
      <c r="M2209" s="5"/>
      <c r="P2209" s="5"/>
      <c r="U2209" s="5"/>
    </row>
    <row r="2210" spans="10:21" x14ac:dyDescent="0.5">
      <c r="J2210" s="20"/>
      <c r="K2210" s="20"/>
      <c r="L2210" s="5">
        <f>Data!L2210</f>
        <v>0</v>
      </c>
      <c r="M2210" s="5"/>
      <c r="P2210" s="5"/>
      <c r="U2210" s="5"/>
    </row>
    <row r="2211" spans="10:21" x14ac:dyDescent="0.5">
      <c r="J2211" s="20"/>
      <c r="K2211" s="20"/>
      <c r="L2211" s="5">
        <f>Data!L2211</f>
        <v>0</v>
      </c>
      <c r="M2211" s="5"/>
      <c r="P2211" s="5"/>
      <c r="U2211" s="5"/>
    </row>
    <row r="2212" spans="10:21" x14ac:dyDescent="0.5">
      <c r="J2212" s="20"/>
      <c r="K2212" s="20"/>
      <c r="L2212" s="5">
        <f>Data!L2212</f>
        <v>0</v>
      </c>
      <c r="M2212" s="5"/>
      <c r="P2212" s="5"/>
      <c r="U2212" s="5"/>
    </row>
    <row r="2213" spans="10:21" x14ac:dyDescent="0.5">
      <c r="J2213" s="20"/>
      <c r="K2213" s="20"/>
      <c r="L2213" s="5">
        <f>Data!L2213</f>
        <v>0</v>
      </c>
      <c r="M2213" s="5"/>
      <c r="P2213" s="5"/>
      <c r="U2213" s="5"/>
    </row>
    <row r="2214" spans="10:21" x14ac:dyDescent="0.5">
      <c r="J2214" s="20"/>
      <c r="K2214" s="20"/>
      <c r="L2214" s="5">
        <f>Data!L2214</f>
        <v>0</v>
      </c>
      <c r="M2214" s="5"/>
      <c r="P2214" s="5"/>
      <c r="U2214" s="5"/>
    </row>
    <row r="2215" spans="10:21" x14ac:dyDescent="0.5">
      <c r="J2215" s="20"/>
      <c r="K2215" s="20"/>
      <c r="L2215" s="5">
        <f>Data!L2215</f>
        <v>0</v>
      </c>
      <c r="M2215" s="5"/>
      <c r="P2215" s="5"/>
      <c r="U2215" s="5"/>
    </row>
    <row r="2216" spans="10:21" x14ac:dyDescent="0.5">
      <c r="J2216" s="20"/>
      <c r="K2216" s="20"/>
      <c r="L2216" s="5">
        <f>Data!L2216</f>
        <v>0</v>
      </c>
      <c r="M2216" s="5"/>
      <c r="P2216" s="5"/>
      <c r="U2216" s="5"/>
    </row>
    <row r="2217" spans="10:21" x14ac:dyDescent="0.5">
      <c r="J2217" s="20"/>
      <c r="K2217" s="20"/>
      <c r="L2217" s="5">
        <f>Data!L2217</f>
        <v>0</v>
      </c>
      <c r="M2217" s="5"/>
      <c r="P2217" s="5"/>
      <c r="U2217" s="5"/>
    </row>
    <row r="2218" spans="10:21" x14ac:dyDescent="0.5">
      <c r="J2218" s="20"/>
      <c r="K2218" s="20"/>
      <c r="L2218" s="5">
        <f>Data!L2218</f>
        <v>0</v>
      </c>
      <c r="M2218" s="5"/>
      <c r="P2218" s="5"/>
      <c r="U2218" s="5"/>
    </row>
    <row r="2219" spans="10:21" x14ac:dyDescent="0.5">
      <c r="J2219" s="20"/>
      <c r="K2219" s="20"/>
      <c r="L2219" s="5">
        <f>Data!L2219</f>
        <v>0</v>
      </c>
      <c r="M2219" s="5"/>
      <c r="P2219" s="5"/>
      <c r="U2219" s="5"/>
    </row>
    <row r="2220" spans="10:21" x14ac:dyDescent="0.5">
      <c r="J2220" s="20"/>
      <c r="K2220" s="20"/>
      <c r="L2220" s="5">
        <f>Data!L2220</f>
        <v>0</v>
      </c>
      <c r="M2220" s="5"/>
      <c r="P2220" s="5"/>
      <c r="U2220" s="5"/>
    </row>
    <row r="2221" spans="10:21" x14ac:dyDescent="0.5">
      <c r="J2221" s="20"/>
      <c r="K2221" s="20"/>
      <c r="L2221" s="5">
        <f>Data!L2221</f>
        <v>0</v>
      </c>
      <c r="M2221" s="5"/>
      <c r="P2221" s="5"/>
      <c r="U2221" s="5"/>
    </row>
    <row r="2222" spans="10:21" x14ac:dyDescent="0.5">
      <c r="J2222" s="20"/>
      <c r="K2222" s="20"/>
      <c r="L2222" s="5">
        <f>Data!L2222</f>
        <v>0</v>
      </c>
      <c r="M2222" s="5"/>
      <c r="P2222" s="5"/>
      <c r="U2222" s="5"/>
    </row>
    <row r="2223" spans="10:21" x14ac:dyDescent="0.5">
      <c r="J2223" s="20"/>
      <c r="K2223" s="20"/>
      <c r="L2223" s="5">
        <f>Data!L2223</f>
        <v>0</v>
      </c>
      <c r="M2223" s="5"/>
      <c r="P2223" s="5"/>
      <c r="U2223" s="5"/>
    </row>
    <row r="2224" spans="10:21" x14ac:dyDescent="0.5">
      <c r="J2224" s="20"/>
      <c r="K2224" s="20"/>
      <c r="L2224" s="5">
        <f>Data!L2224</f>
        <v>0</v>
      </c>
      <c r="M2224" s="5"/>
      <c r="P2224" s="5"/>
      <c r="U2224" s="5"/>
    </row>
    <row r="2225" spans="10:21" x14ac:dyDescent="0.5">
      <c r="J2225" s="20"/>
      <c r="K2225" s="20"/>
      <c r="L2225" s="5">
        <f>Data!L2225</f>
        <v>0</v>
      </c>
      <c r="M2225" s="5"/>
      <c r="P2225" s="5"/>
      <c r="U2225" s="5"/>
    </row>
    <row r="2226" spans="10:21" x14ac:dyDescent="0.5">
      <c r="J2226" s="20"/>
      <c r="K2226" s="20"/>
      <c r="L2226" s="5">
        <f>Data!L2226</f>
        <v>0</v>
      </c>
      <c r="M2226" s="5"/>
      <c r="P2226" s="5"/>
      <c r="U2226" s="5"/>
    </row>
    <row r="2227" spans="10:21" x14ac:dyDescent="0.5">
      <c r="J2227" s="20"/>
      <c r="K2227" s="20"/>
      <c r="L2227" s="5">
        <f>Data!L2227</f>
        <v>0</v>
      </c>
      <c r="M2227" s="5"/>
      <c r="P2227" s="5"/>
      <c r="U2227" s="5"/>
    </row>
    <row r="2228" spans="10:21" x14ac:dyDescent="0.5">
      <c r="J2228" s="20"/>
      <c r="K2228" s="20"/>
      <c r="L2228" s="5">
        <f>Data!L2228</f>
        <v>0</v>
      </c>
      <c r="M2228" s="5"/>
      <c r="P2228" s="5"/>
      <c r="U2228" s="5"/>
    </row>
    <row r="2229" spans="10:21" x14ac:dyDescent="0.5">
      <c r="J2229" s="20"/>
      <c r="K2229" s="20"/>
      <c r="L2229" s="5">
        <f>Data!L2229</f>
        <v>0</v>
      </c>
      <c r="M2229" s="5"/>
      <c r="P2229" s="5"/>
      <c r="U2229" s="5"/>
    </row>
    <row r="2230" spans="10:21" x14ac:dyDescent="0.5">
      <c r="J2230" s="20"/>
      <c r="K2230" s="20"/>
      <c r="L2230" s="5">
        <f>Data!L2230</f>
        <v>0</v>
      </c>
      <c r="M2230" s="5"/>
      <c r="P2230" s="5"/>
      <c r="U2230" s="5"/>
    </row>
    <row r="2231" spans="10:21" x14ac:dyDescent="0.5">
      <c r="J2231" s="20"/>
      <c r="K2231" s="20"/>
      <c r="L2231" s="5">
        <f>Data!L2231</f>
        <v>0</v>
      </c>
      <c r="M2231" s="5"/>
      <c r="P2231" s="5"/>
      <c r="U2231" s="5"/>
    </row>
    <row r="2232" spans="10:21" x14ac:dyDescent="0.5">
      <c r="J2232" s="20"/>
      <c r="K2232" s="20"/>
      <c r="L2232" s="5">
        <f>Data!L2232</f>
        <v>0</v>
      </c>
      <c r="M2232" s="5"/>
      <c r="P2232" s="5"/>
      <c r="U2232" s="5"/>
    </row>
    <row r="2233" spans="10:21" x14ac:dyDescent="0.5">
      <c r="J2233" s="20"/>
      <c r="K2233" s="20"/>
      <c r="L2233" s="5">
        <f>Data!L2233</f>
        <v>0</v>
      </c>
      <c r="M2233" s="5"/>
      <c r="P2233" s="5"/>
      <c r="U2233" s="5"/>
    </row>
    <row r="2234" spans="10:21" x14ac:dyDescent="0.5">
      <c r="J2234" s="20"/>
      <c r="K2234" s="20"/>
      <c r="L2234" s="5">
        <f>Data!L2234</f>
        <v>0</v>
      </c>
      <c r="M2234" s="5"/>
      <c r="P2234" s="5"/>
      <c r="U2234" s="5"/>
    </row>
    <row r="2235" spans="10:21" x14ac:dyDescent="0.5">
      <c r="J2235" s="20"/>
      <c r="K2235" s="20"/>
      <c r="L2235" s="5">
        <f>Data!L2235</f>
        <v>0</v>
      </c>
      <c r="M2235" s="5"/>
      <c r="P2235" s="5"/>
      <c r="U2235" s="5"/>
    </row>
    <row r="2236" spans="10:21" x14ac:dyDescent="0.5">
      <c r="J2236" s="20"/>
      <c r="K2236" s="20"/>
      <c r="L2236" s="5">
        <f>Data!L2236</f>
        <v>0</v>
      </c>
      <c r="M2236" s="5"/>
      <c r="P2236" s="5"/>
      <c r="U2236" s="5"/>
    </row>
    <row r="2237" spans="10:21" x14ac:dyDescent="0.5">
      <c r="J2237" s="20"/>
      <c r="K2237" s="20"/>
      <c r="L2237" s="5">
        <f>Data!L2237</f>
        <v>0</v>
      </c>
      <c r="M2237" s="5"/>
      <c r="P2237" s="5"/>
      <c r="U2237" s="5"/>
    </row>
    <row r="2238" spans="10:21" x14ac:dyDescent="0.5">
      <c r="J2238" s="20"/>
      <c r="K2238" s="20"/>
      <c r="L2238" s="5">
        <f>Data!L2238</f>
        <v>0</v>
      </c>
      <c r="M2238" s="5"/>
      <c r="P2238" s="5"/>
      <c r="U2238" s="5"/>
    </row>
    <row r="2239" spans="10:21" x14ac:dyDescent="0.5">
      <c r="J2239" s="20"/>
      <c r="K2239" s="20"/>
      <c r="L2239" s="5">
        <f>Data!L2239</f>
        <v>0</v>
      </c>
      <c r="M2239" s="5"/>
      <c r="P2239" s="5"/>
      <c r="U2239" s="5"/>
    </row>
    <row r="2240" spans="10:21" x14ac:dyDescent="0.5">
      <c r="J2240" s="20"/>
      <c r="K2240" s="20"/>
      <c r="L2240" s="5">
        <f>Data!L2240</f>
        <v>0</v>
      </c>
      <c r="M2240" s="5"/>
      <c r="P2240" s="5"/>
      <c r="U2240" s="5"/>
    </row>
    <row r="2241" spans="10:21" x14ac:dyDescent="0.5">
      <c r="J2241" s="20"/>
      <c r="K2241" s="20"/>
      <c r="L2241" s="5">
        <f>Data!L2241</f>
        <v>0</v>
      </c>
      <c r="M2241" s="5"/>
      <c r="P2241" s="5"/>
      <c r="U2241" s="5"/>
    </row>
    <row r="2242" spans="10:21" x14ac:dyDescent="0.5">
      <c r="J2242" s="20"/>
      <c r="K2242" s="20"/>
      <c r="L2242" s="5">
        <f>Data!L2242</f>
        <v>0</v>
      </c>
      <c r="M2242" s="5"/>
      <c r="P2242" s="5"/>
      <c r="U2242" s="5"/>
    </row>
    <row r="2243" spans="10:21" x14ac:dyDescent="0.5">
      <c r="J2243" s="20"/>
      <c r="K2243" s="20"/>
      <c r="L2243" s="5">
        <f>Data!L2243</f>
        <v>0</v>
      </c>
      <c r="M2243" s="5"/>
      <c r="P2243" s="5"/>
      <c r="U2243" s="5"/>
    </row>
    <row r="2244" spans="10:21" x14ac:dyDescent="0.5">
      <c r="J2244" s="20"/>
      <c r="K2244" s="20"/>
      <c r="L2244" s="5">
        <f>Data!L2244</f>
        <v>0</v>
      </c>
      <c r="M2244" s="5"/>
      <c r="P2244" s="5"/>
      <c r="U2244" s="5"/>
    </row>
    <row r="2245" spans="10:21" x14ac:dyDescent="0.5">
      <c r="J2245" s="20"/>
      <c r="K2245" s="20"/>
      <c r="L2245" s="5">
        <f>Data!L2245</f>
        <v>0</v>
      </c>
      <c r="M2245" s="5"/>
      <c r="P2245" s="5"/>
      <c r="U2245" s="5"/>
    </row>
    <row r="2246" spans="10:21" x14ac:dyDescent="0.5">
      <c r="J2246" s="20"/>
      <c r="K2246" s="20"/>
      <c r="L2246" s="5">
        <f>Data!L2246</f>
        <v>0</v>
      </c>
      <c r="M2246" s="5"/>
      <c r="P2246" s="5"/>
      <c r="U2246" s="5"/>
    </row>
    <row r="2247" spans="10:21" x14ac:dyDescent="0.5">
      <c r="J2247" s="20"/>
      <c r="K2247" s="20"/>
      <c r="L2247" s="5">
        <f>Data!L2247</f>
        <v>0</v>
      </c>
      <c r="M2247" s="5"/>
      <c r="P2247" s="5"/>
      <c r="U2247" s="5"/>
    </row>
    <row r="2248" spans="10:21" x14ac:dyDescent="0.5">
      <c r="J2248" s="20"/>
      <c r="K2248" s="20"/>
      <c r="L2248" s="5">
        <f>Data!L2248</f>
        <v>0</v>
      </c>
      <c r="M2248" s="5"/>
      <c r="P2248" s="5"/>
      <c r="U2248" s="5"/>
    </row>
    <row r="2249" spans="10:21" x14ac:dyDescent="0.5">
      <c r="J2249" s="20"/>
      <c r="K2249" s="20"/>
      <c r="L2249" s="5">
        <f>Data!L2249</f>
        <v>0</v>
      </c>
      <c r="M2249" s="5"/>
      <c r="P2249" s="5"/>
      <c r="U2249" s="5"/>
    </row>
    <row r="2250" spans="10:21" x14ac:dyDescent="0.5">
      <c r="J2250" s="20"/>
      <c r="K2250" s="20"/>
      <c r="L2250" s="5">
        <f>Data!L2250</f>
        <v>0</v>
      </c>
      <c r="M2250" s="5"/>
      <c r="P2250" s="5"/>
      <c r="U2250" s="5"/>
    </row>
    <row r="2251" spans="10:21" x14ac:dyDescent="0.5">
      <c r="J2251" s="20"/>
      <c r="K2251" s="20"/>
      <c r="L2251" s="5">
        <f>Data!L2251</f>
        <v>0</v>
      </c>
      <c r="M2251" s="5"/>
      <c r="P2251" s="5"/>
      <c r="U2251" s="5"/>
    </row>
    <row r="2252" spans="10:21" x14ac:dyDescent="0.5">
      <c r="J2252" s="20"/>
      <c r="K2252" s="20"/>
      <c r="L2252" s="5">
        <f>Data!L2252</f>
        <v>0</v>
      </c>
      <c r="M2252" s="5"/>
      <c r="P2252" s="5"/>
      <c r="U2252" s="5"/>
    </row>
    <row r="2253" spans="10:21" x14ac:dyDescent="0.5">
      <c r="J2253" s="20"/>
      <c r="K2253" s="20"/>
      <c r="L2253" s="5">
        <f>Data!L2253</f>
        <v>0</v>
      </c>
      <c r="M2253" s="5"/>
      <c r="P2253" s="5"/>
      <c r="U2253" s="5"/>
    </row>
    <row r="2254" spans="10:21" x14ac:dyDescent="0.5">
      <c r="J2254" s="20"/>
      <c r="K2254" s="20"/>
      <c r="L2254" s="5">
        <f>Data!L2254</f>
        <v>0</v>
      </c>
      <c r="M2254" s="5"/>
      <c r="P2254" s="5"/>
      <c r="U2254" s="5"/>
    </row>
    <row r="2255" spans="10:21" x14ac:dyDescent="0.5">
      <c r="J2255" s="20"/>
      <c r="K2255" s="20"/>
      <c r="L2255" s="5">
        <f>Data!L2255</f>
        <v>0</v>
      </c>
      <c r="M2255" s="5"/>
      <c r="P2255" s="5"/>
      <c r="U2255" s="5"/>
    </row>
    <row r="2256" spans="10:21" x14ac:dyDescent="0.5">
      <c r="J2256" s="20"/>
      <c r="K2256" s="20"/>
      <c r="L2256" s="5">
        <f>Data!L2256</f>
        <v>0</v>
      </c>
      <c r="M2256" s="5"/>
      <c r="P2256" s="5"/>
      <c r="U2256" s="5"/>
    </row>
    <row r="2257" spans="10:21" x14ac:dyDescent="0.5">
      <c r="J2257" s="20"/>
      <c r="K2257" s="20"/>
      <c r="L2257" s="5">
        <f>Data!L2257</f>
        <v>0</v>
      </c>
      <c r="M2257" s="5"/>
      <c r="P2257" s="5"/>
      <c r="U2257" s="5"/>
    </row>
    <row r="2258" spans="10:21" x14ac:dyDescent="0.5">
      <c r="J2258" s="20"/>
      <c r="K2258" s="20"/>
      <c r="L2258" s="5">
        <f>Data!L2258</f>
        <v>0</v>
      </c>
      <c r="M2258" s="5"/>
      <c r="P2258" s="5"/>
      <c r="U2258" s="5"/>
    </row>
    <row r="2259" spans="10:21" x14ac:dyDescent="0.5">
      <c r="J2259" s="20"/>
      <c r="K2259" s="20"/>
      <c r="L2259" s="5">
        <f>Data!L2259</f>
        <v>0</v>
      </c>
      <c r="M2259" s="5"/>
      <c r="P2259" s="5"/>
      <c r="U2259" s="5"/>
    </row>
    <row r="2260" spans="10:21" x14ac:dyDescent="0.5">
      <c r="J2260" s="20"/>
      <c r="K2260" s="20"/>
      <c r="L2260" s="5">
        <f>Data!L2260</f>
        <v>0</v>
      </c>
      <c r="M2260" s="5"/>
      <c r="P2260" s="5"/>
      <c r="U2260" s="5"/>
    </row>
    <row r="2261" spans="10:21" x14ac:dyDescent="0.5">
      <c r="J2261" s="20"/>
      <c r="K2261" s="20"/>
      <c r="L2261" s="5">
        <f>Data!L2261</f>
        <v>0</v>
      </c>
      <c r="M2261" s="5"/>
      <c r="P2261" s="5"/>
      <c r="U2261" s="5"/>
    </row>
    <row r="2262" spans="10:21" x14ac:dyDescent="0.5">
      <c r="J2262" s="20"/>
      <c r="K2262" s="20"/>
      <c r="L2262" s="5">
        <f>Data!L2262</f>
        <v>0</v>
      </c>
      <c r="M2262" s="5"/>
      <c r="P2262" s="5"/>
      <c r="U2262" s="5"/>
    </row>
    <row r="2263" spans="10:21" x14ac:dyDescent="0.5">
      <c r="J2263" s="20"/>
      <c r="K2263" s="20"/>
      <c r="L2263" s="5">
        <f>Data!L2263</f>
        <v>0</v>
      </c>
      <c r="M2263" s="5"/>
      <c r="P2263" s="5"/>
      <c r="U2263" s="5"/>
    </row>
    <row r="2264" spans="10:21" x14ac:dyDescent="0.5">
      <c r="J2264" s="20"/>
      <c r="K2264" s="20"/>
      <c r="L2264" s="5">
        <f>Data!L2264</f>
        <v>0</v>
      </c>
      <c r="M2264" s="5"/>
      <c r="P2264" s="5"/>
      <c r="U2264" s="5"/>
    </row>
    <row r="2265" spans="10:21" x14ac:dyDescent="0.5">
      <c r="J2265" s="20"/>
      <c r="K2265" s="20"/>
      <c r="L2265" s="5">
        <f>Data!L2265</f>
        <v>0</v>
      </c>
      <c r="M2265" s="5"/>
      <c r="P2265" s="5"/>
      <c r="U2265" s="5"/>
    </row>
    <row r="2266" spans="10:21" x14ac:dyDescent="0.5">
      <c r="J2266" s="20"/>
      <c r="K2266" s="20"/>
      <c r="L2266" s="5">
        <f>Data!L2266</f>
        <v>0</v>
      </c>
      <c r="M2266" s="5"/>
      <c r="P2266" s="5"/>
      <c r="U2266" s="5"/>
    </row>
    <row r="2267" spans="10:21" x14ac:dyDescent="0.5">
      <c r="J2267" s="20"/>
      <c r="K2267" s="20"/>
      <c r="L2267" s="5">
        <f>Data!L2267</f>
        <v>0</v>
      </c>
      <c r="M2267" s="5"/>
      <c r="P2267" s="5"/>
      <c r="U2267" s="5"/>
    </row>
    <row r="2268" spans="10:21" x14ac:dyDescent="0.5">
      <c r="J2268" s="20"/>
      <c r="K2268" s="20"/>
      <c r="L2268" s="5">
        <f>Data!L2268</f>
        <v>0</v>
      </c>
      <c r="M2268" s="5"/>
      <c r="P2268" s="5"/>
      <c r="U2268" s="5"/>
    </row>
    <row r="2269" spans="10:21" x14ac:dyDescent="0.5">
      <c r="J2269" s="20"/>
      <c r="K2269" s="20"/>
      <c r="L2269" s="5">
        <f>Data!L2269</f>
        <v>0</v>
      </c>
      <c r="M2269" s="5"/>
      <c r="P2269" s="5"/>
      <c r="U2269" s="5"/>
    </row>
    <row r="2270" spans="10:21" x14ac:dyDescent="0.5">
      <c r="J2270" s="20"/>
      <c r="K2270" s="20"/>
      <c r="L2270" s="5">
        <f>Data!L2270</f>
        <v>0</v>
      </c>
      <c r="M2270" s="5"/>
      <c r="P2270" s="5"/>
      <c r="U2270" s="5"/>
    </row>
    <row r="2271" spans="10:21" x14ac:dyDescent="0.5">
      <c r="J2271" s="20"/>
      <c r="K2271" s="20"/>
      <c r="L2271" s="5">
        <f>Data!L2271</f>
        <v>0</v>
      </c>
      <c r="M2271" s="5"/>
      <c r="P2271" s="5"/>
      <c r="U2271" s="5"/>
    </row>
    <row r="2272" spans="10:21" x14ac:dyDescent="0.5">
      <c r="J2272" s="20"/>
      <c r="K2272" s="20"/>
      <c r="L2272" s="5">
        <f>Data!L2272</f>
        <v>0</v>
      </c>
      <c r="M2272" s="5"/>
      <c r="P2272" s="5"/>
      <c r="U2272" s="5"/>
    </row>
    <row r="2273" spans="10:21" x14ac:dyDescent="0.5">
      <c r="J2273" s="20"/>
      <c r="K2273" s="20"/>
      <c r="L2273" s="5">
        <f>Data!L2273</f>
        <v>0</v>
      </c>
      <c r="M2273" s="5"/>
      <c r="P2273" s="5"/>
      <c r="U2273" s="5"/>
    </row>
    <row r="2274" spans="10:21" x14ac:dyDescent="0.5">
      <c r="J2274" s="20"/>
      <c r="K2274" s="20"/>
      <c r="L2274" s="5">
        <f>Data!L2274</f>
        <v>0</v>
      </c>
      <c r="M2274" s="5"/>
      <c r="P2274" s="5"/>
      <c r="U2274" s="5"/>
    </row>
    <row r="2275" spans="10:21" x14ac:dyDescent="0.5">
      <c r="J2275" s="20"/>
      <c r="K2275" s="20"/>
      <c r="L2275" s="5">
        <f>Data!L2275</f>
        <v>0</v>
      </c>
      <c r="M2275" s="5"/>
      <c r="P2275" s="5"/>
      <c r="U2275" s="5"/>
    </row>
    <row r="2276" spans="10:21" x14ac:dyDescent="0.5">
      <c r="J2276" s="20"/>
      <c r="K2276" s="20"/>
      <c r="L2276" s="5">
        <f>Data!L2276</f>
        <v>0</v>
      </c>
      <c r="M2276" s="5"/>
      <c r="P2276" s="5"/>
      <c r="U2276" s="5"/>
    </row>
    <row r="2277" spans="10:21" x14ac:dyDescent="0.5">
      <c r="J2277" s="20"/>
      <c r="K2277" s="20"/>
      <c r="L2277" s="5">
        <f>Data!L2277</f>
        <v>0</v>
      </c>
      <c r="M2277" s="5"/>
      <c r="P2277" s="5"/>
      <c r="U2277" s="5"/>
    </row>
    <row r="2278" spans="10:21" x14ac:dyDescent="0.5">
      <c r="J2278" s="20"/>
      <c r="K2278" s="20"/>
      <c r="L2278" s="5">
        <f>Data!L2278</f>
        <v>0</v>
      </c>
      <c r="M2278" s="5"/>
      <c r="P2278" s="5"/>
      <c r="U2278" s="5"/>
    </row>
    <row r="2279" spans="10:21" x14ac:dyDescent="0.5">
      <c r="J2279" s="20"/>
      <c r="K2279" s="20"/>
      <c r="L2279" s="5">
        <f>Data!L2279</f>
        <v>0</v>
      </c>
      <c r="M2279" s="5"/>
      <c r="P2279" s="5"/>
      <c r="U2279" s="5"/>
    </row>
    <row r="2280" spans="10:21" x14ac:dyDescent="0.5">
      <c r="J2280" s="20"/>
      <c r="K2280" s="20"/>
      <c r="L2280" s="5">
        <f>Data!L2280</f>
        <v>0</v>
      </c>
      <c r="M2280" s="5"/>
      <c r="P2280" s="5"/>
      <c r="U2280" s="5"/>
    </row>
    <row r="2281" spans="10:21" x14ac:dyDescent="0.5">
      <c r="J2281" s="20"/>
      <c r="K2281" s="20"/>
      <c r="L2281" s="5">
        <f>Data!L2281</f>
        <v>0</v>
      </c>
      <c r="M2281" s="5"/>
      <c r="P2281" s="5"/>
      <c r="U2281" s="5"/>
    </row>
    <row r="2282" spans="10:21" x14ac:dyDescent="0.5">
      <c r="J2282" s="20"/>
      <c r="K2282" s="20"/>
      <c r="L2282" s="5">
        <f>Data!L2282</f>
        <v>0</v>
      </c>
      <c r="M2282" s="5"/>
      <c r="P2282" s="5"/>
      <c r="U2282" s="5"/>
    </row>
    <row r="2283" spans="10:21" x14ac:dyDescent="0.5">
      <c r="J2283" s="20"/>
      <c r="K2283" s="20"/>
      <c r="L2283" s="5">
        <f>Data!L2283</f>
        <v>0</v>
      </c>
      <c r="M2283" s="5"/>
      <c r="P2283" s="5"/>
      <c r="U2283" s="5"/>
    </row>
    <row r="2284" spans="10:21" x14ac:dyDescent="0.5">
      <c r="J2284" s="20"/>
      <c r="K2284" s="20"/>
      <c r="L2284" s="5">
        <f>Data!L2284</f>
        <v>0</v>
      </c>
      <c r="M2284" s="5"/>
      <c r="P2284" s="5"/>
      <c r="U2284" s="5"/>
    </row>
    <row r="2285" spans="10:21" x14ac:dyDescent="0.5">
      <c r="J2285" s="20"/>
      <c r="K2285" s="20"/>
      <c r="L2285" s="5">
        <f>Data!L2285</f>
        <v>0</v>
      </c>
      <c r="M2285" s="5"/>
      <c r="P2285" s="5"/>
      <c r="U2285" s="5"/>
    </row>
    <row r="2286" spans="10:21" x14ac:dyDescent="0.5">
      <c r="J2286" s="20"/>
      <c r="K2286" s="20"/>
      <c r="L2286" s="5">
        <f>Data!L2286</f>
        <v>0</v>
      </c>
      <c r="M2286" s="5"/>
      <c r="P2286" s="5"/>
      <c r="U2286" s="5"/>
    </row>
    <row r="2287" spans="10:21" x14ac:dyDescent="0.5">
      <c r="J2287" s="20"/>
      <c r="K2287" s="20"/>
      <c r="L2287" s="5">
        <f>Data!L2287</f>
        <v>0</v>
      </c>
      <c r="M2287" s="5"/>
      <c r="P2287" s="5"/>
      <c r="U2287" s="5"/>
    </row>
    <row r="2288" spans="10:21" x14ac:dyDescent="0.5">
      <c r="J2288" s="20"/>
      <c r="K2288" s="20"/>
      <c r="L2288" s="5">
        <f>Data!L2288</f>
        <v>0</v>
      </c>
      <c r="M2288" s="5"/>
      <c r="P2288" s="5"/>
      <c r="U2288" s="5"/>
    </row>
    <row r="2289" spans="10:21" x14ac:dyDescent="0.5">
      <c r="J2289" s="20"/>
      <c r="K2289" s="20"/>
      <c r="L2289" s="5">
        <f>Data!L2289</f>
        <v>0</v>
      </c>
      <c r="M2289" s="5"/>
      <c r="P2289" s="5"/>
      <c r="U2289" s="5"/>
    </row>
    <row r="2290" spans="10:21" x14ac:dyDescent="0.5">
      <c r="J2290" s="20"/>
      <c r="K2290" s="20"/>
      <c r="L2290" s="5">
        <f>Data!L2290</f>
        <v>0</v>
      </c>
      <c r="M2290" s="5"/>
      <c r="P2290" s="5"/>
      <c r="U2290" s="5"/>
    </row>
    <row r="2291" spans="10:21" x14ac:dyDescent="0.5">
      <c r="J2291" s="20"/>
      <c r="K2291" s="20"/>
      <c r="L2291" s="5">
        <f>Data!L2291</f>
        <v>0</v>
      </c>
      <c r="M2291" s="5"/>
      <c r="P2291" s="5"/>
      <c r="U2291" s="5"/>
    </row>
    <row r="2292" spans="10:21" x14ac:dyDescent="0.5">
      <c r="J2292" s="20"/>
      <c r="K2292" s="20"/>
      <c r="L2292" s="5">
        <f>Data!L2292</f>
        <v>0</v>
      </c>
      <c r="M2292" s="5"/>
      <c r="P2292" s="5"/>
      <c r="U2292" s="5"/>
    </row>
    <row r="2293" spans="10:21" x14ac:dyDescent="0.5">
      <c r="J2293" s="20"/>
      <c r="K2293" s="20"/>
      <c r="L2293" s="5">
        <f>Data!L2293</f>
        <v>0</v>
      </c>
      <c r="M2293" s="5"/>
      <c r="P2293" s="5"/>
      <c r="U2293" s="5"/>
    </row>
    <row r="2294" spans="10:21" x14ac:dyDescent="0.5">
      <c r="J2294" s="20"/>
      <c r="K2294" s="20"/>
      <c r="L2294" s="5">
        <f>Data!L2294</f>
        <v>0</v>
      </c>
      <c r="M2294" s="5"/>
      <c r="P2294" s="5"/>
      <c r="U2294" s="5"/>
    </row>
    <row r="2295" spans="10:21" x14ac:dyDescent="0.5">
      <c r="J2295" s="20"/>
      <c r="K2295" s="20"/>
      <c r="L2295" s="5">
        <f>Data!L2295</f>
        <v>0</v>
      </c>
      <c r="M2295" s="5"/>
      <c r="P2295" s="5"/>
      <c r="U2295" s="5"/>
    </row>
    <row r="2296" spans="10:21" x14ac:dyDescent="0.5">
      <c r="J2296" s="20"/>
      <c r="K2296" s="20"/>
      <c r="L2296" s="5">
        <f>Data!L2296</f>
        <v>0</v>
      </c>
      <c r="M2296" s="5"/>
      <c r="P2296" s="5"/>
      <c r="U2296" s="5"/>
    </row>
    <row r="2297" spans="10:21" x14ac:dyDescent="0.5">
      <c r="J2297" s="20"/>
      <c r="K2297" s="20"/>
      <c r="L2297" s="5">
        <f>Data!L2297</f>
        <v>0</v>
      </c>
      <c r="M2297" s="5"/>
      <c r="P2297" s="5"/>
      <c r="U2297" s="5"/>
    </row>
    <row r="2298" spans="10:21" x14ac:dyDescent="0.5">
      <c r="J2298" s="20"/>
      <c r="K2298" s="20"/>
      <c r="L2298" s="5">
        <f>Data!L2298</f>
        <v>0</v>
      </c>
      <c r="M2298" s="5"/>
      <c r="P2298" s="5"/>
      <c r="U2298" s="5"/>
    </row>
    <row r="2299" spans="10:21" x14ac:dyDescent="0.5">
      <c r="J2299" s="20"/>
      <c r="K2299" s="20"/>
      <c r="L2299" s="5">
        <f>Data!L2299</f>
        <v>0</v>
      </c>
      <c r="M2299" s="5"/>
      <c r="P2299" s="5"/>
      <c r="U2299" s="5"/>
    </row>
    <row r="2300" spans="10:21" x14ac:dyDescent="0.5">
      <c r="J2300" s="20"/>
      <c r="K2300" s="20"/>
      <c r="L2300" s="5">
        <f>Data!L2300</f>
        <v>0</v>
      </c>
      <c r="M2300" s="5"/>
      <c r="P2300" s="5"/>
      <c r="U2300" s="5"/>
    </row>
    <row r="2301" spans="10:21" x14ac:dyDescent="0.5">
      <c r="J2301" s="20"/>
      <c r="K2301" s="20"/>
      <c r="L2301" s="5">
        <f>Data!L2301</f>
        <v>0</v>
      </c>
      <c r="M2301" s="5"/>
      <c r="P2301" s="5"/>
      <c r="U2301" s="5"/>
    </row>
    <row r="2302" spans="10:21" x14ac:dyDescent="0.5">
      <c r="J2302" s="20"/>
      <c r="K2302" s="20"/>
      <c r="L2302" s="5">
        <f>Data!L2302</f>
        <v>0</v>
      </c>
      <c r="M2302" s="5"/>
      <c r="P2302" s="5"/>
      <c r="U2302" s="5"/>
    </row>
    <row r="2303" spans="10:21" x14ac:dyDescent="0.5">
      <c r="J2303" s="20"/>
      <c r="K2303" s="20"/>
      <c r="L2303" s="5">
        <f>Data!L2303</f>
        <v>0</v>
      </c>
      <c r="M2303" s="5"/>
      <c r="P2303" s="5"/>
      <c r="U2303" s="5"/>
    </row>
    <row r="2304" spans="10:21" x14ac:dyDescent="0.5">
      <c r="J2304" s="20"/>
      <c r="K2304" s="20"/>
      <c r="L2304" s="5">
        <f>Data!L2304</f>
        <v>0</v>
      </c>
      <c r="M2304" s="5"/>
      <c r="P2304" s="5"/>
      <c r="U2304" s="5"/>
    </row>
    <row r="2305" spans="10:21" x14ac:dyDescent="0.5">
      <c r="J2305" s="20"/>
      <c r="K2305" s="20"/>
      <c r="L2305" s="5">
        <f>Data!L2305</f>
        <v>0</v>
      </c>
      <c r="M2305" s="5"/>
      <c r="P2305" s="5"/>
      <c r="U2305" s="5"/>
    </row>
    <row r="2306" spans="10:21" x14ac:dyDescent="0.5">
      <c r="J2306" s="20"/>
      <c r="K2306" s="20"/>
      <c r="L2306" s="5">
        <f>Data!L2306</f>
        <v>0</v>
      </c>
      <c r="M2306" s="5"/>
      <c r="P2306" s="5"/>
      <c r="U2306" s="5"/>
    </row>
    <row r="2307" spans="10:21" x14ac:dyDescent="0.5">
      <c r="J2307" s="20"/>
      <c r="K2307" s="20"/>
      <c r="L2307" s="5">
        <f>Data!L2307</f>
        <v>0</v>
      </c>
      <c r="M2307" s="5"/>
      <c r="P2307" s="5"/>
      <c r="U2307" s="5"/>
    </row>
    <row r="2308" spans="10:21" x14ac:dyDescent="0.5">
      <c r="J2308" s="20"/>
      <c r="K2308" s="20"/>
      <c r="L2308" s="5">
        <f>Data!L2308</f>
        <v>0</v>
      </c>
      <c r="M2308" s="5"/>
      <c r="P2308" s="5"/>
      <c r="U2308" s="5"/>
    </row>
    <row r="2309" spans="10:21" x14ac:dyDescent="0.5">
      <c r="J2309" s="20"/>
      <c r="K2309" s="20"/>
      <c r="L2309" s="5">
        <f>Data!L2309</f>
        <v>0</v>
      </c>
      <c r="M2309" s="5"/>
      <c r="P2309" s="5"/>
      <c r="U2309" s="5"/>
    </row>
    <row r="2310" spans="10:21" x14ac:dyDescent="0.5">
      <c r="J2310" s="20"/>
      <c r="K2310" s="20"/>
      <c r="L2310" s="5">
        <f>Data!L2310</f>
        <v>0</v>
      </c>
      <c r="M2310" s="5"/>
      <c r="P2310" s="5"/>
      <c r="U2310" s="5"/>
    </row>
    <row r="2311" spans="10:21" x14ac:dyDescent="0.5">
      <c r="J2311" s="20"/>
      <c r="K2311" s="20"/>
      <c r="L2311" s="5">
        <f>Data!L2311</f>
        <v>0</v>
      </c>
      <c r="M2311" s="5"/>
      <c r="P2311" s="5"/>
      <c r="U2311" s="5"/>
    </row>
    <row r="2312" spans="10:21" x14ac:dyDescent="0.5">
      <c r="J2312" s="20"/>
      <c r="K2312" s="20"/>
      <c r="L2312" s="5">
        <f>Data!L2312</f>
        <v>0</v>
      </c>
      <c r="M2312" s="5"/>
      <c r="P2312" s="5"/>
      <c r="U2312" s="5"/>
    </row>
    <row r="2313" spans="10:21" x14ac:dyDescent="0.5">
      <c r="J2313" s="20"/>
      <c r="K2313" s="20"/>
      <c r="L2313" s="5">
        <f>Data!L2313</f>
        <v>0</v>
      </c>
      <c r="M2313" s="5"/>
      <c r="P2313" s="5"/>
      <c r="U2313" s="5"/>
    </row>
    <row r="2314" spans="10:21" x14ac:dyDescent="0.5">
      <c r="J2314" s="20"/>
      <c r="K2314" s="20"/>
      <c r="L2314" s="5">
        <f>Data!L2314</f>
        <v>0</v>
      </c>
      <c r="M2314" s="5"/>
      <c r="P2314" s="5"/>
      <c r="U2314" s="5"/>
    </row>
    <row r="2315" spans="10:21" x14ac:dyDescent="0.5">
      <c r="J2315" s="20"/>
      <c r="K2315" s="20"/>
      <c r="L2315" s="5">
        <f>Data!L2315</f>
        <v>0</v>
      </c>
      <c r="M2315" s="5"/>
      <c r="P2315" s="5"/>
      <c r="U2315" s="5"/>
    </row>
    <row r="2316" spans="10:21" x14ac:dyDescent="0.5">
      <c r="J2316" s="20"/>
      <c r="K2316" s="20"/>
      <c r="L2316" s="5">
        <f>Data!L2316</f>
        <v>0</v>
      </c>
      <c r="M2316" s="5"/>
      <c r="P2316" s="5"/>
      <c r="U2316" s="5"/>
    </row>
    <row r="2317" spans="10:21" x14ac:dyDescent="0.5">
      <c r="J2317" s="20"/>
      <c r="K2317" s="20"/>
      <c r="L2317" s="5">
        <f>Data!L2317</f>
        <v>0</v>
      </c>
      <c r="M2317" s="5"/>
      <c r="P2317" s="5"/>
      <c r="U2317" s="5"/>
    </row>
    <row r="2318" spans="10:21" x14ac:dyDescent="0.5">
      <c r="J2318" s="20"/>
      <c r="K2318" s="20"/>
      <c r="L2318" s="5">
        <f>Data!L2318</f>
        <v>0</v>
      </c>
      <c r="M2318" s="5"/>
      <c r="P2318" s="5"/>
      <c r="U2318" s="5"/>
    </row>
    <row r="2319" spans="10:21" x14ac:dyDescent="0.5">
      <c r="J2319" s="20"/>
      <c r="K2319" s="20"/>
      <c r="L2319" s="5">
        <f>Data!L2319</f>
        <v>0</v>
      </c>
      <c r="M2319" s="5"/>
      <c r="P2319" s="5"/>
      <c r="U2319" s="5"/>
    </row>
    <row r="2320" spans="10:21" x14ac:dyDescent="0.5">
      <c r="J2320" s="20"/>
      <c r="K2320" s="20"/>
      <c r="L2320" s="5">
        <f>Data!L2320</f>
        <v>0</v>
      </c>
      <c r="M2320" s="5"/>
      <c r="P2320" s="5"/>
      <c r="U2320" s="5"/>
    </row>
    <row r="2321" spans="10:21" x14ac:dyDescent="0.5">
      <c r="J2321" s="20"/>
      <c r="K2321" s="20"/>
      <c r="L2321" s="5">
        <f>Data!L2321</f>
        <v>0</v>
      </c>
      <c r="M2321" s="5"/>
      <c r="P2321" s="5"/>
      <c r="U2321" s="5"/>
    </row>
    <row r="2322" spans="10:21" x14ac:dyDescent="0.5">
      <c r="J2322" s="20"/>
      <c r="K2322" s="20"/>
      <c r="L2322" s="5">
        <f>Data!L2322</f>
        <v>0</v>
      </c>
      <c r="M2322" s="5"/>
      <c r="P2322" s="5"/>
      <c r="U2322" s="5"/>
    </row>
    <row r="2323" spans="10:21" x14ac:dyDescent="0.5">
      <c r="J2323" s="20"/>
      <c r="K2323" s="20"/>
      <c r="L2323" s="5">
        <f>Data!L2323</f>
        <v>0</v>
      </c>
      <c r="M2323" s="5"/>
      <c r="P2323" s="5"/>
      <c r="U2323" s="5"/>
    </row>
    <row r="2324" spans="10:21" x14ac:dyDescent="0.5">
      <c r="J2324" s="20"/>
      <c r="K2324" s="20"/>
      <c r="L2324" s="5">
        <f>Data!L2324</f>
        <v>0</v>
      </c>
      <c r="M2324" s="5"/>
      <c r="P2324" s="5"/>
      <c r="U2324" s="5"/>
    </row>
    <row r="2325" spans="10:21" x14ac:dyDescent="0.5">
      <c r="J2325" s="20"/>
      <c r="K2325" s="20"/>
      <c r="L2325" s="5">
        <f>Data!L2325</f>
        <v>0</v>
      </c>
      <c r="M2325" s="5"/>
      <c r="P2325" s="5"/>
      <c r="U2325" s="5"/>
    </row>
    <row r="2326" spans="10:21" x14ac:dyDescent="0.5">
      <c r="J2326" s="20"/>
      <c r="K2326" s="20"/>
      <c r="L2326" s="5">
        <f>Data!L2326</f>
        <v>0</v>
      </c>
      <c r="M2326" s="5"/>
      <c r="P2326" s="5"/>
      <c r="U2326" s="5"/>
    </row>
    <row r="2327" spans="10:21" x14ac:dyDescent="0.5">
      <c r="J2327" s="20"/>
      <c r="K2327" s="20"/>
      <c r="L2327" s="5">
        <f>Data!L2327</f>
        <v>0</v>
      </c>
      <c r="M2327" s="5"/>
      <c r="P2327" s="5"/>
      <c r="U2327" s="5"/>
    </row>
    <row r="2328" spans="10:21" x14ac:dyDescent="0.5">
      <c r="J2328" s="20"/>
      <c r="K2328" s="20"/>
      <c r="L2328" s="5">
        <f>Data!L2328</f>
        <v>0</v>
      </c>
      <c r="M2328" s="5"/>
      <c r="P2328" s="5"/>
      <c r="U2328" s="5"/>
    </row>
    <row r="2329" spans="10:21" x14ac:dyDescent="0.5">
      <c r="J2329" s="20"/>
      <c r="K2329" s="20"/>
      <c r="L2329" s="5">
        <f>Data!L2329</f>
        <v>0</v>
      </c>
      <c r="M2329" s="5"/>
      <c r="P2329" s="5"/>
      <c r="U2329" s="5"/>
    </row>
    <row r="2330" spans="10:21" x14ac:dyDescent="0.5">
      <c r="J2330" s="20"/>
      <c r="K2330" s="20"/>
      <c r="L2330" s="5">
        <f>Data!L2330</f>
        <v>0</v>
      </c>
      <c r="M2330" s="5"/>
      <c r="P2330" s="5"/>
      <c r="U2330" s="5"/>
    </row>
    <row r="2331" spans="10:21" x14ac:dyDescent="0.5">
      <c r="J2331" s="20"/>
      <c r="K2331" s="20"/>
      <c r="L2331" s="5">
        <f>Data!L2331</f>
        <v>0</v>
      </c>
      <c r="M2331" s="5"/>
      <c r="P2331" s="5"/>
      <c r="U2331" s="5"/>
    </row>
    <row r="2332" spans="10:21" x14ac:dyDescent="0.5">
      <c r="J2332" s="20"/>
      <c r="K2332" s="20"/>
      <c r="L2332" s="5">
        <f>Data!L2332</f>
        <v>0</v>
      </c>
      <c r="M2332" s="5"/>
      <c r="P2332" s="5"/>
      <c r="U2332" s="5"/>
    </row>
    <row r="2333" spans="10:21" x14ac:dyDescent="0.5">
      <c r="J2333" s="20"/>
      <c r="K2333" s="20"/>
      <c r="L2333" s="5">
        <f>Data!L2333</f>
        <v>0</v>
      </c>
      <c r="M2333" s="5"/>
      <c r="P2333" s="5"/>
      <c r="U2333" s="5"/>
    </row>
    <row r="2334" spans="10:21" x14ac:dyDescent="0.5">
      <c r="J2334" s="20"/>
      <c r="K2334" s="20"/>
      <c r="L2334" s="5">
        <f>Data!L2334</f>
        <v>0</v>
      </c>
      <c r="M2334" s="5"/>
      <c r="P2334" s="5"/>
      <c r="U2334" s="5"/>
    </row>
    <row r="2335" spans="10:21" x14ac:dyDescent="0.5">
      <c r="J2335" s="20"/>
      <c r="K2335" s="20"/>
      <c r="L2335" s="5">
        <f>Data!L2335</f>
        <v>0</v>
      </c>
      <c r="M2335" s="5"/>
      <c r="P2335" s="5"/>
      <c r="U2335" s="5"/>
    </row>
    <row r="2336" spans="10:21" x14ac:dyDescent="0.5">
      <c r="J2336" s="20"/>
      <c r="K2336" s="20"/>
      <c r="L2336" s="5">
        <f>Data!L2336</f>
        <v>0</v>
      </c>
      <c r="M2336" s="5"/>
      <c r="P2336" s="5"/>
      <c r="U2336" s="5"/>
    </row>
    <row r="2337" spans="10:21" x14ac:dyDescent="0.5">
      <c r="J2337" s="20"/>
      <c r="K2337" s="20"/>
      <c r="L2337" s="5">
        <f>Data!L2337</f>
        <v>0</v>
      </c>
      <c r="M2337" s="5"/>
      <c r="P2337" s="5"/>
      <c r="U2337" s="5"/>
    </row>
    <row r="2338" spans="10:21" x14ac:dyDescent="0.5">
      <c r="J2338" s="20"/>
      <c r="K2338" s="20"/>
      <c r="L2338" s="5">
        <f>Data!L2338</f>
        <v>0</v>
      </c>
      <c r="M2338" s="5"/>
      <c r="P2338" s="5"/>
      <c r="U2338" s="5"/>
    </row>
    <row r="2339" spans="10:21" x14ac:dyDescent="0.5">
      <c r="J2339" s="20"/>
      <c r="K2339" s="20"/>
      <c r="L2339" s="5">
        <f>Data!L2339</f>
        <v>0</v>
      </c>
      <c r="M2339" s="5"/>
      <c r="P2339" s="5"/>
      <c r="U2339" s="5"/>
    </row>
    <row r="2340" spans="10:21" x14ac:dyDescent="0.5">
      <c r="J2340" s="20"/>
      <c r="K2340" s="20"/>
      <c r="L2340" s="5">
        <f>Data!L2340</f>
        <v>0</v>
      </c>
      <c r="M2340" s="5"/>
      <c r="P2340" s="5"/>
      <c r="U2340" s="5"/>
    </row>
    <row r="2341" spans="10:21" x14ac:dyDescent="0.5">
      <c r="J2341" s="20"/>
      <c r="K2341" s="20"/>
      <c r="L2341" s="5">
        <f>Data!L2341</f>
        <v>0</v>
      </c>
      <c r="M2341" s="5"/>
      <c r="P2341" s="5"/>
      <c r="U2341" s="5"/>
    </row>
    <row r="2342" spans="10:21" x14ac:dyDescent="0.5">
      <c r="J2342" s="20"/>
      <c r="K2342" s="20"/>
      <c r="L2342" s="5">
        <f>Data!L2342</f>
        <v>0</v>
      </c>
      <c r="M2342" s="5"/>
      <c r="P2342" s="5"/>
      <c r="U2342" s="5"/>
    </row>
    <row r="2343" spans="10:21" x14ac:dyDescent="0.5">
      <c r="J2343" s="20"/>
      <c r="K2343" s="20"/>
      <c r="L2343" s="5">
        <f>Data!L2343</f>
        <v>0</v>
      </c>
      <c r="M2343" s="5"/>
      <c r="P2343" s="5"/>
      <c r="U2343" s="5"/>
    </row>
    <row r="2344" spans="10:21" x14ac:dyDescent="0.5">
      <c r="J2344" s="20"/>
      <c r="K2344" s="20"/>
      <c r="L2344" s="5">
        <f>Data!L2344</f>
        <v>0</v>
      </c>
      <c r="M2344" s="5"/>
      <c r="P2344" s="5"/>
      <c r="U2344" s="5"/>
    </row>
    <row r="2345" spans="10:21" x14ac:dyDescent="0.5">
      <c r="J2345" s="20"/>
      <c r="K2345" s="20"/>
      <c r="L2345" s="5">
        <f>Data!L2345</f>
        <v>0</v>
      </c>
      <c r="M2345" s="5"/>
      <c r="P2345" s="5"/>
      <c r="U2345" s="5"/>
    </row>
    <row r="2346" spans="10:21" x14ac:dyDescent="0.5">
      <c r="J2346" s="20"/>
      <c r="K2346" s="20"/>
      <c r="L2346" s="5">
        <f>Data!L2346</f>
        <v>0</v>
      </c>
      <c r="M2346" s="5"/>
      <c r="P2346" s="5"/>
      <c r="U2346" s="5"/>
    </row>
    <row r="2347" spans="10:21" x14ac:dyDescent="0.5">
      <c r="J2347" s="20"/>
      <c r="K2347" s="20"/>
      <c r="L2347" s="5">
        <f>Data!L2347</f>
        <v>0</v>
      </c>
      <c r="M2347" s="5"/>
      <c r="P2347" s="5"/>
      <c r="U2347" s="5"/>
    </row>
    <row r="2348" spans="10:21" x14ac:dyDescent="0.5">
      <c r="J2348" s="20"/>
      <c r="K2348" s="20"/>
      <c r="L2348" s="5">
        <f>Data!L2348</f>
        <v>0</v>
      </c>
      <c r="M2348" s="5"/>
      <c r="P2348" s="5"/>
      <c r="U2348" s="5"/>
    </row>
    <row r="2349" spans="10:21" x14ac:dyDescent="0.5">
      <c r="J2349" s="20"/>
      <c r="K2349" s="20"/>
      <c r="L2349" s="5">
        <f>Data!L2349</f>
        <v>0</v>
      </c>
      <c r="M2349" s="5"/>
      <c r="P2349" s="5"/>
      <c r="U2349" s="5"/>
    </row>
    <row r="2350" spans="10:21" x14ac:dyDescent="0.5">
      <c r="J2350" s="20"/>
      <c r="K2350" s="20"/>
      <c r="L2350" s="5">
        <f>Data!L2350</f>
        <v>0</v>
      </c>
      <c r="M2350" s="5"/>
      <c r="P2350" s="5"/>
      <c r="U2350" s="5"/>
    </row>
    <row r="2351" spans="10:21" x14ac:dyDescent="0.5">
      <c r="J2351" s="20"/>
      <c r="K2351" s="20"/>
      <c r="L2351" s="5">
        <f>Data!L2351</f>
        <v>0</v>
      </c>
      <c r="M2351" s="5"/>
      <c r="P2351" s="5"/>
      <c r="U2351" s="5"/>
    </row>
    <row r="2352" spans="10:21" x14ac:dyDescent="0.5">
      <c r="J2352" s="20"/>
      <c r="K2352" s="20"/>
      <c r="L2352" s="5">
        <f>Data!L2352</f>
        <v>0</v>
      </c>
      <c r="M2352" s="5"/>
      <c r="P2352" s="5"/>
      <c r="U2352" s="5"/>
    </row>
    <row r="2353" spans="10:21" x14ac:dyDescent="0.5">
      <c r="J2353" s="20"/>
      <c r="K2353" s="20"/>
      <c r="L2353" s="5">
        <f>Data!L2353</f>
        <v>0</v>
      </c>
      <c r="M2353" s="5"/>
      <c r="P2353" s="5"/>
      <c r="U2353" s="5"/>
    </row>
    <row r="2354" spans="10:21" x14ac:dyDescent="0.5">
      <c r="J2354" s="20"/>
      <c r="K2354" s="20"/>
      <c r="L2354" s="5">
        <f>Data!L2354</f>
        <v>0</v>
      </c>
      <c r="M2354" s="5"/>
      <c r="P2354" s="5"/>
      <c r="U2354" s="5"/>
    </row>
    <row r="2355" spans="10:21" x14ac:dyDescent="0.5">
      <c r="J2355" s="20"/>
      <c r="K2355" s="20"/>
      <c r="L2355" s="5">
        <f>Data!L2355</f>
        <v>0</v>
      </c>
      <c r="M2355" s="5"/>
      <c r="P2355" s="5"/>
      <c r="U2355" s="5"/>
    </row>
    <row r="2356" spans="10:21" x14ac:dyDescent="0.5">
      <c r="J2356" s="20"/>
      <c r="K2356" s="20"/>
      <c r="L2356" s="5">
        <f>Data!L2356</f>
        <v>0</v>
      </c>
      <c r="M2356" s="5"/>
      <c r="P2356" s="5"/>
      <c r="U2356" s="5"/>
    </row>
    <row r="2357" spans="10:21" x14ac:dyDescent="0.5">
      <c r="J2357" s="20"/>
      <c r="K2357" s="20"/>
      <c r="L2357" s="5">
        <f>Data!L2357</f>
        <v>0</v>
      </c>
      <c r="M2357" s="5"/>
      <c r="P2357" s="5"/>
      <c r="U2357" s="5"/>
    </row>
    <row r="2358" spans="10:21" x14ac:dyDescent="0.5">
      <c r="J2358" s="20"/>
      <c r="K2358" s="20"/>
      <c r="L2358" s="5">
        <f>Data!L2358</f>
        <v>0</v>
      </c>
      <c r="M2358" s="5"/>
      <c r="P2358" s="5"/>
      <c r="U2358" s="5"/>
    </row>
    <row r="2359" spans="10:21" x14ac:dyDescent="0.5">
      <c r="J2359" s="20"/>
      <c r="K2359" s="20"/>
      <c r="L2359" s="5">
        <f>Data!L2359</f>
        <v>0</v>
      </c>
      <c r="M2359" s="5"/>
      <c r="P2359" s="5"/>
      <c r="U2359" s="5"/>
    </row>
    <row r="2360" spans="10:21" x14ac:dyDescent="0.5">
      <c r="J2360" s="20"/>
      <c r="K2360" s="20"/>
      <c r="L2360" s="5">
        <f>Data!L2360</f>
        <v>0</v>
      </c>
      <c r="M2360" s="5"/>
      <c r="P2360" s="5"/>
      <c r="U2360" s="5"/>
    </row>
    <row r="2361" spans="10:21" x14ac:dyDescent="0.5">
      <c r="J2361" s="20"/>
      <c r="K2361" s="20"/>
      <c r="L2361" s="5">
        <f>Data!L2361</f>
        <v>0</v>
      </c>
      <c r="M2361" s="5"/>
      <c r="P2361" s="5"/>
      <c r="U2361" s="5"/>
    </row>
    <row r="2362" spans="10:21" x14ac:dyDescent="0.5">
      <c r="J2362" s="20"/>
      <c r="K2362" s="20"/>
      <c r="L2362" s="5">
        <f>Data!L2362</f>
        <v>0</v>
      </c>
      <c r="M2362" s="5"/>
      <c r="P2362" s="5"/>
      <c r="U2362" s="5"/>
    </row>
    <row r="2363" spans="10:21" x14ac:dyDescent="0.5">
      <c r="J2363" s="20"/>
      <c r="K2363" s="20"/>
      <c r="L2363" s="5">
        <f>Data!L2363</f>
        <v>0</v>
      </c>
      <c r="M2363" s="5"/>
      <c r="P2363" s="5"/>
      <c r="U2363" s="5"/>
    </row>
    <row r="2364" spans="10:21" x14ac:dyDescent="0.5">
      <c r="J2364" s="20"/>
      <c r="K2364" s="20"/>
      <c r="L2364" s="5">
        <f>Data!L2364</f>
        <v>0</v>
      </c>
      <c r="M2364" s="5"/>
      <c r="P2364" s="5"/>
      <c r="U2364" s="5"/>
    </row>
    <row r="2365" spans="10:21" x14ac:dyDescent="0.5">
      <c r="J2365" s="20"/>
      <c r="K2365" s="20"/>
      <c r="L2365" s="5">
        <f>Data!L2365</f>
        <v>0</v>
      </c>
      <c r="M2365" s="5"/>
      <c r="P2365" s="5"/>
      <c r="U2365" s="5"/>
    </row>
    <row r="2366" spans="10:21" x14ac:dyDescent="0.5">
      <c r="J2366" s="20"/>
      <c r="K2366" s="20"/>
      <c r="L2366" s="5">
        <f>Data!L2366</f>
        <v>0</v>
      </c>
      <c r="M2366" s="5"/>
      <c r="P2366" s="5"/>
      <c r="U2366" s="5"/>
    </row>
    <row r="2367" spans="10:21" x14ac:dyDescent="0.5">
      <c r="J2367" s="20"/>
      <c r="K2367" s="20"/>
      <c r="L2367" s="5">
        <f>Data!L2367</f>
        <v>0</v>
      </c>
      <c r="M2367" s="5"/>
      <c r="P2367" s="5"/>
      <c r="U2367" s="5"/>
    </row>
    <row r="2368" spans="10:21" x14ac:dyDescent="0.5">
      <c r="J2368" s="20"/>
      <c r="K2368" s="20"/>
      <c r="L2368" s="5">
        <f>Data!L2368</f>
        <v>0</v>
      </c>
      <c r="M2368" s="5"/>
      <c r="P2368" s="5"/>
      <c r="U2368" s="5"/>
    </row>
    <row r="2369" spans="10:21" x14ac:dyDescent="0.5">
      <c r="J2369" s="20"/>
      <c r="K2369" s="20"/>
      <c r="L2369" s="5">
        <f>Data!L2369</f>
        <v>0</v>
      </c>
      <c r="M2369" s="5"/>
      <c r="P2369" s="5"/>
      <c r="U2369" s="5"/>
    </row>
    <row r="2370" spans="10:21" x14ac:dyDescent="0.5">
      <c r="J2370" s="20"/>
      <c r="K2370" s="20"/>
      <c r="L2370" s="5">
        <f>Data!L2370</f>
        <v>0</v>
      </c>
      <c r="M2370" s="5"/>
      <c r="P2370" s="5"/>
      <c r="U2370" s="5"/>
    </row>
    <row r="2371" spans="10:21" x14ac:dyDescent="0.5">
      <c r="J2371" s="20"/>
      <c r="K2371" s="20"/>
      <c r="L2371" s="5">
        <f>Data!L2371</f>
        <v>0</v>
      </c>
      <c r="M2371" s="5"/>
      <c r="P2371" s="5"/>
      <c r="U2371" s="5"/>
    </row>
    <row r="2372" spans="10:21" x14ac:dyDescent="0.5">
      <c r="J2372" s="20"/>
      <c r="K2372" s="20"/>
      <c r="L2372" s="5">
        <f>Data!L2372</f>
        <v>0</v>
      </c>
      <c r="M2372" s="5"/>
      <c r="P2372" s="5"/>
      <c r="U2372" s="5"/>
    </row>
    <row r="2373" spans="10:21" x14ac:dyDescent="0.5">
      <c r="J2373" s="20"/>
      <c r="K2373" s="20"/>
      <c r="L2373" s="5">
        <f>Data!L2373</f>
        <v>0</v>
      </c>
      <c r="M2373" s="5"/>
      <c r="P2373" s="5"/>
      <c r="U2373" s="5"/>
    </row>
    <row r="2374" spans="10:21" x14ac:dyDescent="0.5">
      <c r="J2374" s="20"/>
      <c r="K2374" s="20"/>
      <c r="L2374" s="5">
        <f>Data!L2374</f>
        <v>0</v>
      </c>
      <c r="M2374" s="5"/>
      <c r="P2374" s="5"/>
      <c r="U2374" s="5"/>
    </row>
    <row r="2375" spans="10:21" x14ac:dyDescent="0.5">
      <c r="J2375" s="20"/>
      <c r="K2375" s="20"/>
      <c r="L2375" s="5">
        <f>Data!L2375</f>
        <v>0</v>
      </c>
      <c r="M2375" s="5"/>
      <c r="P2375" s="5"/>
      <c r="U2375" s="5"/>
    </row>
    <row r="2376" spans="10:21" x14ac:dyDescent="0.5">
      <c r="J2376" s="20"/>
      <c r="K2376" s="20"/>
      <c r="L2376" s="5">
        <f>Data!L2376</f>
        <v>0</v>
      </c>
      <c r="M2376" s="5"/>
      <c r="P2376" s="5"/>
      <c r="U2376" s="5"/>
    </row>
    <row r="2377" spans="10:21" x14ac:dyDescent="0.5">
      <c r="J2377" s="20"/>
      <c r="K2377" s="20"/>
      <c r="L2377" s="5">
        <f>Data!L2377</f>
        <v>0</v>
      </c>
      <c r="M2377" s="5"/>
      <c r="P2377" s="5"/>
      <c r="U2377" s="5"/>
    </row>
    <row r="2378" spans="10:21" x14ac:dyDescent="0.5">
      <c r="J2378" s="20"/>
      <c r="K2378" s="20"/>
      <c r="L2378" s="5">
        <f>Data!L2378</f>
        <v>0</v>
      </c>
      <c r="M2378" s="5"/>
      <c r="P2378" s="5"/>
      <c r="U2378" s="5"/>
    </row>
    <row r="2379" spans="10:21" x14ac:dyDescent="0.5">
      <c r="J2379" s="20"/>
      <c r="K2379" s="20"/>
      <c r="L2379" s="5">
        <f>Data!L2379</f>
        <v>0</v>
      </c>
      <c r="M2379" s="5"/>
      <c r="P2379" s="5"/>
      <c r="U2379" s="5"/>
    </row>
    <row r="2380" spans="10:21" x14ac:dyDescent="0.5">
      <c r="J2380" s="20"/>
      <c r="K2380" s="20"/>
      <c r="L2380" s="5">
        <f>Data!L2380</f>
        <v>0</v>
      </c>
      <c r="M2380" s="5"/>
      <c r="P2380" s="5"/>
      <c r="U2380" s="5"/>
    </row>
    <row r="2381" spans="10:21" x14ac:dyDescent="0.5">
      <c r="J2381" s="20"/>
      <c r="K2381" s="20"/>
      <c r="L2381" s="5">
        <f>Data!L2381</f>
        <v>0</v>
      </c>
      <c r="M2381" s="5"/>
      <c r="P2381" s="5"/>
      <c r="U2381" s="5"/>
    </row>
    <row r="2382" spans="10:21" x14ac:dyDescent="0.5">
      <c r="J2382" s="20"/>
      <c r="K2382" s="20"/>
      <c r="L2382" s="5">
        <f>Data!L2382</f>
        <v>0</v>
      </c>
      <c r="M2382" s="5"/>
      <c r="P2382" s="5"/>
      <c r="U2382" s="5"/>
    </row>
    <row r="2383" spans="10:21" x14ac:dyDescent="0.5">
      <c r="J2383" s="20"/>
      <c r="K2383" s="20"/>
      <c r="L2383" s="5">
        <f>Data!L2383</f>
        <v>0</v>
      </c>
      <c r="M2383" s="5"/>
      <c r="P2383" s="5"/>
      <c r="U2383" s="5"/>
    </row>
    <row r="2384" spans="10:21" x14ac:dyDescent="0.5">
      <c r="J2384" s="20"/>
      <c r="K2384" s="20"/>
      <c r="L2384" s="5">
        <f>Data!L2384</f>
        <v>0</v>
      </c>
      <c r="M2384" s="5"/>
      <c r="P2384" s="5"/>
      <c r="U2384" s="5"/>
    </row>
    <row r="2385" spans="10:21" x14ac:dyDescent="0.5">
      <c r="J2385" s="20"/>
      <c r="K2385" s="20"/>
      <c r="L2385" s="5">
        <f>Data!L2385</f>
        <v>0</v>
      </c>
      <c r="M2385" s="5"/>
      <c r="P2385" s="5"/>
      <c r="U2385" s="5"/>
    </row>
    <row r="2386" spans="10:21" x14ac:dyDescent="0.5">
      <c r="J2386" s="20"/>
      <c r="K2386" s="20"/>
      <c r="L2386" s="5">
        <f>Data!L2386</f>
        <v>0</v>
      </c>
      <c r="M2386" s="5"/>
      <c r="P2386" s="5"/>
      <c r="U2386" s="5"/>
    </row>
    <row r="2387" spans="10:21" x14ac:dyDescent="0.5">
      <c r="J2387" s="20"/>
      <c r="K2387" s="20"/>
      <c r="L2387" s="5">
        <f>Data!L2387</f>
        <v>0</v>
      </c>
      <c r="M2387" s="5"/>
      <c r="P2387" s="5"/>
      <c r="U2387" s="5"/>
    </row>
    <row r="2388" spans="10:21" x14ac:dyDescent="0.5">
      <c r="J2388" s="20"/>
      <c r="K2388" s="20"/>
      <c r="L2388" s="5">
        <f>Data!L2388</f>
        <v>0</v>
      </c>
      <c r="M2388" s="5"/>
      <c r="P2388" s="5"/>
      <c r="U2388" s="5"/>
    </row>
    <row r="2389" spans="10:21" x14ac:dyDescent="0.5">
      <c r="J2389" s="20"/>
      <c r="K2389" s="20"/>
      <c r="L2389" s="5">
        <f>Data!L2389</f>
        <v>0</v>
      </c>
      <c r="M2389" s="5"/>
      <c r="P2389" s="5"/>
      <c r="U2389" s="5"/>
    </row>
    <row r="2390" spans="10:21" x14ac:dyDescent="0.5">
      <c r="J2390" s="20"/>
      <c r="K2390" s="20"/>
      <c r="L2390" s="5">
        <f>Data!L2390</f>
        <v>0</v>
      </c>
      <c r="M2390" s="5"/>
      <c r="P2390" s="5"/>
      <c r="U2390" s="5"/>
    </row>
    <row r="2391" spans="10:21" x14ac:dyDescent="0.5">
      <c r="J2391" s="20"/>
      <c r="K2391" s="20"/>
      <c r="L2391" s="5">
        <f>Data!L2391</f>
        <v>0</v>
      </c>
      <c r="M2391" s="5"/>
      <c r="P2391" s="5"/>
      <c r="U2391" s="5"/>
    </row>
    <row r="2392" spans="10:21" x14ac:dyDescent="0.5">
      <c r="J2392" s="20"/>
      <c r="K2392" s="20"/>
      <c r="L2392" s="5">
        <f>Data!L2392</f>
        <v>0</v>
      </c>
      <c r="M2392" s="5"/>
      <c r="P2392" s="5"/>
      <c r="U2392" s="5"/>
    </row>
    <row r="2393" spans="10:21" x14ac:dyDescent="0.5">
      <c r="J2393" s="20"/>
      <c r="K2393" s="20"/>
      <c r="L2393" s="5">
        <f>Data!L2393</f>
        <v>0</v>
      </c>
      <c r="M2393" s="5"/>
      <c r="P2393" s="5"/>
      <c r="U2393" s="5"/>
    </row>
    <row r="2394" spans="10:21" x14ac:dyDescent="0.5">
      <c r="J2394" s="20"/>
      <c r="K2394" s="20"/>
      <c r="L2394" s="5">
        <f>Data!L2394</f>
        <v>0</v>
      </c>
      <c r="M2394" s="5"/>
      <c r="P2394" s="5"/>
      <c r="U2394" s="5"/>
    </row>
    <row r="2395" spans="10:21" x14ac:dyDescent="0.5">
      <c r="J2395" s="20"/>
      <c r="K2395" s="20"/>
      <c r="L2395" s="5">
        <f>Data!L2395</f>
        <v>0</v>
      </c>
      <c r="M2395" s="5"/>
      <c r="P2395" s="5"/>
      <c r="U2395" s="5"/>
    </row>
    <row r="2396" spans="10:21" x14ac:dyDescent="0.5">
      <c r="J2396" s="20"/>
      <c r="K2396" s="20"/>
      <c r="L2396" s="5">
        <f>Data!L2396</f>
        <v>0</v>
      </c>
      <c r="M2396" s="5"/>
      <c r="P2396" s="5"/>
      <c r="U2396" s="5"/>
    </row>
    <row r="2397" spans="10:21" x14ac:dyDescent="0.5">
      <c r="J2397" s="20"/>
      <c r="K2397" s="20"/>
      <c r="L2397" s="5">
        <f>Data!L2397</f>
        <v>0</v>
      </c>
      <c r="M2397" s="5"/>
      <c r="P2397" s="5"/>
      <c r="U2397" s="5"/>
    </row>
    <row r="2398" spans="10:21" x14ac:dyDescent="0.5">
      <c r="J2398" s="20"/>
      <c r="K2398" s="20"/>
      <c r="L2398" s="5">
        <f>Data!L2398</f>
        <v>0</v>
      </c>
      <c r="M2398" s="5"/>
      <c r="P2398" s="5"/>
      <c r="U2398" s="5"/>
    </row>
    <row r="2399" spans="10:21" x14ac:dyDescent="0.5">
      <c r="J2399" s="20"/>
      <c r="K2399" s="20"/>
      <c r="L2399" s="5">
        <f>Data!L2399</f>
        <v>0</v>
      </c>
      <c r="M2399" s="5"/>
      <c r="P2399" s="5"/>
      <c r="U2399" s="5"/>
    </row>
    <row r="2400" spans="10:21" x14ac:dyDescent="0.5">
      <c r="J2400" s="20"/>
      <c r="K2400" s="20"/>
      <c r="L2400" s="5">
        <f>Data!L2400</f>
        <v>0</v>
      </c>
      <c r="M2400" s="5"/>
      <c r="P2400" s="5"/>
      <c r="U2400" s="5"/>
    </row>
    <row r="2401" spans="10:21" x14ac:dyDescent="0.5">
      <c r="J2401" s="20"/>
      <c r="K2401" s="20"/>
      <c r="L2401" s="5">
        <f>Data!L2401</f>
        <v>0</v>
      </c>
      <c r="M2401" s="5"/>
      <c r="P2401" s="5"/>
      <c r="U2401" s="5"/>
    </row>
    <row r="2402" spans="10:21" x14ac:dyDescent="0.5">
      <c r="J2402" s="20"/>
      <c r="K2402" s="20"/>
      <c r="L2402" s="5">
        <f>Data!L2402</f>
        <v>0</v>
      </c>
      <c r="M2402" s="5"/>
      <c r="P2402" s="5"/>
      <c r="U2402" s="5"/>
    </row>
    <row r="2403" spans="10:21" x14ac:dyDescent="0.5">
      <c r="J2403" s="20"/>
      <c r="K2403" s="20"/>
      <c r="L2403" s="5">
        <f>Data!L2403</f>
        <v>0</v>
      </c>
      <c r="M2403" s="5"/>
      <c r="P2403" s="5"/>
      <c r="U2403" s="5"/>
    </row>
    <row r="2404" spans="10:21" x14ac:dyDescent="0.5">
      <c r="J2404" s="20"/>
      <c r="K2404" s="20"/>
      <c r="L2404" s="5">
        <f>Data!L2404</f>
        <v>0</v>
      </c>
      <c r="M2404" s="5"/>
      <c r="P2404" s="5"/>
      <c r="U2404" s="5"/>
    </row>
    <row r="2405" spans="10:21" x14ac:dyDescent="0.5">
      <c r="J2405" s="20"/>
      <c r="K2405" s="20"/>
      <c r="L2405" s="5">
        <f>Data!L2405</f>
        <v>0</v>
      </c>
      <c r="M2405" s="5"/>
      <c r="P2405" s="5"/>
      <c r="U2405" s="5"/>
    </row>
    <row r="2406" spans="10:21" x14ac:dyDescent="0.5">
      <c r="J2406" s="20"/>
      <c r="K2406" s="20"/>
      <c r="L2406" s="5">
        <f>Data!L2406</f>
        <v>0</v>
      </c>
      <c r="M2406" s="5"/>
      <c r="P2406" s="5"/>
      <c r="U2406" s="5"/>
    </row>
    <row r="2407" spans="10:21" x14ac:dyDescent="0.5">
      <c r="J2407" s="20"/>
      <c r="K2407" s="20"/>
      <c r="L2407" s="5">
        <f>Data!L2407</f>
        <v>0</v>
      </c>
      <c r="M2407" s="5"/>
      <c r="P2407" s="5"/>
      <c r="U2407" s="5"/>
    </row>
    <row r="2408" spans="10:21" x14ac:dyDescent="0.5">
      <c r="J2408" s="20"/>
      <c r="K2408" s="20"/>
      <c r="L2408" s="5">
        <f>Data!L2408</f>
        <v>0</v>
      </c>
      <c r="M2408" s="5"/>
      <c r="P2408" s="5"/>
      <c r="U2408" s="5"/>
    </row>
    <row r="2409" spans="10:21" x14ac:dyDescent="0.5">
      <c r="J2409" s="20"/>
      <c r="K2409" s="20"/>
      <c r="L2409" s="5">
        <f>Data!L2409</f>
        <v>0</v>
      </c>
      <c r="M2409" s="5"/>
      <c r="P2409" s="5"/>
      <c r="U2409" s="5"/>
    </row>
    <row r="2410" spans="10:21" x14ac:dyDescent="0.5">
      <c r="J2410" s="20"/>
      <c r="K2410" s="20"/>
      <c r="L2410" s="5">
        <f>Data!L2410</f>
        <v>0</v>
      </c>
      <c r="M2410" s="5"/>
      <c r="P2410" s="5"/>
      <c r="U2410" s="5"/>
    </row>
    <row r="2411" spans="10:21" x14ac:dyDescent="0.5">
      <c r="J2411" s="20"/>
      <c r="K2411" s="20"/>
      <c r="L2411" s="5">
        <f>Data!L2411</f>
        <v>0</v>
      </c>
      <c r="M2411" s="5"/>
      <c r="P2411" s="5"/>
      <c r="U2411" s="5"/>
    </row>
    <row r="2412" spans="10:21" x14ac:dyDescent="0.5">
      <c r="J2412" s="20"/>
      <c r="K2412" s="20"/>
      <c r="L2412" s="5">
        <f>Data!L2412</f>
        <v>0</v>
      </c>
      <c r="M2412" s="5"/>
      <c r="P2412" s="5"/>
      <c r="U2412" s="5"/>
    </row>
    <row r="2413" spans="10:21" x14ac:dyDescent="0.5">
      <c r="J2413" s="20"/>
      <c r="K2413" s="20"/>
      <c r="L2413" s="5">
        <f>Data!L2413</f>
        <v>0</v>
      </c>
      <c r="M2413" s="5"/>
      <c r="P2413" s="5"/>
      <c r="U2413" s="5"/>
    </row>
    <row r="2414" spans="10:21" x14ac:dyDescent="0.5">
      <c r="J2414" s="20"/>
      <c r="K2414" s="20"/>
      <c r="L2414" s="5">
        <f>Data!L2414</f>
        <v>0</v>
      </c>
      <c r="M2414" s="5"/>
      <c r="P2414" s="5"/>
      <c r="U2414" s="5"/>
    </row>
    <row r="2415" spans="10:21" x14ac:dyDescent="0.5">
      <c r="J2415" s="20"/>
      <c r="K2415" s="20"/>
      <c r="L2415" s="5">
        <f>Data!L2415</f>
        <v>0</v>
      </c>
      <c r="M2415" s="5"/>
      <c r="P2415" s="5"/>
      <c r="U2415" s="5"/>
    </row>
    <row r="2416" spans="10:21" x14ac:dyDescent="0.5">
      <c r="J2416" s="20"/>
      <c r="K2416" s="20"/>
      <c r="L2416" s="5">
        <f>Data!L2416</f>
        <v>0</v>
      </c>
      <c r="M2416" s="5"/>
      <c r="P2416" s="5"/>
      <c r="U2416" s="5"/>
    </row>
    <row r="2417" spans="10:21" x14ac:dyDescent="0.5">
      <c r="J2417" s="20"/>
      <c r="K2417" s="20"/>
      <c r="L2417" s="5">
        <f>Data!L2417</f>
        <v>0</v>
      </c>
      <c r="M2417" s="5"/>
      <c r="P2417" s="5"/>
      <c r="U2417" s="5"/>
    </row>
    <row r="2418" spans="10:21" x14ac:dyDescent="0.5">
      <c r="J2418" s="20"/>
      <c r="K2418" s="20"/>
      <c r="L2418" s="5">
        <f>Data!L2418</f>
        <v>0</v>
      </c>
      <c r="M2418" s="5"/>
      <c r="P2418" s="5"/>
      <c r="U2418" s="5"/>
    </row>
    <row r="2419" spans="10:21" x14ac:dyDescent="0.5">
      <c r="J2419" s="20"/>
      <c r="K2419" s="20"/>
      <c r="L2419" s="5">
        <f>Data!L2419</f>
        <v>0</v>
      </c>
      <c r="M2419" s="5"/>
      <c r="P2419" s="5"/>
      <c r="U2419" s="5"/>
    </row>
    <row r="2420" spans="10:21" x14ac:dyDescent="0.5">
      <c r="J2420" s="20"/>
      <c r="K2420" s="20"/>
      <c r="L2420" s="5">
        <f>Data!L2420</f>
        <v>0</v>
      </c>
      <c r="M2420" s="5"/>
      <c r="P2420" s="5"/>
      <c r="U2420" s="5"/>
    </row>
    <row r="2421" spans="10:21" x14ac:dyDescent="0.5">
      <c r="J2421" s="20"/>
      <c r="K2421" s="20"/>
      <c r="L2421" s="5">
        <f>Data!L2421</f>
        <v>0</v>
      </c>
      <c r="M2421" s="5"/>
      <c r="P2421" s="5"/>
      <c r="U2421" s="5"/>
    </row>
    <row r="2422" spans="10:21" x14ac:dyDescent="0.5">
      <c r="J2422" s="20"/>
      <c r="K2422" s="20"/>
      <c r="L2422" s="5">
        <f>Data!L2422</f>
        <v>0</v>
      </c>
      <c r="M2422" s="5"/>
      <c r="P2422" s="5"/>
      <c r="U2422" s="5"/>
    </row>
    <row r="2423" spans="10:21" x14ac:dyDescent="0.5">
      <c r="J2423" s="20"/>
      <c r="K2423" s="20"/>
      <c r="L2423" s="5">
        <f>Data!L2423</f>
        <v>0</v>
      </c>
      <c r="M2423" s="5"/>
      <c r="P2423" s="5"/>
      <c r="U2423" s="5"/>
    </row>
    <row r="2424" spans="10:21" x14ac:dyDescent="0.5">
      <c r="J2424" s="20"/>
      <c r="K2424" s="20"/>
      <c r="L2424" s="5">
        <f>Data!L2424</f>
        <v>0</v>
      </c>
      <c r="M2424" s="5"/>
      <c r="P2424" s="5"/>
      <c r="U2424" s="5"/>
    </row>
    <row r="2425" spans="10:21" x14ac:dyDescent="0.5">
      <c r="J2425" s="20"/>
      <c r="K2425" s="20"/>
      <c r="L2425" s="5">
        <f>Data!L2425</f>
        <v>0</v>
      </c>
      <c r="M2425" s="5"/>
      <c r="P2425" s="5"/>
      <c r="U2425" s="5"/>
    </row>
    <row r="2426" spans="10:21" x14ac:dyDescent="0.5">
      <c r="J2426" s="20"/>
      <c r="K2426" s="20"/>
      <c r="L2426" s="5">
        <f>Data!L2426</f>
        <v>0</v>
      </c>
      <c r="M2426" s="5"/>
      <c r="P2426" s="5"/>
      <c r="U2426" s="5"/>
    </row>
    <row r="2427" spans="10:21" x14ac:dyDescent="0.5">
      <c r="J2427" s="20"/>
      <c r="K2427" s="20"/>
      <c r="L2427" s="5">
        <f>Data!L2427</f>
        <v>0</v>
      </c>
      <c r="M2427" s="5"/>
      <c r="P2427" s="5"/>
      <c r="U2427" s="5"/>
    </row>
    <row r="2428" spans="10:21" x14ac:dyDescent="0.5">
      <c r="J2428" s="20"/>
      <c r="K2428" s="20"/>
      <c r="L2428" s="5">
        <f>Data!L2428</f>
        <v>0</v>
      </c>
      <c r="M2428" s="5"/>
      <c r="P2428" s="5"/>
      <c r="U2428" s="5"/>
    </row>
    <row r="2429" spans="10:21" x14ac:dyDescent="0.5">
      <c r="J2429" s="20"/>
      <c r="K2429" s="20"/>
      <c r="L2429" s="5">
        <f>Data!L2429</f>
        <v>0</v>
      </c>
      <c r="M2429" s="5"/>
      <c r="P2429" s="5"/>
      <c r="U2429" s="5"/>
    </row>
    <row r="2430" spans="10:21" x14ac:dyDescent="0.5">
      <c r="J2430" s="20"/>
      <c r="K2430" s="20"/>
      <c r="L2430" s="5">
        <f>Data!L2430</f>
        <v>0</v>
      </c>
      <c r="M2430" s="5"/>
      <c r="P2430" s="5"/>
      <c r="U2430" s="5"/>
    </row>
    <row r="2431" spans="10:21" x14ac:dyDescent="0.5">
      <c r="J2431" s="20"/>
      <c r="K2431" s="20"/>
      <c r="L2431" s="5">
        <f>Data!L2431</f>
        <v>0</v>
      </c>
      <c r="M2431" s="5"/>
      <c r="P2431" s="5"/>
      <c r="U2431" s="5"/>
    </row>
    <row r="2432" spans="10:21" x14ac:dyDescent="0.5">
      <c r="J2432" s="20"/>
      <c r="K2432" s="20"/>
      <c r="L2432" s="5">
        <f>Data!L2432</f>
        <v>0</v>
      </c>
      <c r="M2432" s="5"/>
      <c r="P2432" s="5"/>
      <c r="U2432" s="5"/>
    </row>
    <row r="2433" spans="10:21" x14ac:dyDescent="0.5">
      <c r="J2433" s="20"/>
      <c r="K2433" s="20"/>
      <c r="L2433" s="5">
        <f>Data!L2433</f>
        <v>0</v>
      </c>
      <c r="M2433" s="5"/>
      <c r="P2433" s="5"/>
      <c r="U2433" s="5"/>
    </row>
    <row r="2434" spans="10:21" x14ac:dyDescent="0.5">
      <c r="J2434" s="20"/>
      <c r="K2434" s="20"/>
      <c r="L2434" s="5">
        <f>Data!L2434</f>
        <v>0</v>
      </c>
      <c r="M2434" s="5"/>
      <c r="P2434" s="5"/>
      <c r="U2434" s="5"/>
    </row>
    <row r="2435" spans="10:21" x14ac:dyDescent="0.5">
      <c r="J2435" s="20"/>
      <c r="K2435" s="20"/>
      <c r="L2435" s="5">
        <f>Data!L2435</f>
        <v>0</v>
      </c>
      <c r="M2435" s="5"/>
      <c r="P2435" s="5"/>
      <c r="U2435" s="5"/>
    </row>
    <row r="2436" spans="10:21" x14ac:dyDescent="0.5">
      <c r="J2436" s="20"/>
      <c r="K2436" s="20"/>
      <c r="L2436" s="5">
        <f>Data!L2436</f>
        <v>0</v>
      </c>
      <c r="M2436" s="5"/>
      <c r="P2436" s="5"/>
      <c r="U2436" s="5"/>
    </row>
    <row r="2437" spans="10:21" x14ac:dyDescent="0.5">
      <c r="J2437" s="20"/>
      <c r="K2437" s="20"/>
      <c r="L2437" s="5">
        <f>Data!L2437</f>
        <v>0</v>
      </c>
      <c r="M2437" s="5"/>
      <c r="P2437" s="5"/>
      <c r="U2437" s="5"/>
    </row>
    <row r="2438" spans="10:21" x14ac:dyDescent="0.5">
      <c r="J2438" s="20"/>
      <c r="K2438" s="20"/>
      <c r="L2438" s="5">
        <f>Data!L2438</f>
        <v>0</v>
      </c>
      <c r="M2438" s="5"/>
      <c r="P2438" s="5"/>
      <c r="U2438" s="5"/>
    </row>
    <row r="2439" spans="10:21" x14ac:dyDescent="0.5">
      <c r="J2439" s="20"/>
      <c r="K2439" s="20"/>
      <c r="L2439" s="5">
        <f>Data!L2439</f>
        <v>0</v>
      </c>
      <c r="M2439" s="5"/>
      <c r="P2439" s="5"/>
      <c r="U2439" s="5"/>
    </row>
    <row r="2440" spans="10:21" x14ac:dyDescent="0.5">
      <c r="J2440" s="20"/>
      <c r="K2440" s="20"/>
      <c r="L2440" s="5">
        <f>Data!L2440</f>
        <v>0</v>
      </c>
      <c r="M2440" s="5"/>
      <c r="P2440" s="5"/>
      <c r="U2440" s="5"/>
    </row>
    <row r="2441" spans="10:21" x14ac:dyDescent="0.5">
      <c r="J2441" s="20"/>
      <c r="K2441" s="20"/>
      <c r="L2441" s="5">
        <f>Data!L2441</f>
        <v>0</v>
      </c>
      <c r="M2441" s="5"/>
      <c r="P2441" s="5"/>
      <c r="U2441" s="5"/>
    </row>
    <row r="2442" spans="10:21" x14ac:dyDescent="0.5">
      <c r="J2442" s="20"/>
      <c r="K2442" s="20"/>
      <c r="L2442" s="5">
        <f>Data!L2442</f>
        <v>0</v>
      </c>
      <c r="M2442" s="5"/>
      <c r="P2442" s="5"/>
      <c r="U2442" s="5"/>
    </row>
    <row r="2443" spans="10:21" x14ac:dyDescent="0.5">
      <c r="J2443" s="20"/>
      <c r="K2443" s="20"/>
      <c r="L2443" s="5">
        <f>Data!L2443</f>
        <v>0</v>
      </c>
      <c r="M2443" s="5"/>
      <c r="P2443" s="5"/>
      <c r="U2443" s="5"/>
    </row>
    <row r="2444" spans="10:21" x14ac:dyDescent="0.5">
      <c r="J2444" s="20"/>
      <c r="K2444" s="20"/>
      <c r="L2444" s="5">
        <f>Data!L2444</f>
        <v>0</v>
      </c>
      <c r="M2444" s="5"/>
      <c r="P2444" s="5"/>
      <c r="U2444" s="5"/>
    </row>
    <row r="2445" spans="10:21" x14ac:dyDescent="0.5">
      <c r="J2445" s="20"/>
      <c r="K2445" s="20"/>
      <c r="L2445" s="5">
        <f>Data!L2445</f>
        <v>0</v>
      </c>
      <c r="M2445" s="5"/>
      <c r="P2445" s="5"/>
      <c r="U2445" s="5"/>
    </row>
    <row r="2446" spans="10:21" x14ac:dyDescent="0.5">
      <c r="J2446" s="20"/>
      <c r="K2446" s="20"/>
      <c r="L2446" s="5">
        <f>Data!L2446</f>
        <v>0</v>
      </c>
      <c r="M2446" s="5"/>
      <c r="P2446" s="5"/>
      <c r="U2446" s="5"/>
    </row>
    <row r="2447" spans="10:21" x14ac:dyDescent="0.5">
      <c r="J2447" s="20"/>
      <c r="K2447" s="20"/>
      <c r="L2447" s="5">
        <f>Data!L2447</f>
        <v>0</v>
      </c>
      <c r="M2447" s="5"/>
      <c r="P2447" s="5"/>
      <c r="U2447" s="5"/>
    </row>
    <row r="2448" spans="10:21" x14ac:dyDescent="0.5">
      <c r="J2448" s="20"/>
      <c r="K2448" s="20"/>
      <c r="L2448" s="5">
        <f>Data!L2448</f>
        <v>0</v>
      </c>
      <c r="M2448" s="5"/>
      <c r="P2448" s="5"/>
      <c r="U2448" s="5"/>
    </row>
    <row r="2449" spans="10:21" x14ac:dyDescent="0.5">
      <c r="J2449" s="20"/>
      <c r="K2449" s="20"/>
      <c r="L2449" s="5">
        <f>Data!L2449</f>
        <v>0</v>
      </c>
      <c r="M2449" s="5"/>
      <c r="P2449" s="5"/>
      <c r="U2449" s="5"/>
    </row>
    <row r="2450" spans="10:21" x14ac:dyDescent="0.5">
      <c r="J2450" s="20"/>
      <c r="K2450" s="20"/>
      <c r="L2450" s="5">
        <f>Data!L2450</f>
        <v>0</v>
      </c>
      <c r="M2450" s="5"/>
      <c r="P2450" s="5"/>
      <c r="U2450" s="5"/>
    </row>
    <row r="2451" spans="10:21" x14ac:dyDescent="0.5">
      <c r="J2451" s="20"/>
      <c r="K2451" s="20"/>
      <c r="L2451" s="5">
        <f>Data!L2451</f>
        <v>0</v>
      </c>
      <c r="M2451" s="5"/>
      <c r="P2451" s="5"/>
      <c r="U2451" s="5"/>
    </row>
    <row r="2452" spans="10:21" x14ac:dyDescent="0.5">
      <c r="J2452" s="20"/>
      <c r="K2452" s="20"/>
      <c r="L2452" s="5">
        <f>Data!L2452</f>
        <v>0</v>
      </c>
      <c r="M2452" s="5"/>
      <c r="P2452" s="5"/>
      <c r="U2452" s="5"/>
    </row>
    <row r="2453" spans="10:21" x14ac:dyDescent="0.5">
      <c r="J2453" s="20"/>
      <c r="K2453" s="20"/>
      <c r="L2453" s="5">
        <f>Data!L2453</f>
        <v>0</v>
      </c>
      <c r="M2453" s="5"/>
      <c r="P2453" s="5"/>
      <c r="U2453" s="5"/>
    </row>
    <row r="2454" spans="10:21" x14ac:dyDescent="0.5">
      <c r="J2454" s="20"/>
      <c r="K2454" s="20"/>
      <c r="L2454" s="5">
        <f>Data!L2454</f>
        <v>0</v>
      </c>
      <c r="M2454" s="5"/>
      <c r="P2454" s="5"/>
      <c r="U2454" s="5"/>
    </row>
    <row r="2455" spans="10:21" x14ac:dyDescent="0.5">
      <c r="J2455" s="20"/>
      <c r="K2455" s="20"/>
      <c r="L2455" s="5">
        <f>Data!L2455</f>
        <v>0</v>
      </c>
      <c r="M2455" s="5"/>
      <c r="P2455" s="5"/>
      <c r="U2455" s="5"/>
    </row>
    <row r="2456" spans="10:21" x14ac:dyDescent="0.5">
      <c r="J2456" s="20"/>
      <c r="K2456" s="20"/>
      <c r="L2456" s="5">
        <f>Data!L2456</f>
        <v>0</v>
      </c>
      <c r="M2456" s="5"/>
      <c r="P2456" s="5"/>
      <c r="U2456" s="5"/>
    </row>
    <row r="2457" spans="10:21" x14ac:dyDescent="0.5">
      <c r="J2457" s="20"/>
      <c r="K2457" s="20"/>
      <c r="L2457" s="5">
        <f>Data!L2457</f>
        <v>0</v>
      </c>
      <c r="M2457" s="5"/>
      <c r="P2457" s="5"/>
      <c r="U2457" s="5"/>
    </row>
    <row r="2458" spans="10:21" x14ac:dyDescent="0.5">
      <c r="J2458" s="20"/>
      <c r="K2458" s="20"/>
      <c r="L2458" s="5">
        <f>Data!L2458</f>
        <v>0</v>
      </c>
      <c r="M2458" s="5"/>
      <c r="P2458" s="5"/>
      <c r="U2458" s="5"/>
    </row>
    <row r="2459" spans="10:21" x14ac:dyDescent="0.5">
      <c r="J2459" s="20"/>
      <c r="K2459" s="20"/>
      <c r="L2459" s="5">
        <f>Data!L2459</f>
        <v>0</v>
      </c>
      <c r="M2459" s="5"/>
      <c r="P2459" s="5"/>
      <c r="U2459" s="5"/>
    </row>
    <row r="2460" spans="10:21" x14ac:dyDescent="0.5">
      <c r="J2460" s="20"/>
      <c r="K2460" s="20"/>
      <c r="L2460" s="5">
        <f>Data!L2460</f>
        <v>0</v>
      </c>
      <c r="M2460" s="5"/>
      <c r="P2460" s="5"/>
      <c r="U2460" s="5"/>
    </row>
    <row r="2461" spans="10:21" x14ac:dyDescent="0.5">
      <c r="J2461" s="20"/>
      <c r="K2461" s="20"/>
      <c r="L2461" s="5">
        <f>Data!L2461</f>
        <v>0</v>
      </c>
      <c r="M2461" s="5"/>
      <c r="P2461" s="5"/>
      <c r="U2461" s="5"/>
    </row>
    <row r="2462" spans="10:21" x14ac:dyDescent="0.5">
      <c r="J2462" s="20"/>
      <c r="K2462" s="20"/>
      <c r="L2462" s="5">
        <f>Data!L2462</f>
        <v>0</v>
      </c>
      <c r="M2462" s="5"/>
      <c r="P2462" s="5"/>
      <c r="U2462" s="5"/>
    </row>
    <row r="2463" spans="10:21" x14ac:dyDescent="0.5">
      <c r="J2463" s="20"/>
      <c r="K2463" s="20"/>
      <c r="L2463" s="5">
        <f>Data!L2463</f>
        <v>0</v>
      </c>
      <c r="M2463" s="5"/>
      <c r="P2463" s="5"/>
      <c r="U2463" s="5"/>
    </row>
    <row r="2464" spans="10:21" x14ac:dyDescent="0.5">
      <c r="J2464" s="20"/>
      <c r="K2464" s="20"/>
      <c r="L2464" s="5">
        <f>Data!L2464</f>
        <v>0</v>
      </c>
      <c r="M2464" s="5"/>
      <c r="P2464" s="5"/>
      <c r="U2464" s="5"/>
    </row>
    <row r="2465" spans="10:21" x14ac:dyDescent="0.5">
      <c r="J2465" s="20"/>
      <c r="K2465" s="20"/>
      <c r="L2465" s="5">
        <f>Data!L2465</f>
        <v>0</v>
      </c>
      <c r="M2465" s="5"/>
      <c r="P2465" s="5"/>
      <c r="U2465" s="5"/>
    </row>
    <row r="2466" spans="10:21" x14ac:dyDescent="0.5">
      <c r="J2466" s="20"/>
      <c r="K2466" s="20"/>
      <c r="L2466" s="5">
        <f>Data!L2466</f>
        <v>0</v>
      </c>
      <c r="M2466" s="5"/>
      <c r="P2466" s="5"/>
      <c r="U2466" s="5"/>
    </row>
    <row r="2467" spans="10:21" x14ac:dyDescent="0.5">
      <c r="J2467" s="20"/>
      <c r="K2467" s="20"/>
      <c r="L2467" s="5">
        <f>Data!L2467</f>
        <v>0</v>
      </c>
      <c r="M2467" s="5"/>
      <c r="P2467" s="5"/>
      <c r="U2467" s="5"/>
    </row>
    <row r="2468" spans="10:21" x14ac:dyDescent="0.5">
      <c r="J2468" s="20"/>
      <c r="K2468" s="20"/>
      <c r="L2468" s="5">
        <f>Data!L2468</f>
        <v>0</v>
      </c>
      <c r="M2468" s="5"/>
      <c r="P2468" s="5"/>
      <c r="U2468" s="5"/>
    </row>
    <row r="2469" spans="10:21" x14ac:dyDescent="0.5">
      <c r="J2469" s="20"/>
      <c r="K2469" s="20"/>
      <c r="L2469" s="5">
        <f>Data!L2469</f>
        <v>0</v>
      </c>
      <c r="M2469" s="5"/>
      <c r="P2469" s="5"/>
      <c r="U2469" s="5"/>
    </row>
    <row r="2470" spans="10:21" x14ac:dyDescent="0.5">
      <c r="J2470" s="20"/>
      <c r="K2470" s="20"/>
      <c r="L2470" s="5">
        <f>Data!L2470</f>
        <v>0</v>
      </c>
      <c r="M2470" s="5"/>
      <c r="P2470" s="5"/>
      <c r="U2470" s="5"/>
    </row>
    <row r="2471" spans="10:21" x14ac:dyDescent="0.5">
      <c r="J2471" s="20"/>
      <c r="K2471" s="20"/>
      <c r="L2471" s="5">
        <f>Data!L2471</f>
        <v>0</v>
      </c>
      <c r="M2471" s="5"/>
      <c r="P2471" s="5"/>
      <c r="U2471" s="5"/>
    </row>
    <row r="2472" spans="10:21" x14ac:dyDescent="0.5">
      <c r="J2472" s="20"/>
      <c r="K2472" s="20"/>
      <c r="L2472" s="5">
        <f>Data!L2472</f>
        <v>0</v>
      </c>
      <c r="M2472" s="5"/>
      <c r="P2472" s="5"/>
      <c r="U2472" s="5"/>
    </row>
    <row r="2473" spans="10:21" x14ac:dyDescent="0.5">
      <c r="J2473" s="20"/>
      <c r="K2473" s="20"/>
      <c r="L2473" s="5">
        <f>Data!L2473</f>
        <v>0</v>
      </c>
      <c r="M2473" s="5"/>
      <c r="P2473" s="5"/>
      <c r="U2473" s="5"/>
    </row>
    <row r="2474" spans="10:21" x14ac:dyDescent="0.5">
      <c r="J2474" s="20"/>
      <c r="K2474" s="20"/>
      <c r="L2474" s="5">
        <f>Data!L2474</f>
        <v>0</v>
      </c>
      <c r="M2474" s="5"/>
      <c r="P2474" s="5"/>
      <c r="U2474" s="5"/>
    </row>
    <row r="2475" spans="10:21" x14ac:dyDescent="0.5">
      <c r="J2475" s="20"/>
      <c r="K2475" s="20"/>
      <c r="L2475" s="5">
        <f>Data!L2475</f>
        <v>0</v>
      </c>
      <c r="M2475" s="5"/>
      <c r="P2475" s="5"/>
      <c r="U2475" s="5"/>
    </row>
    <row r="2476" spans="10:21" x14ac:dyDescent="0.5">
      <c r="J2476" s="20"/>
      <c r="K2476" s="20"/>
      <c r="L2476" s="5">
        <f>Data!L2476</f>
        <v>0</v>
      </c>
      <c r="M2476" s="5"/>
      <c r="P2476" s="5"/>
      <c r="U2476" s="5"/>
    </row>
    <row r="2477" spans="10:21" x14ac:dyDescent="0.5">
      <c r="J2477" s="20"/>
      <c r="K2477" s="20"/>
      <c r="L2477" s="5">
        <f>Data!L2477</f>
        <v>0</v>
      </c>
      <c r="M2477" s="5"/>
      <c r="P2477" s="5"/>
      <c r="U2477" s="5"/>
    </row>
    <row r="2478" spans="10:21" x14ac:dyDescent="0.5">
      <c r="J2478" s="20"/>
      <c r="K2478" s="20"/>
      <c r="L2478" s="5">
        <f>Data!L2478</f>
        <v>0</v>
      </c>
      <c r="M2478" s="5"/>
      <c r="P2478" s="5"/>
      <c r="U2478" s="5"/>
    </row>
    <row r="2479" spans="10:21" x14ac:dyDescent="0.5">
      <c r="J2479" s="20"/>
      <c r="K2479" s="20"/>
      <c r="L2479" s="5">
        <f>Data!L2479</f>
        <v>0</v>
      </c>
      <c r="M2479" s="5"/>
      <c r="P2479" s="5"/>
      <c r="U2479" s="5"/>
    </row>
    <row r="2480" spans="10:21" x14ac:dyDescent="0.5">
      <c r="J2480" s="20"/>
      <c r="K2480" s="20"/>
      <c r="L2480" s="5">
        <f>Data!L2480</f>
        <v>0</v>
      </c>
      <c r="M2480" s="5"/>
      <c r="P2480" s="5"/>
      <c r="U2480" s="5"/>
    </row>
    <row r="2481" spans="10:21" x14ac:dyDescent="0.5">
      <c r="J2481" s="20"/>
      <c r="K2481" s="20"/>
      <c r="L2481" s="5">
        <f>Data!L2481</f>
        <v>0</v>
      </c>
      <c r="M2481" s="5"/>
      <c r="P2481" s="5"/>
      <c r="U2481" s="5"/>
    </row>
    <row r="2482" spans="10:21" x14ac:dyDescent="0.5">
      <c r="J2482" s="20"/>
      <c r="K2482" s="20"/>
      <c r="L2482" s="5">
        <f>Data!L2482</f>
        <v>0</v>
      </c>
      <c r="M2482" s="5"/>
      <c r="P2482" s="5"/>
      <c r="U2482" s="5"/>
    </row>
    <row r="2483" spans="10:21" x14ac:dyDescent="0.5">
      <c r="J2483" s="20"/>
      <c r="K2483" s="20"/>
      <c r="L2483" s="5">
        <f>Data!L2483</f>
        <v>0</v>
      </c>
      <c r="M2483" s="5"/>
      <c r="P2483" s="5"/>
      <c r="U2483" s="5"/>
    </row>
    <row r="2484" spans="10:21" x14ac:dyDescent="0.5">
      <c r="J2484" s="20"/>
      <c r="K2484" s="20"/>
      <c r="L2484" s="5">
        <f>Data!L2484</f>
        <v>0</v>
      </c>
      <c r="M2484" s="5"/>
      <c r="P2484" s="5"/>
      <c r="U2484" s="5"/>
    </row>
    <row r="2485" spans="10:21" x14ac:dyDescent="0.5">
      <c r="J2485" s="20"/>
      <c r="K2485" s="20"/>
      <c r="L2485" s="5">
        <f>Data!L2485</f>
        <v>0</v>
      </c>
      <c r="M2485" s="5"/>
      <c r="P2485" s="5"/>
      <c r="U2485" s="5"/>
    </row>
    <row r="2486" spans="10:21" x14ac:dyDescent="0.5">
      <c r="J2486" s="20"/>
      <c r="K2486" s="20"/>
      <c r="L2486" s="5">
        <f>Data!L2486</f>
        <v>0</v>
      </c>
      <c r="M2486" s="5"/>
      <c r="P2486" s="5"/>
      <c r="U2486" s="5"/>
    </row>
    <row r="2487" spans="10:21" x14ac:dyDescent="0.5">
      <c r="J2487" s="20"/>
      <c r="K2487" s="20"/>
      <c r="L2487" s="5">
        <f>Data!L2487</f>
        <v>0</v>
      </c>
      <c r="M2487" s="5"/>
      <c r="P2487" s="5"/>
      <c r="U2487" s="5"/>
    </row>
    <row r="2488" spans="10:21" x14ac:dyDescent="0.5">
      <c r="J2488" s="20"/>
      <c r="K2488" s="20"/>
      <c r="L2488" s="5">
        <f>Data!L2488</f>
        <v>0</v>
      </c>
      <c r="M2488" s="5"/>
      <c r="P2488" s="5"/>
      <c r="U2488" s="5"/>
    </row>
    <row r="2489" spans="10:21" x14ac:dyDescent="0.5">
      <c r="J2489" s="20"/>
      <c r="K2489" s="20"/>
      <c r="L2489" s="5">
        <f>Data!L2489</f>
        <v>0</v>
      </c>
      <c r="M2489" s="5"/>
      <c r="P2489" s="5"/>
      <c r="U2489" s="5"/>
    </row>
    <row r="2490" spans="10:21" x14ac:dyDescent="0.5">
      <c r="J2490" s="20"/>
      <c r="K2490" s="20"/>
      <c r="L2490" s="5">
        <f>Data!L2490</f>
        <v>0</v>
      </c>
      <c r="M2490" s="5"/>
      <c r="P2490" s="5"/>
      <c r="U2490" s="5"/>
    </row>
    <row r="2491" spans="10:21" x14ac:dyDescent="0.5">
      <c r="J2491" s="20"/>
      <c r="K2491" s="20"/>
      <c r="L2491" s="5">
        <f>Data!L2491</f>
        <v>0</v>
      </c>
      <c r="M2491" s="5"/>
      <c r="P2491" s="5"/>
      <c r="U2491" s="5"/>
    </row>
    <row r="2492" spans="10:21" x14ac:dyDescent="0.5">
      <c r="J2492" s="20"/>
      <c r="K2492" s="20"/>
      <c r="L2492" s="5">
        <f>Data!L2492</f>
        <v>0</v>
      </c>
      <c r="M2492" s="5"/>
      <c r="P2492" s="5"/>
      <c r="U2492" s="5"/>
    </row>
    <row r="2493" spans="10:21" x14ac:dyDescent="0.5">
      <c r="J2493" s="20"/>
      <c r="K2493" s="20"/>
      <c r="L2493" s="5">
        <f>Data!L2493</f>
        <v>0</v>
      </c>
      <c r="M2493" s="5"/>
      <c r="P2493" s="5"/>
      <c r="U2493" s="5"/>
    </row>
    <row r="2494" spans="10:21" x14ac:dyDescent="0.5">
      <c r="J2494" s="20"/>
      <c r="K2494" s="20"/>
      <c r="L2494" s="5">
        <f>Data!L2494</f>
        <v>0</v>
      </c>
      <c r="M2494" s="5"/>
      <c r="P2494" s="5"/>
      <c r="U2494" s="5"/>
    </row>
    <row r="2495" spans="10:21" x14ac:dyDescent="0.5">
      <c r="J2495" s="20"/>
      <c r="K2495" s="20"/>
      <c r="L2495" s="5">
        <f>Data!L2495</f>
        <v>0</v>
      </c>
      <c r="M2495" s="5"/>
      <c r="P2495" s="5"/>
      <c r="U2495" s="5"/>
    </row>
    <row r="2496" spans="10:21" x14ac:dyDescent="0.5">
      <c r="J2496" s="20"/>
      <c r="K2496" s="20"/>
      <c r="L2496" s="5">
        <f>Data!L2496</f>
        <v>0</v>
      </c>
      <c r="M2496" s="5"/>
      <c r="P2496" s="5"/>
      <c r="U2496" s="5"/>
    </row>
    <row r="2497" spans="10:21" x14ac:dyDescent="0.5">
      <c r="J2497" s="20"/>
      <c r="K2497" s="20"/>
      <c r="L2497" s="5">
        <f>Data!L2497</f>
        <v>0</v>
      </c>
      <c r="M2497" s="5"/>
      <c r="P2497" s="5"/>
      <c r="U2497" s="5"/>
    </row>
    <row r="2498" spans="10:21" x14ac:dyDescent="0.5">
      <c r="J2498" s="20"/>
      <c r="K2498" s="20"/>
      <c r="L2498" s="5">
        <f>Data!L2498</f>
        <v>0</v>
      </c>
      <c r="M2498" s="5"/>
      <c r="P2498" s="5"/>
      <c r="U2498" s="5"/>
    </row>
    <row r="2499" spans="10:21" x14ac:dyDescent="0.5">
      <c r="J2499" s="20"/>
      <c r="K2499" s="20"/>
      <c r="L2499" s="5">
        <f>Data!L2499</f>
        <v>0</v>
      </c>
      <c r="M2499" s="5"/>
      <c r="P2499" s="5"/>
      <c r="U2499" s="5"/>
    </row>
    <row r="2500" spans="10:21" x14ac:dyDescent="0.5">
      <c r="J2500" s="20"/>
      <c r="K2500" s="20"/>
      <c r="L2500" s="5">
        <f>Data!L2500</f>
        <v>0</v>
      </c>
      <c r="M2500" s="5"/>
      <c r="P2500" s="5"/>
      <c r="U2500" s="5"/>
    </row>
    <row r="2501" spans="10:21" x14ac:dyDescent="0.5">
      <c r="J2501" s="20"/>
      <c r="K2501" s="20"/>
      <c r="L2501" s="5">
        <f>Data!L2501</f>
        <v>0</v>
      </c>
      <c r="M2501" s="5"/>
      <c r="P2501" s="5"/>
      <c r="U2501" s="5"/>
    </row>
    <row r="2502" spans="10:21" x14ac:dyDescent="0.5">
      <c r="J2502" s="20"/>
      <c r="K2502" s="20"/>
      <c r="L2502" s="5">
        <f>Data!L2502</f>
        <v>0</v>
      </c>
      <c r="M2502" s="5"/>
      <c r="P2502" s="5"/>
      <c r="U2502" s="5"/>
    </row>
    <row r="2503" spans="10:21" x14ac:dyDescent="0.5">
      <c r="J2503" s="20"/>
      <c r="K2503" s="20"/>
      <c r="L2503" s="5">
        <f>Data!L2503</f>
        <v>0</v>
      </c>
      <c r="M2503" s="5"/>
      <c r="P2503" s="5"/>
      <c r="U2503" s="5"/>
    </row>
    <row r="2504" spans="10:21" x14ac:dyDescent="0.5">
      <c r="J2504" s="20"/>
      <c r="K2504" s="20"/>
      <c r="L2504" s="5">
        <f>Data!L2504</f>
        <v>0</v>
      </c>
      <c r="M2504" s="5"/>
      <c r="P2504" s="5"/>
      <c r="U2504" s="5"/>
    </row>
    <row r="2505" spans="10:21" x14ac:dyDescent="0.5">
      <c r="J2505" s="20"/>
      <c r="K2505" s="20"/>
      <c r="L2505" s="5">
        <f>Data!L2505</f>
        <v>0</v>
      </c>
      <c r="M2505" s="5"/>
      <c r="P2505" s="5"/>
      <c r="U2505" s="5"/>
    </row>
    <row r="2506" spans="10:21" x14ac:dyDescent="0.5">
      <c r="J2506" s="20"/>
      <c r="K2506" s="20"/>
      <c r="L2506" s="5">
        <f>Data!L2506</f>
        <v>0</v>
      </c>
      <c r="M2506" s="5"/>
      <c r="P2506" s="5"/>
      <c r="U2506" s="5"/>
    </row>
    <row r="2507" spans="10:21" x14ac:dyDescent="0.5">
      <c r="J2507" s="20"/>
      <c r="K2507" s="20"/>
      <c r="L2507" s="5">
        <f>Data!L2507</f>
        <v>0</v>
      </c>
      <c r="M2507" s="5"/>
      <c r="P2507" s="5"/>
      <c r="U2507" s="5"/>
    </row>
    <row r="2508" spans="10:21" x14ac:dyDescent="0.5">
      <c r="J2508" s="20"/>
      <c r="K2508" s="20"/>
      <c r="L2508" s="5">
        <f>Data!L2508</f>
        <v>0</v>
      </c>
      <c r="M2508" s="5"/>
      <c r="P2508" s="5"/>
      <c r="U2508" s="5"/>
    </row>
    <row r="2509" spans="10:21" x14ac:dyDescent="0.5">
      <c r="J2509" s="20"/>
      <c r="K2509" s="20"/>
      <c r="L2509" s="5">
        <f>Data!L2509</f>
        <v>0</v>
      </c>
      <c r="M2509" s="5"/>
      <c r="P2509" s="5"/>
      <c r="U2509" s="5"/>
    </row>
    <row r="2510" spans="10:21" x14ac:dyDescent="0.5">
      <c r="J2510" s="20"/>
      <c r="K2510" s="20"/>
      <c r="L2510" s="5">
        <f>Data!L2510</f>
        <v>0</v>
      </c>
      <c r="M2510" s="5"/>
      <c r="P2510" s="5"/>
      <c r="U2510" s="5"/>
    </row>
    <row r="2511" spans="10:21" x14ac:dyDescent="0.5">
      <c r="J2511" s="20"/>
      <c r="K2511" s="20"/>
      <c r="L2511" s="5">
        <f>Data!L2511</f>
        <v>0</v>
      </c>
      <c r="M2511" s="5"/>
      <c r="P2511" s="5"/>
      <c r="U2511" s="5"/>
    </row>
    <row r="2512" spans="10:21" x14ac:dyDescent="0.5">
      <c r="J2512" s="20"/>
      <c r="K2512" s="20"/>
      <c r="L2512" s="5">
        <f>Data!L2512</f>
        <v>0</v>
      </c>
      <c r="M2512" s="5"/>
      <c r="P2512" s="5"/>
      <c r="U2512" s="5"/>
    </row>
    <row r="2513" spans="10:21" x14ac:dyDescent="0.5">
      <c r="J2513" s="20"/>
      <c r="K2513" s="20"/>
      <c r="L2513" s="5">
        <f>Data!L2513</f>
        <v>0</v>
      </c>
      <c r="M2513" s="5"/>
      <c r="P2513" s="5"/>
      <c r="U2513" s="5"/>
    </row>
    <row r="2514" spans="10:21" x14ac:dyDescent="0.5">
      <c r="J2514" s="20"/>
      <c r="K2514" s="20"/>
      <c r="L2514" s="5">
        <f>Data!L2514</f>
        <v>0</v>
      </c>
      <c r="M2514" s="5"/>
      <c r="P2514" s="5"/>
      <c r="U2514" s="5"/>
    </row>
    <row r="2515" spans="10:21" x14ac:dyDescent="0.5">
      <c r="J2515" s="20"/>
      <c r="K2515" s="20"/>
      <c r="L2515" s="5">
        <f>Data!L2515</f>
        <v>0</v>
      </c>
      <c r="M2515" s="5"/>
      <c r="P2515" s="5"/>
      <c r="U2515" s="5"/>
    </row>
    <row r="2516" spans="10:21" x14ac:dyDescent="0.5">
      <c r="J2516" s="20"/>
      <c r="K2516" s="20"/>
      <c r="L2516" s="5">
        <f>Data!L2516</f>
        <v>0</v>
      </c>
      <c r="M2516" s="5"/>
      <c r="P2516" s="5"/>
      <c r="U2516" s="5"/>
    </row>
    <row r="2517" spans="10:21" x14ac:dyDescent="0.5">
      <c r="J2517" s="20"/>
      <c r="K2517" s="20"/>
      <c r="L2517" s="5">
        <f>Data!L2517</f>
        <v>0</v>
      </c>
      <c r="M2517" s="5"/>
      <c r="P2517" s="5"/>
      <c r="U2517" s="5"/>
    </row>
    <row r="2518" spans="10:21" x14ac:dyDescent="0.5">
      <c r="J2518" s="20"/>
      <c r="K2518" s="20"/>
      <c r="L2518" s="5">
        <f>Data!L2518</f>
        <v>0</v>
      </c>
      <c r="M2518" s="5"/>
      <c r="P2518" s="5"/>
      <c r="U2518" s="5"/>
    </row>
    <row r="2519" spans="10:21" x14ac:dyDescent="0.5">
      <c r="J2519" s="20"/>
      <c r="K2519" s="20"/>
      <c r="L2519" s="5">
        <f>Data!L2519</f>
        <v>0</v>
      </c>
      <c r="M2519" s="5"/>
      <c r="P2519" s="5"/>
      <c r="U2519" s="5"/>
    </row>
    <row r="2520" spans="10:21" x14ac:dyDescent="0.5">
      <c r="J2520" s="20"/>
      <c r="K2520" s="20"/>
      <c r="L2520" s="5">
        <f>Data!L2520</f>
        <v>0</v>
      </c>
      <c r="M2520" s="5"/>
      <c r="P2520" s="5"/>
      <c r="U2520" s="5"/>
    </row>
    <row r="2521" spans="10:21" x14ac:dyDescent="0.5">
      <c r="J2521" s="20"/>
      <c r="K2521" s="20"/>
      <c r="L2521" s="5">
        <f>Data!L2521</f>
        <v>0</v>
      </c>
      <c r="M2521" s="5"/>
      <c r="P2521" s="5"/>
      <c r="U2521" s="5"/>
    </row>
    <row r="2522" spans="10:21" x14ac:dyDescent="0.5">
      <c r="J2522" s="20"/>
      <c r="K2522" s="20"/>
      <c r="L2522" s="5">
        <f>Data!L2522</f>
        <v>0</v>
      </c>
      <c r="M2522" s="5"/>
      <c r="P2522" s="5"/>
      <c r="U2522" s="5"/>
    </row>
    <row r="2523" spans="10:21" x14ac:dyDescent="0.5">
      <c r="J2523" s="20"/>
      <c r="K2523" s="20"/>
      <c r="L2523" s="5">
        <f>Data!L2523</f>
        <v>0</v>
      </c>
      <c r="M2523" s="5"/>
      <c r="P2523" s="5"/>
      <c r="U2523" s="5"/>
    </row>
    <row r="2524" spans="10:21" x14ac:dyDescent="0.5">
      <c r="J2524" s="20"/>
      <c r="K2524" s="20"/>
      <c r="L2524" s="5">
        <f>Data!L2524</f>
        <v>0</v>
      </c>
      <c r="M2524" s="5"/>
      <c r="P2524" s="5"/>
      <c r="U2524" s="5"/>
    </row>
    <row r="2525" spans="10:21" x14ac:dyDescent="0.5">
      <c r="J2525" s="20"/>
      <c r="K2525" s="20"/>
      <c r="L2525" s="5">
        <f>Data!L2525</f>
        <v>0</v>
      </c>
      <c r="M2525" s="5"/>
      <c r="P2525" s="5"/>
      <c r="U2525" s="5"/>
    </row>
    <row r="2526" spans="10:21" x14ac:dyDescent="0.5">
      <c r="J2526" s="20"/>
      <c r="K2526" s="20"/>
      <c r="L2526" s="5">
        <f>Data!L2526</f>
        <v>0</v>
      </c>
      <c r="M2526" s="5"/>
      <c r="P2526" s="5"/>
      <c r="U2526" s="5"/>
    </row>
    <row r="2527" spans="10:21" x14ac:dyDescent="0.5">
      <c r="J2527" s="20"/>
      <c r="K2527" s="20"/>
      <c r="L2527" s="5">
        <f>Data!L2527</f>
        <v>0</v>
      </c>
      <c r="M2527" s="5"/>
      <c r="P2527" s="5"/>
      <c r="U2527" s="5"/>
    </row>
    <row r="2528" spans="10:21" x14ac:dyDescent="0.5">
      <c r="J2528" s="20"/>
      <c r="K2528" s="20"/>
      <c r="L2528" s="5">
        <f>Data!L2528</f>
        <v>0</v>
      </c>
      <c r="M2528" s="5"/>
      <c r="P2528" s="5"/>
      <c r="U2528" s="5"/>
    </row>
    <row r="2529" spans="10:21" x14ac:dyDescent="0.5">
      <c r="J2529" s="20"/>
      <c r="K2529" s="20"/>
      <c r="L2529" s="5">
        <f>Data!L2529</f>
        <v>0</v>
      </c>
      <c r="M2529" s="5"/>
      <c r="P2529" s="5"/>
      <c r="U2529" s="5"/>
    </row>
    <row r="2530" spans="10:21" x14ac:dyDescent="0.5">
      <c r="J2530" s="20"/>
      <c r="K2530" s="20"/>
      <c r="L2530" s="5">
        <f>Data!L2530</f>
        <v>0</v>
      </c>
      <c r="M2530" s="5"/>
      <c r="P2530" s="5"/>
      <c r="U2530" s="5"/>
    </row>
    <row r="2531" spans="10:21" x14ac:dyDescent="0.5">
      <c r="J2531" s="20"/>
      <c r="K2531" s="20"/>
      <c r="L2531" s="5">
        <f>Data!L2531</f>
        <v>0</v>
      </c>
      <c r="M2531" s="5"/>
      <c r="P2531" s="5"/>
      <c r="U2531" s="5"/>
    </row>
    <row r="2532" spans="10:21" x14ac:dyDescent="0.5">
      <c r="J2532" s="20"/>
      <c r="K2532" s="20"/>
      <c r="L2532" s="5">
        <f>Data!L2532</f>
        <v>0</v>
      </c>
      <c r="M2532" s="5"/>
      <c r="P2532" s="5"/>
      <c r="U2532" s="5"/>
    </row>
    <row r="2533" spans="10:21" x14ac:dyDescent="0.5">
      <c r="J2533" s="20"/>
      <c r="K2533" s="20"/>
      <c r="L2533" s="5">
        <f>Data!L2533</f>
        <v>0</v>
      </c>
      <c r="M2533" s="5"/>
      <c r="P2533" s="5"/>
      <c r="U2533" s="5"/>
    </row>
    <row r="2534" spans="10:21" x14ac:dyDescent="0.5">
      <c r="J2534" s="20"/>
      <c r="K2534" s="20"/>
      <c r="L2534" s="5">
        <f>Data!L2534</f>
        <v>0</v>
      </c>
      <c r="M2534" s="5"/>
      <c r="P2534" s="5"/>
      <c r="U2534" s="5"/>
    </row>
    <row r="2535" spans="10:21" x14ac:dyDescent="0.5">
      <c r="J2535" s="20"/>
      <c r="K2535" s="20"/>
      <c r="L2535" s="5">
        <f>Data!L2535</f>
        <v>0</v>
      </c>
      <c r="M2535" s="5"/>
      <c r="P2535" s="5"/>
      <c r="U2535" s="5"/>
    </row>
    <row r="2536" spans="10:21" x14ac:dyDescent="0.5">
      <c r="J2536" s="20"/>
      <c r="K2536" s="20"/>
      <c r="L2536" s="5">
        <f>Data!L2536</f>
        <v>0</v>
      </c>
      <c r="M2536" s="5"/>
      <c r="P2536" s="5"/>
      <c r="U2536" s="5"/>
    </row>
    <row r="2537" spans="10:21" x14ac:dyDescent="0.5">
      <c r="J2537" s="20"/>
      <c r="K2537" s="20"/>
      <c r="L2537" s="5">
        <f>Data!L2537</f>
        <v>0</v>
      </c>
      <c r="M2537" s="5"/>
      <c r="P2537" s="5"/>
      <c r="U2537" s="5"/>
    </row>
    <row r="2538" spans="10:21" x14ac:dyDescent="0.5">
      <c r="J2538" s="20"/>
      <c r="K2538" s="20"/>
      <c r="L2538" s="5">
        <f>Data!L2538</f>
        <v>0</v>
      </c>
      <c r="M2538" s="5"/>
      <c r="P2538" s="5"/>
      <c r="U2538" s="5"/>
    </row>
    <row r="2539" spans="10:21" x14ac:dyDescent="0.5">
      <c r="J2539" s="20"/>
      <c r="K2539" s="20"/>
      <c r="L2539" s="5">
        <f>Data!L2539</f>
        <v>0</v>
      </c>
      <c r="M2539" s="5"/>
      <c r="P2539" s="5"/>
      <c r="U2539" s="5"/>
    </row>
    <row r="2540" spans="10:21" x14ac:dyDescent="0.5">
      <c r="J2540" s="20"/>
      <c r="K2540" s="20"/>
      <c r="L2540" s="5">
        <f>Data!L2540</f>
        <v>0</v>
      </c>
      <c r="M2540" s="5"/>
      <c r="P2540" s="5"/>
      <c r="U2540" s="5"/>
    </row>
    <row r="2541" spans="10:21" x14ac:dyDescent="0.5">
      <c r="J2541" s="20"/>
      <c r="K2541" s="20"/>
      <c r="L2541" s="5">
        <f>Data!L2541</f>
        <v>0</v>
      </c>
      <c r="M2541" s="5"/>
      <c r="P2541" s="5"/>
      <c r="U2541" s="5"/>
    </row>
    <row r="2542" spans="10:21" x14ac:dyDescent="0.5">
      <c r="J2542" s="20"/>
      <c r="K2542" s="20"/>
      <c r="L2542" s="5">
        <f>Data!L2542</f>
        <v>0</v>
      </c>
      <c r="M2542" s="5"/>
      <c r="P2542" s="5"/>
      <c r="U2542" s="5"/>
    </row>
    <row r="2543" spans="10:21" x14ac:dyDescent="0.5">
      <c r="J2543" s="20"/>
      <c r="K2543" s="20"/>
      <c r="L2543" s="5">
        <f>Data!L2543</f>
        <v>0</v>
      </c>
      <c r="M2543" s="5"/>
      <c r="P2543" s="5"/>
      <c r="U2543" s="5"/>
    </row>
    <row r="2544" spans="10:21" x14ac:dyDescent="0.5">
      <c r="J2544" s="20"/>
      <c r="K2544" s="20"/>
      <c r="L2544" s="5">
        <f>Data!L2544</f>
        <v>0</v>
      </c>
      <c r="M2544" s="5"/>
      <c r="P2544" s="5"/>
      <c r="U2544" s="5"/>
    </row>
    <row r="2545" spans="10:21" x14ac:dyDescent="0.5">
      <c r="J2545" s="20"/>
      <c r="K2545" s="20"/>
      <c r="L2545" s="5">
        <f>Data!L2545</f>
        <v>0</v>
      </c>
      <c r="M2545" s="5"/>
      <c r="P2545" s="5"/>
      <c r="U2545" s="5"/>
    </row>
    <row r="2546" spans="10:21" x14ac:dyDescent="0.5">
      <c r="J2546" s="20"/>
      <c r="K2546" s="20"/>
      <c r="L2546" s="5">
        <f>Data!L2546</f>
        <v>0</v>
      </c>
      <c r="M2546" s="5"/>
      <c r="P2546" s="5"/>
      <c r="U2546" s="5"/>
    </row>
    <row r="2547" spans="10:21" x14ac:dyDescent="0.5">
      <c r="J2547" s="20"/>
      <c r="K2547" s="20"/>
      <c r="L2547" s="5">
        <f>Data!L2547</f>
        <v>0</v>
      </c>
      <c r="M2547" s="5"/>
      <c r="P2547" s="5"/>
      <c r="U2547" s="5"/>
    </row>
    <row r="2548" spans="10:21" x14ac:dyDescent="0.5">
      <c r="J2548" s="20"/>
      <c r="K2548" s="20"/>
      <c r="L2548" s="5">
        <f>Data!L2548</f>
        <v>0</v>
      </c>
      <c r="M2548" s="5"/>
      <c r="P2548" s="5"/>
      <c r="U2548" s="5"/>
    </row>
    <row r="2549" spans="10:21" x14ac:dyDescent="0.5">
      <c r="J2549" s="20"/>
      <c r="K2549" s="20"/>
      <c r="L2549" s="5">
        <f>Data!L2549</f>
        <v>0</v>
      </c>
      <c r="M2549" s="5"/>
      <c r="P2549" s="5"/>
      <c r="U2549" s="5"/>
    </row>
    <row r="2550" spans="10:21" x14ac:dyDescent="0.5">
      <c r="J2550" s="20"/>
      <c r="K2550" s="20"/>
      <c r="L2550" s="5">
        <f>Data!L2550</f>
        <v>0</v>
      </c>
      <c r="M2550" s="5"/>
      <c r="P2550" s="5"/>
      <c r="U2550" s="5"/>
    </row>
    <row r="2551" spans="10:21" x14ac:dyDescent="0.5">
      <c r="J2551" s="20"/>
      <c r="K2551" s="20"/>
      <c r="L2551" s="5">
        <f>Data!L2551</f>
        <v>0</v>
      </c>
      <c r="M2551" s="5"/>
      <c r="P2551" s="5"/>
      <c r="U2551" s="5"/>
    </row>
    <row r="2552" spans="10:21" x14ac:dyDescent="0.5">
      <c r="J2552" s="20"/>
      <c r="K2552" s="20"/>
      <c r="L2552" s="5">
        <f>Data!L2552</f>
        <v>0</v>
      </c>
      <c r="M2552" s="5"/>
      <c r="P2552" s="5"/>
      <c r="U2552" s="5"/>
    </row>
    <row r="2553" spans="10:21" x14ac:dyDescent="0.5">
      <c r="J2553" s="20"/>
      <c r="K2553" s="20"/>
      <c r="L2553" s="5">
        <f>Data!L2553</f>
        <v>0</v>
      </c>
      <c r="M2553" s="5"/>
      <c r="P2553" s="5"/>
      <c r="U2553" s="5"/>
    </row>
    <row r="2554" spans="10:21" x14ac:dyDescent="0.5">
      <c r="J2554" s="20"/>
      <c r="K2554" s="20"/>
      <c r="L2554" s="5">
        <f>Data!L2554</f>
        <v>0</v>
      </c>
      <c r="M2554" s="5"/>
      <c r="P2554" s="5"/>
      <c r="U2554" s="5"/>
    </row>
    <row r="2555" spans="10:21" x14ac:dyDescent="0.5">
      <c r="J2555" s="20"/>
      <c r="K2555" s="20"/>
      <c r="L2555" s="5">
        <f>Data!L2555</f>
        <v>0</v>
      </c>
      <c r="M2555" s="5"/>
      <c r="P2555" s="5"/>
      <c r="U2555" s="5"/>
    </row>
    <row r="2556" spans="10:21" x14ac:dyDescent="0.5">
      <c r="J2556" s="20"/>
      <c r="K2556" s="20"/>
      <c r="L2556" s="5">
        <f>Data!L2556</f>
        <v>0</v>
      </c>
      <c r="M2556" s="5"/>
      <c r="P2556" s="5"/>
      <c r="U2556" s="5"/>
    </row>
    <row r="2557" spans="10:21" x14ac:dyDescent="0.5">
      <c r="J2557" s="20"/>
      <c r="K2557" s="20"/>
      <c r="L2557" s="5">
        <f>Data!L2557</f>
        <v>0</v>
      </c>
      <c r="M2557" s="5"/>
      <c r="P2557" s="5"/>
      <c r="U2557" s="5"/>
    </row>
    <row r="2558" spans="10:21" x14ac:dyDescent="0.5">
      <c r="J2558" s="20"/>
      <c r="K2558" s="20"/>
      <c r="L2558" s="5">
        <f>Data!L2558</f>
        <v>0</v>
      </c>
      <c r="M2558" s="5"/>
      <c r="P2558" s="5"/>
      <c r="U2558" s="5"/>
    </row>
    <row r="2559" spans="10:21" x14ac:dyDescent="0.5">
      <c r="J2559" s="20"/>
      <c r="K2559" s="20"/>
      <c r="L2559" s="5">
        <f>Data!L2559</f>
        <v>0</v>
      </c>
      <c r="M2559" s="5"/>
      <c r="P2559" s="5"/>
      <c r="U2559" s="5"/>
    </row>
    <row r="2560" spans="10:21" x14ac:dyDescent="0.5">
      <c r="J2560" s="20"/>
      <c r="K2560" s="20"/>
      <c r="L2560" s="5">
        <f>Data!L2560</f>
        <v>0</v>
      </c>
      <c r="M2560" s="5"/>
      <c r="P2560" s="5"/>
      <c r="U2560" s="5"/>
    </row>
    <row r="2561" spans="10:21" x14ac:dyDescent="0.5">
      <c r="J2561" s="20"/>
      <c r="K2561" s="20"/>
      <c r="L2561" s="5">
        <f>Data!L2561</f>
        <v>0</v>
      </c>
      <c r="M2561" s="5"/>
      <c r="P2561" s="5"/>
      <c r="U2561" s="5"/>
    </row>
    <row r="2562" spans="10:21" x14ac:dyDescent="0.5">
      <c r="J2562" s="20"/>
      <c r="K2562" s="20"/>
      <c r="L2562" s="5">
        <f>Data!L2562</f>
        <v>0</v>
      </c>
      <c r="M2562" s="5"/>
      <c r="P2562" s="5"/>
      <c r="U2562" s="5"/>
    </row>
    <row r="2563" spans="10:21" x14ac:dyDescent="0.5">
      <c r="J2563" s="20"/>
      <c r="K2563" s="20"/>
      <c r="L2563" s="5">
        <f>Data!L2563</f>
        <v>0</v>
      </c>
      <c r="M2563" s="5"/>
      <c r="P2563" s="5"/>
      <c r="U2563" s="5"/>
    </row>
    <row r="2564" spans="10:21" x14ac:dyDescent="0.5">
      <c r="J2564" s="20"/>
      <c r="K2564" s="20"/>
      <c r="L2564" s="5">
        <f>Data!L2564</f>
        <v>0</v>
      </c>
      <c r="M2564" s="5"/>
      <c r="P2564" s="5"/>
      <c r="U2564" s="5"/>
    </row>
    <row r="2565" spans="10:21" x14ac:dyDescent="0.5">
      <c r="J2565" s="20"/>
      <c r="K2565" s="20"/>
      <c r="L2565" s="5">
        <f>Data!L2565</f>
        <v>0</v>
      </c>
      <c r="M2565" s="5"/>
      <c r="P2565" s="5"/>
      <c r="U2565" s="5"/>
    </row>
    <row r="2566" spans="10:21" x14ac:dyDescent="0.5">
      <c r="J2566" s="20"/>
      <c r="K2566" s="20"/>
      <c r="L2566" s="5">
        <f>Data!L2566</f>
        <v>0</v>
      </c>
      <c r="M2566" s="5"/>
      <c r="P2566" s="5"/>
      <c r="U2566" s="5"/>
    </row>
    <row r="2567" spans="10:21" x14ac:dyDescent="0.5">
      <c r="J2567" s="20"/>
      <c r="K2567" s="20"/>
      <c r="L2567" s="5">
        <f>Data!L2567</f>
        <v>0</v>
      </c>
      <c r="M2567" s="5"/>
      <c r="P2567" s="5"/>
      <c r="U2567" s="5"/>
    </row>
    <row r="2568" spans="10:21" x14ac:dyDescent="0.5">
      <c r="J2568" s="20"/>
      <c r="K2568" s="20"/>
      <c r="L2568" s="5">
        <f>Data!L2568</f>
        <v>0</v>
      </c>
      <c r="M2568" s="5"/>
      <c r="P2568" s="5"/>
      <c r="U2568" s="5"/>
    </row>
    <row r="2569" spans="10:21" x14ac:dyDescent="0.5">
      <c r="J2569" s="20"/>
      <c r="K2569" s="20"/>
      <c r="L2569" s="5">
        <f>Data!L2569</f>
        <v>0</v>
      </c>
      <c r="M2569" s="5"/>
      <c r="P2569" s="5"/>
      <c r="U2569" s="5"/>
    </row>
    <row r="2570" spans="10:21" x14ac:dyDescent="0.5">
      <c r="J2570" s="20"/>
      <c r="K2570" s="20"/>
      <c r="L2570" s="5">
        <f>Data!L2570</f>
        <v>0</v>
      </c>
      <c r="M2570" s="5"/>
      <c r="P2570" s="5"/>
      <c r="U2570" s="5"/>
    </row>
    <row r="2571" spans="10:21" x14ac:dyDescent="0.5">
      <c r="J2571" s="20"/>
      <c r="K2571" s="20"/>
      <c r="L2571" s="5">
        <f>Data!L2571</f>
        <v>0</v>
      </c>
      <c r="M2571" s="5"/>
      <c r="P2571" s="5"/>
      <c r="U2571" s="5"/>
    </row>
    <row r="2572" spans="10:21" x14ac:dyDescent="0.5">
      <c r="J2572" s="20"/>
      <c r="K2572" s="20"/>
      <c r="L2572" s="5">
        <f>Data!L2572</f>
        <v>0</v>
      </c>
      <c r="M2572" s="5"/>
      <c r="P2572" s="5"/>
      <c r="U2572" s="5"/>
    </row>
    <row r="2573" spans="10:21" x14ac:dyDescent="0.5">
      <c r="J2573" s="20"/>
      <c r="K2573" s="20"/>
      <c r="L2573" s="5">
        <f>Data!L2573</f>
        <v>0</v>
      </c>
      <c r="M2573" s="5"/>
      <c r="P2573" s="5"/>
      <c r="U2573" s="5"/>
    </row>
    <row r="2574" spans="10:21" x14ac:dyDescent="0.5">
      <c r="J2574" s="20"/>
      <c r="K2574" s="20"/>
      <c r="L2574" s="5">
        <f>Data!L2574</f>
        <v>0</v>
      </c>
      <c r="M2574" s="5"/>
      <c r="P2574" s="5"/>
      <c r="U2574" s="5"/>
    </row>
    <row r="2575" spans="10:21" x14ac:dyDescent="0.5">
      <c r="J2575" s="20"/>
      <c r="K2575" s="20"/>
      <c r="L2575" s="5">
        <f>Data!L2575</f>
        <v>0</v>
      </c>
      <c r="M2575" s="5"/>
      <c r="P2575" s="5"/>
      <c r="U2575" s="5"/>
    </row>
    <row r="2576" spans="10:21" x14ac:dyDescent="0.5">
      <c r="J2576" s="20"/>
      <c r="K2576" s="20"/>
      <c r="L2576" s="5">
        <f>Data!L2576</f>
        <v>0</v>
      </c>
      <c r="M2576" s="5"/>
      <c r="P2576" s="5"/>
      <c r="U2576" s="5"/>
    </row>
    <row r="2577" spans="10:21" x14ac:dyDescent="0.5">
      <c r="J2577" s="20"/>
      <c r="K2577" s="20"/>
      <c r="L2577" s="5">
        <f>Data!L2577</f>
        <v>0</v>
      </c>
      <c r="M2577" s="5"/>
      <c r="P2577" s="5"/>
      <c r="U2577" s="5"/>
    </row>
    <row r="2578" spans="10:21" x14ac:dyDescent="0.5">
      <c r="J2578" s="20"/>
      <c r="K2578" s="20"/>
      <c r="L2578" s="5">
        <f>Data!L2578</f>
        <v>0</v>
      </c>
      <c r="M2578" s="5"/>
      <c r="P2578" s="5"/>
      <c r="U2578" s="5"/>
    </row>
    <row r="2579" spans="10:21" x14ac:dyDescent="0.5">
      <c r="J2579" s="20"/>
      <c r="K2579" s="20"/>
      <c r="L2579" s="5">
        <f>Data!L2579</f>
        <v>0</v>
      </c>
      <c r="M2579" s="5"/>
      <c r="P2579" s="5"/>
      <c r="U2579" s="5"/>
    </row>
    <row r="2580" spans="10:21" x14ac:dyDescent="0.5">
      <c r="J2580" s="20"/>
      <c r="K2580" s="20"/>
      <c r="L2580" s="5">
        <f>Data!L2580</f>
        <v>0</v>
      </c>
      <c r="M2580" s="5"/>
      <c r="P2580" s="5"/>
      <c r="U2580" s="5"/>
    </row>
    <row r="2581" spans="10:21" x14ac:dyDescent="0.5">
      <c r="J2581" s="20"/>
      <c r="K2581" s="20"/>
      <c r="L2581" s="5">
        <f>Data!L2581</f>
        <v>0</v>
      </c>
      <c r="M2581" s="5"/>
      <c r="P2581" s="5"/>
      <c r="U2581" s="5"/>
    </row>
    <row r="2582" spans="10:21" x14ac:dyDescent="0.5">
      <c r="J2582" s="20"/>
      <c r="K2582" s="20"/>
      <c r="L2582" s="5">
        <f>Data!L2582</f>
        <v>0</v>
      </c>
      <c r="M2582" s="5"/>
      <c r="P2582" s="5"/>
      <c r="U2582" s="5"/>
    </row>
    <row r="2583" spans="10:21" x14ac:dyDescent="0.5">
      <c r="J2583" s="20"/>
      <c r="K2583" s="20"/>
      <c r="L2583" s="5">
        <f>Data!L2583</f>
        <v>0</v>
      </c>
      <c r="M2583" s="5"/>
      <c r="P2583" s="5"/>
      <c r="U2583" s="5"/>
    </row>
    <row r="2584" spans="10:21" x14ac:dyDescent="0.5">
      <c r="J2584" s="20"/>
      <c r="K2584" s="20"/>
      <c r="L2584" s="5">
        <f>Data!L2584</f>
        <v>0</v>
      </c>
      <c r="M2584" s="5"/>
      <c r="P2584" s="5"/>
      <c r="U2584" s="5"/>
    </row>
    <row r="2585" spans="10:21" x14ac:dyDescent="0.5">
      <c r="J2585" s="20"/>
      <c r="K2585" s="20"/>
      <c r="L2585" s="5">
        <f>Data!L2585</f>
        <v>0</v>
      </c>
      <c r="M2585" s="5"/>
      <c r="P2585" s="5"/>
      <c r="U2585" s="5"/>
    </row>
    <row r="2586" spans="10:21" x14ac:dyDescent="0.5">
      <c r="J2586" s="20"/>
      <c r="K2586" s="20"/>
      <c r="L2586" s="5">
        <f>Data!L2586</f>
        <v>0</v>
      </c>
      <c r="M2586" s="5"/>
      <c r="P2586" s="5"/>
      <c r="U2586" s="5"/>
    </row>
    <row r="2587" spans="10:21" x14ac:dyDescent="0.5">
      <c r="J2587" s="20"/>
      <c r="K2587" s="20"/>
      <c r="L2587" s="5">
        <f>Data!L2587</f>
        <v>0</v>
      </c>
      <c r="M2587" s="5"/>
      <c r="P2587" s="5"/>
      <c r="U2587" s="5"/>
    </row>
    <row r="2588" spans="10:21" x14ac:dyDescent="0.5">
      <c r="J2588" s="20"/>
      <c r="K2588" s="20"/>
      <c r="L2588" s="5">
        <f>Data!L2588</f>
        <v>0</v>
      </c>
      <c r="M2588" s="5"/>
      <c r="P2588" s="5"/>
      <c r="U2588" s="5"/>
    </row>
    <row r="2589" spans="10:21" x14ac:dyDescent="0.5">
      <c r="J2589" s="20"/>
      <c r="K2589" s="20"/>
      <c r="L2589" s="5">
        <f>Data!L2589</f>
        <v>0</v>
      </c>
      <c r="M2589" s="5"/>
      <c r="P2589" s="5"/>
      <c r="U2589" s="5"/>
    </row>
    <row r="2590" spans="10:21" x14ac:dyDescent="0.5">
      <c r="J2590" s="20"/>
      <c r="K2590" s="20"/>
      <c r="L2590" s="5">
        <f>Data!L2590</f>
        <v>0</v>
      </c>
      <c r="M2590" s="5"/>
      <c r="P2590" s="5"/>
      <c r="U2590" s="5"/>
    </row>
    <row r="2591" spans="10:21" x14ac:dyDescent="0.5">
      <c r="J2591" s="20"/>
      <c r="K2591" s="20"/>
      <c r="L2591" s="5">
        <f>Data!L2591</f>
        <v>0</v>
      </c>
      <c r="M2591" s="5"/>
      <c r="P2591" s="5"/>
      <c r="U2591" s="5"/>
    </row>
    <row r="2592" spans="10:21" x14ac:dyDescent="0.5">
      <c r="J2592" s="20"/>
      <c r="K2592" s="20"/>
      <c r="L2592" s="5">
        <f>Data!L2592</f>
        <v>0</v>
      </c>
      <c r="M2592" s="5"/>
      <c r="P2592" s="5"/>
      <c r="U2592" s="5"/>
    </row>
    <row r="2593" spans="10:21" x14ac:dyDescent="0.5">
      <c r="J2593" s="20"/>
      <c r="K2593" s="20"/>
      <c r="L2593" s="5">
        <f>Data!L2593</f>
        <v>0</v>
      </c>
      <c r="M2593" s="5"/>
      <c r="P2593" s="5"/>
      <c r="U2593" s="5"/>
    </row>
    <row r="2594" spans="10:21" x14ac:dyDescent="0.5">
      <c r="J2594" s="20"/>
      <c r="K2594" s="20"/>
      <c r="L2594" s="5">
        <f>Data!L2594</f>
        <v>0</v>
      </c>
      <c r="M2594" s="5"/>
      <c r="P2594" s="5"/>
      <c r="U2594" s="5"/>
    </row>
    <row r="2595" spans="10:21" x14ac:dyDescent="0.5">
      <c r="J2595" s="20"/>
      <c r="K2595" s="20"/>
      <c r="L2595" s="5">
        <f>Data!L2595</f>
        <v>0</v>
      </c>
      <c r="M2595" s="5"/>
      <c r="P2595" s="5"/>
      <c r="U2595" s="5"/>
    </row>
    <row r="2596" spans="10:21" x14ac:dyDescent="0.5">
      <c r="J2596" s="20"/>
      <c r="K2596" s="20"/>
      <c r="L2596" s="5">
        <f>Data!L2596</f>
        <v>0</v>
      </c>
      <c r="M2596" s="5"/>
      <c r="P2596" s="5"/>
      <c r="U2596" s="5"/>
    </row>
    <row r="2597" spans="10:21" x14ac:dyDescent="0.5">
      <c r="J2597" s="20"/>
      <c r="K2597" s="20"/>
      <c r="L2597" s="5">
        <f>Data!L2597</f>
        <v>0</v>
      </c>
      <c r="M2597" s="5"/>
      <c r="P2597" s="5"/>
      <c r="U2597" s="5"/>
    </row>
    <row r="2598" spans="10:21" x14ac:dyDescent="0.5">
      <c r="J2598" s="20"/>
      <c r="K2598" s="20"/>
      <c r="L2598" s="5">
        <f>Data!L2598</f>
        <v>0</v>
      </c>
      <c r="M2598" s="5"/>
      <c r="P2598" s="5"/>
      <c r="U2598" s="5"/>
    </row>
    <row r="2599" spans="10:21" x14ac:dyDescent="0.5">
      <c r="J2599" s="20"/>
      <c r="K2599" s="20"/>
      <c r="L2599" s="5">
        <f>Data!L2599</f>
        <v>0</v>
      </c>
      <c r="M2599" s="5"/>
      <c r="P2599" s="5"/>
      <c r="U2599" s="5"/>
    </row>
    <row r="2600" spans="10:21" x14ac:dyDescent="0.5">
      <c r="J2600" s="20"/>
      <c r="K2600" s="20"/>
      <c r="L2600" s="5">
        <f>Data!L2600</f>
        <v>0</v>
      </c>
      <c r="M2600" s="5"/>
      <c r="P2600" s="5"/>
      <c r="U2600" s="5"/>
    </row>
    <row r="2601" spans="10:21" x14ac:dyDescent="0.5">
      <c r="J2601" s="20"/>
      <c r="K2601" s="20"/>
      <c r="L2601" s="5">
        <f>Data!L2601</f>
        <v>0</v>
      </c>
      <c r="M2601" s="5"/>
      <c r="P2601" s="5"/>
      <c r="U2601" s="5"/>
    </row>
    <row r="2602" spans="10:21" x14ac:dyDescent="0.5">
      <c r="J2602" s="20"/>
      <c r="K2602" s="20"/>
      <c r="L2602" s="5">
        <f>Data!L2602</f>
        <v>0</v>
      </c>
      <c r="M2602" s="5"/>
      <c r="P2602" s="5"/>
      <c r="U2602" s="5"/>
    </row>
    <row r="2603" spans="10:21" x14ac:dyDescent="0.5">
      <c r="J2603" s="20"/>
      <c r="K2603" s="20"/>
      <c r="L2603" s="5">
        <f>Data!L2603</f>
        <v>0</v>
      </c>
      <c r="M2603" s="5"/>
      <c r="P2603" s="5"/>
      <c r="U2603" s="5"/>
    </row>
    <row r="2604" spans="10:21" x14ac:dyDescent="0.5">
      <c r="J2604" s="20"/>
      <c r="K2604" s="20"/>
      <c r="L2604" s="5">
        <f>Data!L2604</f>
        <v>0</v>
      </c>
      <c r="M2604" s="5"/>
      <c r="P2604" s="5"/>
      <c r="U2604" s="5"/>
    </row>
    <row r="2605" spans="10:21" x14ac:dyDescent="0.5">
      <c r="J2605" s="20"/>
      <c r="K2605" s="20"/>
      <c r="L2605" s="5">
        <f>Data!L2605</f>
        <v>0</v>
      </c>
      <c r="M2605" s="5"/>
      <c r="P2605" s="5"/>
      <c r="U2605" s="5"/>
    </row>
    <row r="2606" spans="10:21" x14ac:dyDescent="0.5">
      <c r="J2606" s="20"/>
      <c r="K2606" s="20"/>
      <c r="L2606" s="5">
        <f>Data!L2606</f>
        <v>0</v>
      </c>
      <c r="M2606" s="5"/>
      <c r="P2606" s="5"/>
      <c r="U2606" s="5"/>
    </row>
    <row r="2607" spans="10:21" x14ac:dyDescent="0.5">
      <c r="J2607" s="20"/>
      <c r="K2607" s="20"/>
      <c r="L2607" s="5">
        <f>Data!L2607</f>
        <v>0</v>
      </c>
      <c r="M2607" s="5"/>
      <c r="P2607" s="5"/>
      <c r="U2607" s="5"/>
    </row>
    <row r="2608" spans="10:21" x14ac:dyDescent="0.5">
      <c r="J2608" s="20"/>
      <c r="K2608" s="20"/>
      <c r="L2608" s="5">
        <f>Data!L2608</f>
        <v>0</v>
      </c>
      <c r="M2608" s="5"/>
      <c r="P2608" s="5"/>
      <c r="U2608" s="5"/>
    </row>
    <row r="2609" spans="10:21" x14ac:dyDescent="0.5">
      <c r="J2609" s="20"/>
      <c r="K2609" s="20"/>
      <c r="L2609" s="5">
        <f>Data!L2609</f>
        <v>0</v>
      </c>
      <c r="M2609" s="5"/>
      <c r="P2609" s="5"/>
      <c r="U2609" s="5"/>
    </row>
    <row r="2610" spans="10:21" x14ac:dyDescent="0.5">
      <c r="J2610" s="20"/>
      <c r="K2610" s="20"/>
      <c r="L2610" s="5">
        <f>Data!L2610</f>
        <v>0</v>
      </c>
      <c r="M2610" s="5"/>
      <c r="P2610" s="5"/>
      <c r="U2610" s="5"/>
    </row>
    <row r="2611" spans="10:21" x14ac:dyDescent="0.5">
      <c r="J2611" s="20"/>
      <c r="K2611" s="20"/>
      <c r="L2611" s="5">
        <f>Data!L2611</f>
        <v>0</v>
      </c>
      <c r="M2611" s="5"/>
      <c r="P2611" s="5"/>
      <c r="U2611" s="5"/>
    </row>
    <row r="2612" spans="10:21" x14ac:dyDescent="0.5">
      <c r="J2612" s="20"/>
      <c r="K2612" s="20"/>
      <c r="L2612" s="5">
        <f>Data!L2612</f>
        <v>0</v>
      </c>
      <c r="M2612" s="5"/>
      <c r="P2612" s="5"/>
      <c r="U2612" s="5"/>
    </row>
    <row r="2613" spans="10:21" x14ac:dyDescent="0.5">
      <c r="J2613" s="20"/>
      <c r="K2613" s="20"/>
      <c r="L2613" s="5">
        <f>Data!L2613</f>
        <v>0</v>
      </c>
      <c r="M2613" s="5"/>
      <c r="P2613" s="5"/>
      <c r="U2613" s="5"/>
    </row>
    <row r="2614" spans="10:21" x14ac:dyDescent="0.5">
      <c r="J2614" s="20"/>
      <c r="K2614" s="20"/>
      <c r="L2614" s="5">
        <f>Data!L2614</f>
        <v>0</v>
      </c>
      <c r="M2614" s="5"/>
      <c r="P2614" s="5"/>
      <c r="U2614" s="5"/>
    </row>
    <row r="2615" spans="10:21" x14ac:dyDescent="0.5">
      <c r="J2615" s="20"/>
      <c r="K2615" s="20"/>
      <c r="L2615" s="5">
        <f>Data!L2615</f>
        <v>0</v>
      </c>
      <c r="M2615" s="5"/>
      <c r="P2615" s="5"/>
      <c r="U2615" s="5"/>
    </row>
    <row r="2616" spans="10:21" x14ac:dyDescent="0.5">
      <c r="J2616" s="20"/>
      <c r="K2616" s="20"/>
      <c r="L2616" s="5">
        <f>Data!L2616</f>
        <v>0</v>
      </c>
      <c r="M2616" s="5"/>
      <c r="P2616" s="5"/>
      <c r="U2616" s="5"/>
    </row>
    <row r="2617" spans="10:21" x14ac:dyDescent="0.5">
      <c r="J2617" s="20"/>
      <c r="K2617" s="20"/>
      <c r="L2617" s="5">
        <f>Data!L2617</f>
        <v>0</v>
      </c>
      <c r="M2617" s="5"/>
      <c r="P2617" s="5"/>
      <c r="U2617" s="5"/>
    </row>
    <row r="2618" spans="10:21" x14ac:dyDescent="0.5">
      <c r="J2618" s="20"/>
      <c r="K2618" s="20"/>
      <c r="L2618" s="5">
        <f>Data!L2618</f>
        <v>0</v>
      </c>
      <c r="M2618" s="5"/>
      <c r="P2618" s="5"/>
      <c r="U2618" s="5"/>
    </row>
    <row r="2619" spans="10:21" x14ac:dyDescent="0.5">
      <c r="J2619" s="20"/>
      <c r="K2619" s="20"/>
      <c r="L2619" s="5">
        <f>Data!L2619</f>
        <v>0</v>
      </c>
      <c r="M2619" s="5"/>
      <c r="P2619" s="5"/>
      <c r="U2619" s="5"/>
    </row>
    <row r="2620" spans="10:21" x14ac:dyDescent="0.5">
      <c r="J2620" s="20"/>
      <c r="K2620" s="20"/>
      <c r="L2620" s="5">
        <f>Data!L2620</f>
        <v>0</v>
      </c>
      <c r="M2620" s="5"/>
      <c r="P2620" s="5"/>
      <c r="U2620" s="5"/>
    </row>
    <row r="2621" spans="10:21" x14ac:dyDescent="0.5">
      <c r="J2621" s="20"/>
      <c r="K2621" s="20"/>
      <c r="L2621" s="5">
        <f>Data!L2621</f>
        <v>0</v>
      </c>
      <c r="M2621" s="5"/>
      <c r="P2621" s="5"/>
      <c r="U2621" s="5"/>
    </row>
    <row r="2622" spans="10:21" x14ac:dyDescent="0.5">
      <c r="J2622" s="20"/>
      <c r="K2622" s="20"/>
      <c r="L2622" s="5">
        <f>Data!L2622</f>
        <v>0</v>
      </c>
      <c r="M2622" s="5"/>
      <c r="P2622" s="5"/>
      <c r="U2622" s="5"/>
    </row>
    <row r="2623" spans="10:21" x14ac:dyDescent="0.5">
      <c r="J2623" s="20"/>
      <c r="K2623" s="20"/>
      <c r="L2623" s="5">
        <f>Data!L2623</f>
        <v>0</v>
      </c>
      <c r="M2623" s="5"/>
      <c r="P2623" s="5"/>
      <c r="U2623" s="5"/>
    </row>
    <row r="2624" spans="10:21" x14ac:dyDescent="0.5">
      <c r="J2624" s="20"/>
      <c r="K2624" s="20"/>
      <c r="L2624" s="5">
        <f>Data!L2624</f>
        <v>0</v>
      </c>
      <c r="M2624" s="5"/>
      <c r="P2624" s="5"/>
      <c r="U2624" s="5"/>
    </row>
    <row r="2625" spans="10:21" x14ac:dyDescent="0.5">
      <c r="J2625" s="20"/>
      <c r="K2625" s="20"/>
      <c r="L2625" s="5">
        <f>Data!L2625</f>
        <v>0</v>
      </c>
      <c r="M2625" s="5"/>
      <c r="P2625" s="5"/>
      <c r="U2625" s="5"/>
    </row>
    <row r="2626" spans="10:21" x14ac:dyDescent="0.5">
      <c r="J2626" s="20"/>
      <c r="K2626" s="20"/>
      <c r="L2626" s="5">
        <f>Data!L2626</f>
        <v>0</v>
      </c>
      <c r="M2626" s="5"/>
      <c r="P2626" s="5"/>
      <c r="U2626" s="5"/>
    </row>
    <row r="2627" spans="10:21" x14ac:dyDescent="0.5">
      <c r="J2627" s="20"/>
      <c r="K2627" s="20"/>
      <c r="L2627" s="5">
        <f>Data!L2627</f>
        <v>0</v>
      </c>
      <c r="M2627" s="5"/>
      <c r="P2627" s="5"/>
      <c r="U2627" s="5"/>
    </row>
    <row r="2628" spans="10:21" x14ac:dyDescent="0.5">
      <c r="J2628" s="20"/>
      <c r="K2628" s="20"/>
      <c r="L2628" s="5">
        <f>Data!L2628</f>
        <v>0</v>
      </c>
      <c r="M2628" s="5"/>
      <c r="P2628" s="5"/>
      <c r="U2628" s="5"/>
    </row>
    <row r="2629" spans="10:21" x14ac:dyDescent="0.5">
      <c r="J2629" s="20"/>
      <c r="K2629" s="20"/>
      <c r="L2629" s="5">
        <f>Data!L2629</f>
        <v>0</v>
      </c>
      <c r="M2629" s="5"/>
      <c r="P2629" s="5"/>
      <c r="U2629" s="5"/>
    </row>
    <row r="2630" spans="10:21" x14ac:dyDescent="0.5">
      <c r="J2630" s="20"/>
      <c r="K2630" s="20"/>
      <c r="L2630" s="5">
        <f>Data!L2630</f>
        <v>0</v>
      </c>
      <c r="M2630" s="5"/>
      <c r="P2630" s="5"/>
      <c r="U2630" s="5"/>
    </row>
    <row r="2631" spans="10:21" x14ac:dyDescent="0.5">
      <c r="J2631" s="20"/>
      <c r="K2631" s="20"/>
      <c r="L2631" s="5">
        <f>Data!L2631</f>
        <v>0</v>
      </c>
      <c r="M2631" s="5"/>
      <c r="P2631" s="5"/>
      <c r="U2631" s="5"/>
    </row>
    <row r="2632" spans="10:21" x14ac:dyDescent="0.5">
      <c r="J2632" s="20"/>
      <c r="K2632" s="20"/>
      <c r="L2632" s="5">
        <f>Data!L2632</f>
        <v>0</v>
      </c>
      <c r="M2632" s="5"/>
      <c r="P2632" s="5"/>
      <c r="U2632" s="5"/>
    </row>
    <row r="2633" spans="10:21" x14ac:dyDescent="0.5">
      <c r="J2633" s="20"/>
      <c r="K2633" s="20"/>
      <c r="L2633" s="5">
        <f>Data!L2633</f>
        <v>0</v>
      </c>
      <c r="M2633" s="5"/>
      <c r="P2633" s="5"/>
      <c r="U2633" s="5"/>
    </row>
    <row r="2634" spans="10:21" x14ac:dyDescent="0.5">
      <c r="J2634" s="20"/>
      <c r="K2634" s="20"/>
      <c r="L2634" s="5">
        <f>Data!L2634</f>
        <v>0</v>
      </c>
      <c r="M2634" s="5"/>
      <c r="P2634" s="5"/>
      <c r="U2634" s="5"/>
    </row>
    <row r="2635" spans="10:21" x14ac:dyDescent="0.5">
      <c r="J2635" s="20"/>
      <c r="K2635" s="20"/>
      <c r="L2635" s="5">
        <f>Data!L2635</f>
        <v>0</v>
      </c>
      <c r="M2635" s="5"/>
      <c r="P2635" s="5"/>
      <c r="U2635" s="5"/>
    </row>
    <row r="2636" spans="10:21" x14ac:dyDescent="0.5">
      <c r="J2636" s="20"/>
      <c r="K2636" s="20"/>
      <c r="L2636" s="5">
        <f>Data!L2636</f>
        <v>0</v>
      </c>
      <c r="M2636" s="5"/>
      <c r="P2636" s="5"/>
      <c r="U2636" s="5"/>
    </row>
    <row r="2637" spans="10:21" x14ac:dyDescent="0.5">
      <c r="J2637" s="20"/>
      <c r="K2637" s="20"/>
      <c r="L2637" s="5">
        <f>Data!L2637</f>
        <v>0</v>
      </c>
      <c r="M2637" s="5"/>
      <c r="P2637" s="5"/>
      <c r="U2637" s="5"/>
    </row>
    <row r="2638" spans="10:21" x14ac:dyDescent="0.5">
      <c r="J2638" s="20"/>
      <c r="K2638" s="20"/>
      <c r="L2638" s="5">
        <f>Data!L2638</f>
        <v>0</v>
      </c>
      <c r="M2638" s="5"/>
      <c r="P2638" s="5"/>
      <c r="U2638" s="5"/>
    </row>
    <row r="2639" spans="10:21" x14ac:dyDescent="0.5">
      <c r="J2639" s="20"/>
      <c r="K2639" s="20"/>
      <c r="L2639" s="5">
        <f>Data!L2639</f>
        <v>0</v>
      </c>
      <c r="M2639" s="5"/>
      <c r="P2639" s="5"/>
      <c r="U2639" s="5"/>
    </row>
    <row r="2640" spans="10:21" x14ac:dyDescent="0.5">
      <c r="J2640" s="20"/>
      <c r="K2640" s="20"/>
      <c r="L2640" s="5">
        <f>Data!L2640</f>
        <v>0</v>
      </c>
      <c r="M2640" s="5"/>
      <c r="P2640" s="5"/>
      <c r="U2640" s="5"/>
    </row>
    <row r="2641" spans="10:21" x14ac:dyDescent="0.5">
      <c r="J2641" s="20"/>
      <c r="K2641" s="20"/>
      <c r="L2641" s="5">
        <f>Data!L2641</f>
        <v>0</v>
      </c>
      <c r="M2641" s="5"/>
      <c r="P2641" s="5"/>
      <c r="U2641" s="5"/>
    </row>
    <row r="2642" spans="10:21" x14ac:dyDescent="0.5">
      <c r="J2642" s="20"/>
      <c r="K2642" s="20"/>
      <c r="L2642" s="5">
        <f>Data!L2642</f>
        <v>0</v>
      </c>
      <c r="M2642" s="5"/>
      <c r="P2642" s="5"/>
      <c r="U2642" s="5"/>
    </row>
    <row r="2643" spans="10:21" x14ac:dyDescent="0.5">
      <c r="J2643" s="20"/>
      <c r="K2643" s="20"/>
      <c r="L2643" s="5">
        <f>Data!L2643</f>
        <v>0</v>
      </c>
      <c r="M2643" s="5"/>
      <c r="P2643" s="5"/>
      <c r="U2643" s="5"/>
    </row>
    <row r="2644" spans="10:21" x14ac:dyDescent="0.5">
      <c r="J2644" s="20"/>
      <c r="K2644" s="20"/>
      <c r="L2644" s="5">
        <f>Data!L2644</f>
        <v>0</v>
      </c>
      <c r="M2644" s="5"/>
      <c r="P2644" s="5"/>
      <c r="U2644" s="5"/>
    </row>
    <row r="2645" spans="10:21" x14ac:dyDescent="0.5">
      <c r="J2645" s="20"/>
      <c r="K2645" s="20"/>
      <c r="L2645" s="5">
        <f>Data!L2645</f>
        <v>0</v>
      </c>
      <c r="M2645" s="5"/>
      <c r="P2645" s="5"/>
      <c r="U2645" s="5"/>
    </row>
    <row r="2646" spans="10:21" x14ac:dyDescent="0.5">
      <c r="J2646" s="20"/>
      <c r="K2646" s="20"/>
      <c r="L2646" s="5">
        <f>Data!L2646</f>
        <v>0</v>
      </c>
      <c r="M2646" s="5"/>
      <c r="P2646" s="5"/>
      <c r="U2646" s="5"/>
    </row>
    <row r="2647" spans="10:21" x14ac:dyDescent="0.5">
      <c r="J2647" s="20"/>
      <c r="K2647" s="20"/>
      <c r="L2647" s="5">
        <f>Data!L2647</f>
        <v>0</v>
      </c>
      <c r="M2647" s="5"/>
      <c r="P2647" s="5"/>
      <c r="U2647" s="5"/>
    </row>
    <row r="2648" spans="10:21" x14ac:dyDescent="0.5">
      <c r="J2648" s="20"/>
      <c r="K2648" s="20"/>
      <c r="L2648" s="5">
        <f>Data!L2648</f>
        <v>0</v>
      </c>
      <c r="M2648" s="5"/>
      <c r="P2648" s="5"/>
      <c r="U2648" s="5"/>
    </row>
    <row r="2649" spans="10:21" x14ac:dyDescent="0.5">
      <c r="J2649" s="20"/>
      <c r="K2649" s="20"/>
      <c r="L2649" s="5">
        <f>Data!L2649</f>
        <v>0</v>
      </c>
      <c r="M2649" s="5"/>
      <c r="P2649" s="5"/>
      <c r="U2649" s="5"/>
    </row>
    <row r="2650" spans="10:21" x14ac:dyDescent="0.5">
      <c r="J2650" s="20"/>
      <c r="K2650" s="20"/>
      <c r="L2650" s="5">
        <f>Data!L2650</f>
        <v>0</v>
      </c>
      <c r="M2650" s="5"/>
      <c r="P2650" s="5"/>
      <c r="U2650" s="5"/>
    </row>
    <row r="2651" spans="10:21" x14ac:dyDescent="0.5">
      <c r="J2651" s="20"/>
      <c r="K2651" s="20"/>
      <c r="L2651" s="5">
        <f>Data!L2651</f>
        <v>0</v>
      </c>
      <c r="M2651" s="5"/>
      <c r="P2651" s="5"/>
      <c r="U2651" s="5"/>
    </row>
    <row r="2652" spans="10:21" x14ac:dyDescent="0.5">
      <c r="J2652" s="20"/>
      <c r="K2652" s="20"/>
      <c r="L2652" s="5">
        <f>Data!L2652</f>
        <v>0</v>
      </c>
      <c r="M2652" s="5"/>
      <c r="P2652" s="5"/>
      <c r="U2652" s="5"/>
    </row>
    <row r="2653" spans="10:21" x14ac:dyDescent="0.5">
      <c r="J2653" s="20"/>
      <c r="K2653" s="20"/>
      <c r="L2653" s="5">
        <f>Data!L2653</f>
        <v>0</v>
      </c>
      <c r="M2653" s="5"/>
      <c r="P2653" s="5"/>
      <c r="U2653" s="5"/>
    </row>
    <row r="2654" spans="10:21" x14ac:dyDescent="0.5">
      <c r="J2654" s="20"/>
      <c r="K2654" s="20"/>
      <c r="L2654" s="5">
        <f>Data!L2654</f>
        <v>0</v>
      </c>
      <c r="M2654" s="5"/>
      <c r="P2654" s="5"/>
      <c r="U2654" s="5"/>
    </row>
    <row r="2655" spans="10:21" x14ac:dyDescent="0.5">
      <c r="J2655" s="20"/>
      <c r="K2655" s="20"/>
      <c r="L2655" s="5">
        <f>Data!L2655</f>
        <v>0</v>
      </c>
      <c r="M2655" s="5"/>
      <c r="P2655" s="5"/>
      <c r="U2655" s="5"/>
    </row>
    <row r="2656" spans="10:21" x14ac:dyDescent="0.5">
      <c r="J2656" s="20"/>
      <c r="K2656" s="20"/>
      <c r="L2656" s="5">
        <f>Data!L2656</f>
        <v>0</v>
      </c>
      <c r="M2656" s="5"/>
      <c r="P2656" s="5"/>
      <c r="U2656" s="5"/>
    </row>
    <row r="2657" spans="10:21" x14ac:dyDescent="0.5">
      <c r="J2657" s="20"/>
      <c r="K2657" s="20"/>
      <c r="L2657" s="5">
        <f>Data!L2657</f>
        <v>0</v>
      </c>
      <c r="M2657" s="5"/>
      <c r="P2657" s="5"/>
      <c r="U2657" s="5"/>
    </row>
    <row r="2658" spans="10:21" x14ac:dyDescent="0.5">
      <c r="J2658" s="20"/>
      <c r="K2658" s="20"/>
      <c r="L2658" s="5">
        <f>Data!L2658</f>
        <v>0</v>
      </c>
      <c r="M2658" s="5"/>
      <c r="P2658" s="5"/>
      <c r="U2658" s="5"/>
    </row>
    <row r="2659" spans="10:21" x14ac:dyDescent="0.5">
      <c r="J2659" s="20"/>
      <c r="K2659" s="20"/>
      <c r="L2659" s="5">
        <f>Data!L2659</f>
        <v>0</v>
      </c>
      <c r="M2659" s="5"/>
      <c r="P2659" s="5"/>
      <c r="U2659" s="5"/>
    </row>
    <row r="2660" spans="10:21" x14ac:dyDescent="0.5">
      <c r="J2660" s="20"/>
      <c r="K2660" s="20"/>
      <c r="L2660" s="5">
        <f>Data!L2660</f>
        <v>0</v>
      </c>
      <c r="M2660" s="5"/>
      <c r="P2660" s="5"/>
      <c r="U2660" s="5"/>
    </row>
    <row r="2661" spans="10:21" x14ac:dyDescent="0.5">
      <c r="J2661" s="20"/>
      <c r="K2661" s="20"/>
      <c r="L2661" s="5">
        <f>Data!L2661</f>
        <v>0</v>
      </c>
      <c r="M2661" s="5"/>
      <c r="P2661" s="5"/>
      <c r="U2661" s="5"/>
    </row>
    <row r="2662" spans="10:21" x14ac:dyDescent="0.5">
      <c r="J2662" s="20"/>
      <c r="K2662" s="20"/>
      <c r="L2662" s="5">
        <f>Data!L2662</f>
        <v>0</v>
      </c>
      <c r="M2662" s="5"/>
      <c r="P2662" s="5"/>
      <c r="U2662" s="5"/>
    </row>
    <row r="2663" spans="10:21" x14ac:dyDescent="0.5">
      <c r="J2663" s="20"/>
      <c r="K2663" s="20"/>
      <c r="L2663" s="5">
        <f>Data!L2663</f>
        <v>0</v>
      </c>
      <c r="M2663" s="5"/>
      <c r="P2663" s="5"/>
      <c r="U2663" s="5"/>
    </row>
    <row r="2664" spans="10:21" x14ac:dyDescent="0.5">
      <c r="J2664" s="20"/>
      <c r="K2664" s="20"/>
      <c r="L2664" s="5">
        <f>Data!L2664</f>
        <v>0</v>
      </c>
      <c r="M2664" s="5"/>
      <c r="P2664" s="5"/>
      <c r="U2664" s="5"/>
    </row>
    <row r="2665" spans="10:21" x14ac:dyDescent="0.5">
      <c r="J2665" s="20"/>
      <c r="K2665" s="20"/>
      <c r="L2665" s="5">
        <f>Data!L2665</f>
        <v>0</v>
      </c>
      <c r="M2665" s="5"/>
      <c r="P2665" s="5"/>
      <c r="U2665" s="5"/>
    </row>
    <row r="2666" spans="10:21" x14ac:dyDescent="0.5">
      <c r="J2666" s="20"/>
      <c r="K2666" s="20"/>
      <c r="L2666" s="5">
        <f>Data!L2666</f>
        <v>0</v>
      </c>
      <c r="M2666" s="5"/>
      <c r="P2666" s="5"/>
      <c r="U2666" s="5"/>
    </row>
    <row r="2667" spans="10:21" x14ac:dyDescent="0.5">
      <c r="J2667" s="20"/>
      <c r="K2667" s="20"/>
      <c r="L2667" s="5">
        <f>Data!L2667</f>
        <v>0</v>
      </c>
      <c r="M2667" s="5"/>
      <c r="P2667" s="5"/>
      <c r="U2667" s="5"/>
    </row>
    <row r="2668" spans="10:21" x14ac:dyDescent="0.5">
      <c r="J2668" s="20"/>
      <c r="K2668" s="20"/>
      <c r="L2668" s="5">
        <f>Data!L2668</f>
        <v>0</v>
      </c>
      <c r="M2668" s="5"/>
      <c r="P2668" s="5"/>
      <c r="U2668" s="5"/>
    </row>
    <row r="2669" spans="10:21" x14ac:dyDescent="0.5">
      <c r="J2669" s="20"/>
      <c r="K2669" s="20"/>
      <c r="L2669" s="5">
        <f>Data!L2669</f>
        <v>0</v>
      </c>
      <c r="M2669" s="5"/>
      <c r="P2669" s="5"/>
      <c r="U2669" s="5"/>
    </row>
    <row r="2670" spans="10:21" x14ac:dyDescent="0.5">
      <c r="J2670" s="20"/>
      <c r="K2670" s="20"/>
      <c r="L2670" s="5">
        <f>Data!L2670</f>
        <v>0</v>
      </c>
      <c r="M2670" s="5"/>
      <c r="P2670" s="5"/>
      <c r="U2670" s="5"/>
    </row>
    <row r="2671" spans="10:21" x14ac:dyDescent="0.5">
      <c r="J2671" s="20"/>
      <c r="K2671" s="20"/>
      <c r="L2671" s="5">
        <f>Data!L2671</f>
        <v>0</v>
      </c>
      <c r="M2671" s="5"/>
      <c r="P2671" s="5"/>
      <c r="U2671" s="5"/>
    </row>
    <row r="2672" spans="10:21" x14ac:dyDescent="0.5">
      <c r="J2672" s="20"/>
      <c r="K2672" s="20"/>
      <c r="L2672" s="5">
        <f>Data!L2672</f>
        <v>0</v>
      </c>
      <c r="M2672" s="5"/>
      <c r="P2672" s="5"/>
      <c r="U2672" s="5"/>
    </row>
    <row r="2673" spans="10:21" x14ac:dyDescent="0.5">
      <c r="J2673" s="20"/>
      <c r="K2673" s="20"/>
      <c r="L2673" s="5">
        <f>Data!L2673</f>
        <v>0</v>
      </c>
      <c r="M2673" s="5"/>
      <c r="P2673" s="5"/>
      <c r="U2673" s="5"/>
    </row>
    <row r="2674" spans="10:21" x14ac:dyDescent="0.5">
      <c r="J2674" s="20"/>
      <c r="K2674" s="20"/>
      <c r="L2674" s="5">
        <f>Data!L2674</f>
        <v>0</v>
      </c>
      <c r="M2674" s="5"/>
      <c r="P2674" s="5"/>
      <c r="U2674" s="5"/>
    </row>
    <row r="2675" spans="10:21" x14ac:dyDescent="0.5">
      <c r="J2675" s="20"/>
      <c r="K2675" s="20"/>
      <c r="L2675" s="5">
        <f>Data!L2675</f>
        <v>0</v>
      </c>
      <c r="M2675" s="5"/>
      <c r="P2675" s="5"/>
      <c r="U2675" s="5"/>
    </row>
    <row r="2676" spans="10:21" x14ac:dyDescent="0.5">
      <c r="J2676" s="20"/>
      <c r="K2676" s="20"/>
      <c r="L2676" s="5">
        <f>Data!L2676</f>
        <v>0</v>
      </c>
      <c r="M2676" s="5"/>
      <c r="P2676" s="5"/>
      <c r="U2676" s="5"/>
    </row>
    <row r="2677" spans="10:21" x14ac:dyDescent="0.5">
      <c r="J2677" s="20"/>
      <c r="K2677" s="20"/>
      <c r="L2677" s="5">
        <f>Data!L2677</f>
        <v>0</v>
      </c>
      <c r="M2677" s="5"/>
      <c r="P2677" s="5"/>
      <c r="U2677" s="5"/>
    </row>
    <row r="2678" spans="10:21" x14ac:dyDescent="0.5">
      <c r="J2678" s="20"/>
      <c r="K2678" s="20"/>
      <c r="L2678" s="5">
        <f>Data!L2678</f>
        <v>0</v>
      </c>
      <c r="M2678" s="5"/>
      <c r="P2678" s="5"/>
      <c r="U2678" s="5"/>
    </row>
    <row r="2679" spans="10:21" x14ac:dyDescent="0.5">
      <c r="J2679" s="20"/>
      <c r="K2679" s="20"/>
      <c r="L2679" s="5">
        <f>Data!L2679</f>
        <v>0</v>
      </c>
      <c r="M2679" s="5"/>
      <c r="P2679" s="5"/>
      <c r="U2679" s="5"/>
    </row>
    <row r="2680" spans="10:21" x14ac:dyDescent="0.5">
      <c r="J2680" s="20"/>
      <c r="K2680" s="20"/>
      <c r="L2680" s="5">
        <f>Data!L2680</f>
        <v>0</v>
      </c>
      <c r="M2680" s="5"/>
      <c r="P2680" s="5"/>
      <c r="U2680" s="5"/>
    </row>
    <row r="2681" spans="10:21" x14ac:dyDescent="0.5">
      <c r="J2681" s="20"/>
      <c r="K2681" s="20"/>
      <c r="L2681" s="5">
        <f>Data!L2681</f>
        <v>0</v>
      </c>
      <c r="M2681" s="5"/>
      <c r="P2681" s="5"/>
      <c r="U2681" s="5"/>
    </row>
    <row r="2682" spans="10:21" x14ac:dyDescent="0.5">
      <c r="J2682" s="20"/>
      <c r="K2682" s="20"/>
      <c r="L2682" s="5">
        <f>Data!L2682</f>
        <v>0</v>
      </c>
      <c r="M2682" s="5"/>
      <c r="P2682" s="5"/>
      <c r="U2682" s="5"/>
    </row>
    <row r="2683" spans="10:21" x14ac:dyDescent="0.5">
      <c r="J2683" s="20"/>
      <c r="K2683" s="20"/>
      <c r="L2683" s="5">
        <f>Data!L2683</f>
        <v>0</v>
      </c>
      <c r="M2683" s="5"/>
      <c r="P2683" s="5"/>
      <c r="U2683" s="5"/>
    </row>
    <row r="2684" spans="10:21" x14ac:dyDescent="0.5">
      <c r="J2684" s="20"/>
      <c r="K2684" s="20"/>
      <c r="L2684" s="5">
        <f>Data!L2684</f>
        <v>0</v>
      </c>
      <c r="M2684" s="5"/>
      <c r="P2684" s="5"/>
      <c r="U2684" s="5"/>
    </row>
    <row r="2685" spans="10:21" x14ac:dyDescent="0.5">
      <c r="J2685" s="20"/>
      <c r="K2685" s="20"/>
      <c r="L2685" s="5">
        <f>Data!L2685</f>
        <v>0</v>
      </c>
      <c r="M2685" s="5"/>
      <c r="P2685" s="5"/>
      <c r="U2685" s="5"/>
    </row>
    <row r="2686" spans="10:21" x14ac:dyDescent="0.5">
      <c r="J2686" s="20"/>
      <c r="K2686" s="20"/>
      <c r="L2686" s="5">
        <f>Data!L2686</f>
        <v>0</v>
      </c>
      <c r="M2686" s="5"/>
      <c r="P2686" s="5"/>
      <c r="U2686" s="5"/>
    </row>
    <row r="2687" spans="10:21" x14ac:dyDescent="0.5">
      <c r="J2687" s="20"/>
      <c r="K2687" s="20"/>
      <c r="L2687" s="5">
        <f>Data!L2687</f>
        <v>0</v>
      </c>
      <c r="M2687" s="5"/>
      <c r="P2687" s="5"/>
      <c r="U2687" s="5"/>
    </row>
    <row r="2688" spans="10:21" x14ac:dyDescent="0.5">
      <c r="J2688" s="20"/>
      <c r="K2688" s="20"/>
      <c r="L2688" s="5">
        <f>Data!L2688</f>
        <v>0</v>
      </c>
      <c r="M2688" s="5"/>
      <c r="P2688" s="5"/>
      <c r="U2688" s="5"/>
    </row>
    <row r="2689" spans="10:21" x14ac:dyDescent="0.5">
      <c r="J2689" s="20"/>
      <c r="K2689" s="20"/>
      <c r="L2689" s="5">
        <f>Data!L2689</f>
        <v>0</v>
      </c>
      <c r="M2689" s="5"/>
      <c r="P2689" s="5"/>
      <c r="U2689" s="5"/>
    </row>
    <row r="2690" spans="10:21" x14ac:dyDescent="0.5">
      <c r="J2690" s="20"/>
      <c r="K2690" s="20"/>
      <c r="L2690" s="5">
        <f>Data!L2690</f>
        <v>0</v>
      </c>
      <c r="M2690" s="5"/>
      <c r="P2690" s="5"/>
      <c r="U2690" s="5"/>
    </row>
    <row r="2691" spans="10:21" x14ac:dyDescent="0.5">
      <c r="J2691" s="20"/>
      <c r="K2691" s="20"/>
      <c r="L2691" s="5">
        <f>Data!L2691</f>
        <v>0</v>
      </c>
      <c r="M2691" s="5"/>
      <c r="P2691" s="5"/>
      <c r="U2691" s="5"/>
    </row>
    <row r="2692" spans="10:21" x14ac:dyDescent="0.5">
      <c r="J2692" s="20"/>
      <c r="K2692" s="20"/>
      <c r="L2692" s="5">
        <f>Data!L2692</f>
        <v>0</v>
      </c>
      <c r="M2692" s="5"/>
      <c r="P2692" s="5"/>
      <c r="U2692" s="5"/>
    </row>
    <row r="2693" spans="10:21" x14ac:dyDescent="0.5">
      <c r="J2693" s="20"/>
      <c r="K2693" s="20"/>
      <c r="L2693" s="5">
        <f>Data!L2693</f>
        <v>0</v>
      </c>
      <c r="M2693" s="5"/>
      <c r="P2693" s="5"/>
      <c r="U2693" s="5"/>
    </row>
    <row r="2694" spans="10:21" x14ac:dyDescent="0.5">
      <c r="J2694" s="20"/>
      <c r="K2694" s="20"/>
      <c r="L2694" s="5">
        <f>Data!L2694</f>
        <v>0</v>
      </c>
      <c r="M2694" s="5"/>
      <c r="P2694" s="5"/>
      <c r="U2694" s="5"/>
    </row>
    <row r="2695" spans="10:21" x14ac:dyDescent="0.5">
      <c r="J2695" s="20"/>
      <c r="K2695" s="20"/>
      <c r="L2695" s="5">
        <f>Data!L2695</f>
        <v>0</v>
      </c>
      <c r="M2695" s="5"/>
      <c r="P2695" s="5"/>
      <c r="U2695" s="5"/>
    </row>
    <row r="2696" spans="10:21" x14ac:dyDescent="0.5">
      <c r="J2696" s="20"/>
      <c r="K2696" s="20"/>
      <c r="L2696" s="5">
        <f>Data!L2696</f>
        <v>0</v>
      </c>
      <c r="M2696" s="5"/>
      <c r="P2696" s="5"/>
      <c r="U2696" s="5"/>
    </row>
    <row r="2697" spans="10:21" x14ac:dyDescent="0.5">
      <c r="J2697" s="20"/>
      <c r="K2697" s="20"/>
      <c r="L2697" s="5">
        <f>Data!L2697</f>
        <v>0</v>
      </c>
      <c r="M2697" s="5"/>
      <c r="P2697" s="5"/>
      <c r="U2697" s="5"/>
    </row>
    <row r="2698" spans="10:21" x14ac:dyDescent="0.5">
      <c r="J2698" s="20"/>
      <c r="K2698" s="20"/>
      <c r="L2698" s="5">
        <f>Data!L2698</f>
        <v>0</v>
      </c>
      <c r="M2698" s="5"/>
      <c r="P2698" s="5"/>
      <c r="U2698" s="5"/>
    </row>
    <row r="2699" spans="10:21" x14ac:dyDescent="0.5">
      <c r="J2699" s="20"/>
      <c r="K2699" s="20"/>
      <c r="L2699" s="5">
        <f>Data!L2699</f>
        <v>0</v>
      </c>
      <c r="M2699" s="5"/>
      <c r="P2699" s="5"/>
      <c r="U2699" s="5"/>
    </row>
    <row r="2700" spans="10:21" x14ac:dyDescent="0.5">
      <c r="J2700" s="20"/>
      <c r="K2700" s="20"/>
      <c r="L2700" s="5">
        <f>Data!L2700</f>
        <v>0</v>
      </c>
      <c r="M2700" s="5"/>
      <c r="P2700" s="5"/>
      <c r="U2700" s="5"/>
    </row>
    <row r="2701" spans="10:21" x14ac:dyDescent="0.5">
      <c r="J2701" s="20"/>
      <c r="K2701" s="20"/>
      <c r="L2701" s="5">
        <f>Data!L2701</f>
        <v>0</v>
      </c>
      <c r="M2701" s="5"/>
      <c r="P2701" s="5"/>
      <c r="U2701" s="5"/>
    </row>
    <row r="2702" spans="10:21" x14ac:dyDescent="0.5">
      <c r="J2702" s="20"/>
      <c r="K2702" s="20"/>
      <c r="L2702" s="5">
        <f>Data!L2702</f>
        <v>0</v>
      </c>
      <c r="M2702" s="5"/>
      <c r="P2702" s="5"/>
      <c r="U2702" s="5"/>
    </row>
    <row r="2703" spans="10:21" x14ac:dyDescent="0.5">
      <c r="J2703" s="20"/>
      <c r="K2703" s="20"/>
      <c r="L2703" s="5">
        <f>Data!L2703</f>
        <v>0</v>
      </c>
      <c r="M2703" s="5"/>
      <c r="P2703" s="5"/>
      <c r="U2703" s="5"/>
    </row>
    <row r="2704" spans="10:21" x14ac:dyDescent="0.5">
      <c r="J2704" s="20"/>
      <c r="K2704" s="20"/>
      <c r="L2704" s="5">
        <f>Data!L2704</f>
        <v>0</v>
      </c>
      <c r="M2704" s="5"/>
      <c r="P2704" s="5"/>
      <c r="U2704" s="5"/>
    </row>
    <row r="2705" spans="10:21" x14ac:dyDescent="0.5">
      <c r="J2705" s="20"/>
      <c r="K2705" s="20"/>
      <c r="L2705" s="5">
        <f>Data!L2705</f>
        <v>0</v>
      </c>
      <c r="M2705" s="5"/>
      <c r="P2705" s="5"/>
      <c r="U2705" s="5"/>
    </row>
    <row r="2706" spans="10:21" x14ac:dyDescent="0.5">
      <c r="J2706" s="20"/>
      <c r="K2706" s="20"/>
      <c r="L2706" s="5">
        <f>Data!L2706</f>
        <v>0</v>
      </c>
      <c r="M2706" s="5"/>
      <c r="P2706" s="5"/>
      <c r="U2706" s="5"/>
    </row>
    <row r="2707" spans="10:21" x14ac:dyDescent="0.5">
      <c r="J2707" s="20"/>
      <c r="K2707" s="20"/>
      <c r="L2707" s="5">
        <f>Data!L2707</f>
        <v>0</v>
      </c>
      <c r="M2707" s="5"/>
      <c r="P2707" s="5"/>
      <c r="U2707" s="5"/>
    </row>
    <row r="2708" spans="10:21" x14ac:dyDescent="0.5">
      <c r="J2708" s="20"/>
      <c r="K2708" s="20"/>
      <c r="L2708" s="5">
        <f>Data!L2708</f>
        <v>0</v>
      </c>
      <c r="M2708" s="5"/>
      <c r="P2708" s="5"/>
      <c r="U2708" s="5"/>
    </row>
    <row r="2709" spans="10:21" x14ac:dyDescent="0.5">
      <c r="J2709" s="20"/>
      <c r="K2709" s="20"/>
      <c r="L2709" s="5">
        <f>Data!L2709</f>
        <v>0</v>
      </c>
      <c r="M2709" s="5"/>
      <c r="P2709" s="5"/>
      <c r="U2709" s="5"/>
    </row>
    <row r="2710" spans="10:21" x14ac:dyDescent="0.5">
      <c r="J2710" s="20"/>
      <c r="K2710" s="20"/>
      <c r="L2710" s="5">
        <f>Data!L2710</f>
        <v>0</v>
      </c>
      <c r="M2710" s="5"/>
      <c r="P2710" s="5"/>
      <c r="U2710" s="5"/>
    </row>
    <row r="2711" spans="10:21" x14ac:dyDescent="0.5">
      <c r="J2711" s="20"/>
      <c r="K2711" s="20"/>
      <c r="L2711" s="5">
        <f>Data!L2711</f>
        <v>0</v>
      </c>
      <c r="M2711" s="5"/>
      <c r="P2711" s="5"/>
      <c r="U2711" s="5"/>
    </row>
    <row r="2712" spans="10:21" x14ac:dyDescent="0.5">
      <c r="J2712" s="20"/>
      <c r="K2712" s="20"/>
      <c r="L2712" s="5">
        <f>Data!L2712</f>
        <v>0</v>
      </c>
      <c r="M2712" s="5"/>
      <c r="P2712" s="5"/>
      <c r="U2712" s="5"/>
    </row>
    <row r="2713" spans="10:21" x14ac:dyDescent="0.5">
      <c r="J2713" s="20"/>
      <c r="K2713" s="20"/>
      <c r="L2713" s="5">
        <f>Data!L2713</f>
        <v>0</v>
      </c>
      <c r="M2713" s="5"/>
      <c r="P2713" s="5"/>
      <c r="U2713" s="5"/>
    </row>
    <row r="2714" spans="10:21" x14ac:dyDescent="0.5">
      <c r="J2714" s="20"/>
      <c r="K2714" s="20"/>
      <c r="L2714" s="5">
        <f>Data!L2714</f>
        <v>0</v>
      </c>
      <c r="M2714" s="5"/>
      <c r="P2714" s="5"/>
      <c r="U2714" s="5"/>
    </row>
    <row r="2715" spans="10:21" x14ac:dyDescent="0.5">
      <c r="J2715" s="20"/>
      <c r="K2715" s="20"/>
      <c r="L2715" s="5">
        <f>Data!L2715</f>
        <v>0</v>
      </c>
      <c r="M2715" s="5"/>
      <c r="P2715" s="5"/>
      <c r="U2715" s="5"/>
    </row>
    <row r="2716" spans="10:21" x14ac:dyDescent="0.5">
      <c r="J2716" s="20"/>
      <c r="K2716" s="20"/>
      <c r="L2716" s="5">
        <f>Data!L2716</f>
        <v>0</v>
      </c>
      <c r="M2716" s="5"/>
      <c r="P2716" s="5"/>
      <c r="U2716" s="5"/>
    </row>
    <row r="2717" spans="10:21" x14ac:dyDescent="0.5">
      <c r="J2717" s="20"/>
      <c r="K2717" s="20"/>
      <c r="L2717" s="5">
        <f>Data!L2717</f>
        <v>0</v>
      </c>
      <c r="M2717" s="5"/>
      <c r="P2717" s="5"/>
      <c r="U2717" s="5"/>
    </row>
    <row r="2718" spans="10:21" x14ac:dyDescent="0.5">
      <c r="J2718" s="20"/>
      <c r="K2718" s="20"/>
      <c r="L2718" s="5">
        <f>Data!L2718</f>
        <v>0</v>
      </c>
      <c r="M2718" s="5"/>
      <c r="P2718" s="5"/>
      <c r="U2718" s="5"/>
    </row>
    <row r="2719" spans="10:21" x14ac:dyDescent="0.5">
      <c r="J2719" s="20"/>
      <c r="K2719" s="20"/>
      <c r="L2719" s="5">
        <f>Data!L2719</f>
        <v>0</v>
      </c>
      <c r="M2719" s="5"/>
      <c r="P2719" s="5"/>
      <c r="U2719" s="5"/>
    </row>
    <row r="2720" spans="10:21" x14ac:dyDescent="0.5">
      <c r="J2720" s="20"/>
      <c r="K2720" s="20"/>
      <c r="L2720" s="5">
        <f>Data!L2720</f>
        <v>0</v>
      </c>
      <c r="M2720" s="5"/>
      <c r="P2720" s="5"/>
      <c r="U2720" s="5"/>
    </row>
    <row r="2721" spans="10:21" x14ac:dyDescent="0.5">
      <c r="J2721" s="20"/>
      <c r="K2721" s="20"/>
      <c r="L2721" s="5">
        <f>Data!L2721</f>
        <v>0</v>
      </c>
      <c r="M2721" s="5"/>
      <c r="P2721" s="5"/>
      <c r="U2721" s="5"/>
    </row>
    <row r="2722" spans="10:21" x14ac:dyDescent="0.5">
      <c r="J2722" s="20"/>
      <c r="K2722" s="20"/>
      <c r="L2722" s="5">
        <f>Data!L2722</f>
        <v>0</v>
      </c>
      <c r="M2722" s="5"/>
      <c r="P2722" s="5"/>
      <c r="U2722" s="5"/>
    </row>
    <row r="2723" spans="10:21" x14ac:dyDescent="0.5">
      <c r="J2723" s="20"/>
      <c r="K2723" s="20"/>
      <c r="L2723" s="5">
        <f>Data!L2723</f>
        <v>0</v>
      </c>
      <c r="M2723" s="5"/>
      <c r="P2723" s="5"/>
      <c r="U2723" s="5"/>
    </row>
    <row r="2724" spans="10:21" x14ac:dyDescent="0.5">
      <c r="J2724" s="20"/>
      <c r="K2724" s="20"/>
      <c r="L2724" s="5">
        <f>Data!L2724</f>
        <v>0</v>
      </c>
      <c r="M2724" s="5"/>
      <c r="P2724" s="5"/>
      <c r="U2724" s="5"/>
    </row>
    <row r="2725" spans="10:21" x14ac:dyDescent="0.5">
      <c r="J2725" s="20"/>
      <c r="K2725" s="20"/>
      <c r="L2725" s="5">
        <f>Data!L2725</f>
        <v>0</v>
      </c>
      <c r="M2725" s="5"/>
      <c r="P2725" s="5"/>
      <c r="U2725" s="5"/>
    </row>
    <row r="2726" spans="10:21" x14ac:dyDescent="0.5">
      <c r="J2726" s="20"/>
      <c r="K2726" s="20"/>
      <c r="L2726" s="5">
        <f>Data!L2726</f>
        <v>0</v>
      </c>
      <c r="M2726" s="5"/>
      <c r="P2726" s="5"/>
      <c r="U2726" s="5"/>
    </row>
    <row r="2727" spans="10:21" x14ac:dyDescent="0.5">
      <c r="J2727" s="20"/>
      <c r="K2727" s="20"/>
      <c r="L2727" s="5">
        <f>Data!L2727</f>
        <v>0</v>
      </c>
      <c r="M2727" s="5"/>
      <c r="P2727" s="5"/>
      <c r="U2727" s="5"/>
    </row>
    <row r="2728" spans="10:21" x14ac:dyDescent="0.5">
      <c r="J2728" s="20"/>
      <c r="K2728" s="20"/>
      <c r="L2728" s="5">
        <f>Data!L2728</f>
        <v>0</v>
      </c>
      <c r="M2728" s="5"/>
      <c r="P2728" s="5"/>
      <c r="U2728" s="5"/>
    </row>
    <row r="2729" spans="10:21" x14ac:dyDescent="0.5">
      <c r="J2729" s="20"/>
      <c r="K2729" s="20"/>
      <c r="L2729" s="5">
        <f>Data!L2729</f>
        <v>0</v>
      </c>
      <c r="M2729" s="5"/>
      <c r="P2729" s="5"/>
      <c r="U2729" s="5"/>
    </row>
    <row r="2730" spans="10:21" x14ac:dyDescent="0.5">
      <c r="J2730" s="20"/>
      <c r="K2730" s="20"/>
      <c r="L2730" s="5">
        <f>Data!L2730</f>
        <v>0</v>
      </c>
      <c r="M2730" s="5"/>
      <c r="P2730" s="5"/>
      <c r="U2730" s="5"/>
    </row>
    <row r="2731" spans="10:21" x14ac:dyDescent="0.5">
      <c r="J2731" s="20"/>
      <c r="K2731" s="20"/>
      <c r="L2731" s="5">
        <f>Data!L2731</f>
        <v>0</v>
      </c>
      <c r="M2731" s="5"/>
      <c r="P2731" s="5"/>
      <c r="U2731" s="5"/>
    </row>
    <row r="2732" spans="10:21" x14ac:dyDescent="0.5">
      <c r="J2732" s="20"/>
      <c r="K2732" s="20"/>
      <c r="L2732" s="5">
        <f>Data!L2732</f>
        <v>0</v>
      </c>
      <c r="M2732" s="5"/>
      <c r="P2732" s="5"/>
      <c r="U2732" s="5"/>
    </row>
    <row r="2733" spans="10:21" x14ac:dyDescent="0.5">
      <c r="J2733" s="20"/>
      <c r="K2733" s="20"/>
      <c r="L2733" s="5">
        <f>Data!L2733</f>
        <v>0</v>
      </c>
      <c r="M2733" s="5"/>
      <c r="P2733" s="5"/>
      <c r="U2733" s="5"/>
    </row>
    <row r="2734" spans="10:21" x14ac:dyDescent="0.5">
      <c r="J2734" s="20"/>
      <c r="K2734" s="20"/>
      <c r="L2734" s="5">
        <f>Data!L2734</f>
        <v>0</v>
      </c>
      <c r="M2734" s="5"/>
      <c r="P2734" s="5"/>
      <c r="U2734" s="5"/>
    </row>
    <row r="2735" spans="10:21" x14ac:dyDescent="0.5">
      <c r="J2735" s="20"/>
      <c r="K2735" s="20"/>
      <c r="L2735" s="5">
        <f>Data!L2735</f>
        <v>0</v>
      </c>
      <c r="M2735" s="5"/>
      <c r="P2735" s="5"/>
      <c r="U2735" s="5"/>
    </row>
    <row r="2736" spans="10:21" x14ac:dyDescent="0.5">
      <c r="J2736" s="20"/>
      <c r="K2736" s="20"/>
      <c r="L2736" s="5">
        <f>Data!L2736</f>
        <v>0</v>
      </c>
      <c r="M2736" s="5"/>
      <c r="P2736" s="5"/>
      <c r="U2736" s="5"/>
    </row>
    <row r="2737" spans="10:21" x14ac:dyDescent="0.5">
      <c r="J2737" s="20"/>
      <c r="K2737" s="20"/>
      <c r="L2737" s="5">
        <f>Data!L2737</f>
        <v>0</v>
      </c>
      <c r="M2737" s="5"/>
      <c r="P2737" s="5"/>
      <c r="U2737" s="5"/>
    </row>
    <row r="2738" spans="10:21" x14ac:dyDescent="0.5">
      <c r="J2738" s="20"/>
      <c r="K2738" s="20"/>
      <c r="L2738" s="5">
        <f>Data!L2738</f>
        <v>0</v>
      </c>
      <c r="M2738" s="5"/>
      <c r="P2738" s="5"/>
      <c r="U2738" s="5"/>
    </row>
    <row r="2739" spans="10:21" x14ac:dyDescent="0.5">
      <c r="J2739" s="20"/>
      <c r="K2739" s="20"/>
      <c r="L2739" s="5">
        <f>Data!L2739</f>
        <v>0</v>
      </c>
      <c r="M2739" s="5"/>
      <c r="P2739" s="5"/>
      <c r="U2739" s="5"/>
    </row>
    <row r="2740" spans="10:21" x14ac:dyDescent="0.5">
      <c r="J2740" s="20"/>
      <c r="K2740" s="20"/>
      <c r="L2740" s="5">
        <f>Data!L2740</f>
        <v>0</v>
      </c>
      <c r="M2740" s="5"/>
      <c r="P2740" s="5"/>
      <c r="U2740" s="5"/>
    </row>
    <row r="2741" spans="10:21" x14ac:dyDescent="0.5">
      <c r="J2741" s="20"/>
      <c r="K2741" s="20"/>
      <c r="L2741" s="5">
        <f>Data!L2741</f>
        <v>0</v>
      </c>
      <c r="M2741" s="5"/>
      <c r="P2741" s="5"/>
      <c r="U2741" s="5"/>
    </row>
    <row r="2742" spans="10:21" x14ac:dyDescent="0.5">
      <c r="J2742" s="20"/>
      <c r="K2742" s="20"/>
      <c r="L2742" s="5">
        <f>Data!L2742</f>
        <v>0</v>
      </c>
      <c r="M2742" s="5"/>
      <c r="P2742" s="5"/>
      <c r="U2742" s="5"/>
    </row>
    <row r="2743" spans="10:21" x14ac:dyDescent="0.5">
      <c r="J2743" s="20"/>
      <c r="K2743" s="20"/>
      <c r="L2743" s="5">
        <f>Data!L2743</f>
        <v>0</v>
      </c>
      <c r="M2743" s="5"/>
      <c r="P2743" s="5"/>
      <c r="U2743" s="5"/>
    </row>
    <row r="2744" spans="10:21" x14ac:dyDescent="0.5">
      <c r="J2744" s="20"/>
      <c r="K2744" s="20"/>
      <c r="L2744" s="5">
        <f>Data!L2744</f>
        <v>0</v>
      </c>
      <c r="M2744" s="5"/>
      <c r="P2744" s="5"/>
      <c r="U2744" s="5"/>
    </row>
    <row r="2745" spans="10:21" x14ac:dyDescent="0.5">
      <c r="J2745" s="20"/>
      <c r="K2745" s="20"/>
      <c r="L2745" s="5">
        <f>Data!L2745</f>
        <v>0</v>
      </c>
      <c r="M2745" s="5"/>
      <c r="P2745" s="5"/>
      <c r="U2745" s="5"/>
    </row>
    <row r="2746" spans="10:21" x14ac:dyDescent="0.5">
      <c r="J2746" s="20"/>
      <c r="K2746" s="20"/>
      <c r="L2746" s="5">
        <f>Data!L2746</f>
        <v>0</v>
      </c>
      <c r="M2746" s="5"/>
      <c r="P2746" s="5"/>
      <c r="U2746" s="5"/>
    </row>
    <row r="2747" spans="10:21" x14ac:dyDescent="0.5">
      <c r="J2747" s="20"/>
      <c r="K2747" s="20"/>
      <c r="L2747" s="5">
        <f>Data!L2747</f>
        <v>0</v>
      </c>
      <c r="M2747" s="5"/>
      <c r="P2747" s="5"/>
      <c r="U2747" s="5"/>
    </row>
    <row r="2748" spans="10:21" x14ac:dyDescent="0.5">
      <c r="J2748" s="20"/>
      <c r="K2748" s="20"/>
      <c r="L2748" s="5">
        <f>Data!L2748</f>
        <v>0</v>
      </c>
      <c r="M2748" s="5"/>
      <c r="P2748" s="5"/>
      <c r="U2748" s="5"/>
    </row>
    <row r="2749" spans="10:21" x14ac:dyDescent="0.5">
      <c r="J2749" s="20"/>
      <c r="K2749" s="20"/>
      <c r="L2749" s="5">
        <f>Data!L2749</f>
        <v>0</v>
      </c>
      <c r="M2749" s="5"/>
      <c r="P2749" s="5"/>
      <c r="U2749" s="5"/>
    </row>
    <row r="2750" spans="10:21" x14ac:dyDescent="0.5">
      <c r="J2750" s="20"/>
      <c r="K2750" s="20"/>
      <c r="L2750" s="5">
        <f>Data!L2750</f>
        <v>0</v>
      </c>
      <c r="M2750" s="5"/>
      <c r="P2750" s="5"/>
      <c r="U2750" s="5"/>
    </row>
    <row r="2751" spans="10:21" x14ac:dyDescent="0.5">
      <c r="J2751" s="20"/>
      <c r="K2751" s="20"/>
      <c r="L2751" s="5">
        <f>Data!L2751</f>
        <v>0</v>
      </c>
      <c r="M2751" s="5"/>
      <c r="P2751" s="5"/>
      <c r="U2751" s="5"/>
    </row>
    <row r="2752" spans="10:21" x14ac:dyDescent="0.5">
      <c r="J2752" s="20"/>
      <c r="K2752" s="20"/>
      <c r="L2752" s="5">
        <f>Data!L2752</f>
        <v>0</v>
      </c>
      <c r="M2752" s="5"/>
      <c r="P2752" s="5"/>
      <c r="U2752" s="5"/>
    </row>
    <row r="2753" spans="10:21" x14ac:dyDescent="0.5">
      <c r="J2753" s="20"/>
      <c r="K2753" s="20"/>
      <c r="L2753" s="5">
        <f>Data!L2753</f>
        <v>0</v>
      </c>
      <c r="M2753" s="5"/>
      <c r="P2753" s="5"/>
      <c r="U2753" s="5"/>
    </row>
    <row r="2754" spans="10:21" x14ac:dyDescent="0.5">
      <c r="J2754" s="20"/>
      <c r="K2754" s="20"/>
      <c r="L2754" s="5">
        <f>Data!L2754</f>
        <v>0</v>
      </c>
      <c r="M2754" s="5"/>
      <c r="P2754" s="5"/>
      <c r="U2754" s="5"/>
    </row>
    <row r="2755" spans="10:21" x14ac:dyDescent="0.5">
      <c r="J2755" s="20"/>
      <c r="K2755" s="20"/>
      <c r="L2755" s="5">
        <f>Data!L2755</f>
        <v>0</v>
      </c>
      <c r="M2755" s="5"/>
      <c r="P2755" s="5"/>
      <c r="U2755" s="5"/>
    </row>
    <row r="2756" spans="10:21" x14ac:dyDescent="0.5">
      <c r="J2756" s="20"/>
      <c r="K2756" s="20"/>
      <c r="L2756" s="5">
        <f>Data!L2756</f>
        <v>0</v>
      </c>
      <c r="M2756" s="5"/>
      <c r="P2756" s="5"/>
      <c r="U2756" s="5"/>
    </row>
    <row r="2757" spans="10:21" x14ac:dyDescent="0.5">
      <c r="J2757" s="20"/>
      <c r="K2757" s="20"/>
      <c r="L2757" s="5">
        <f>Data!L2757</f>
        <v>0</v>
      </c>
      <c r="M2757" s="5"/>
      <c r="P2757" s="5"/>
      <c r="U2757" s="5"/>
    </row>
    <row r="2758" spans="10:21" x14ac:dyDescent="0.5">
      <c r="J2758" s="20"/>
      <c r="K2758" s="20"/>
      <c r="L2758" s="5">
        <f>Data!L2758</f>
        <v>0</v>
      </c>
      <c r="M2758" s="5"/>
      <c r="P2758" s="5"/>
      <c r="U2758" s="5"/>
    </row>
    <row r="2759" spans="10:21" x14ac:dyDescent="0.5">
      <c r="J2759" s="20"/>
      <c r="K2759" s="20"/>
      <c r="L2759" s="5">
        <f>Data!L2759</f>
        <v>0</v>
      </c>
      <c r="M2759" s="5"/>
      <c r="P2759" s="5"/>
      <c r="U2759" s="5"/>
    </row>
    <row r="2760" spans="10:21" x14ac:dyDescent="0.5">
      <c r="J2760" s="20"/>
      <c r="K2760" s="20"/>
      <c r="L2760" s="5">
        <f>Data!L2760</f>
        <v>0</v>
      </c>
      <c r="M2760" s="5"/>
      <c r="P2760" s="5"/>
      <c r="U2760" s="5"/>
    </row>
    <row r="2761" spans="10:21" x14ac:dyDescent="0.5">
      <c r="J2761" s="20"/>
      <c r="K2761" s="20"/>
      <c r="L2761" s="5">
        <f>Data!L2761</f>
        <v>0</v>
      </c>
      <c r="M2761" s="5"/>
      <c r="P2761" s="5"/>
      <c r="U2761" s="5"/>
    </row>
    <row r="2762" spans="10:21" x14ac:dyDescent="0.5">
      <c r="J2762" s="20"/>
      <c r="K2762" s="20"/>
      <c r="L2762" s="5">
        <f>Data!L2762</f>
        <v>0</v>
      </c>
      <c r="M2762" s="5"/>
      <c r="P2762" s="5"/>
      <c r="U2762" s="5"/>
    </row>
    <row r="2763" spans="10:21" x14ac:dyDescent="0.5">
      <c r="J2763" s="20"/>
      <c r="K2763" s="20"/>
      <c r="L2763" s="5">
        <f>Data!L2763</f>
        <v>0</v>
      </c>
      <c r="M2763" s="5"/>
      <c r="P2763" s="5"/>
      <c r="U2763" s="5"/>
    </row>
    <row r="2764" spans="10:21" x14ac:dyDescent="0.5">
      <c r="J2764" s="20"/>
      <c r="K2764" s="20"/>
      <c r="L2764" s="5">
        <f>Data!L2764</f>
        <v>0</v>
      </c>
      <c r="M2764" s="5"/>
      <c r="P2764" s="5"/>
      <c r="U2764" s="5"/>
    </row>
    <row r="2765" spans="10:21" x14ac:dyDescent="0.5">
      <c r="J2765" s="20"/>
      <c r="K2765" s="20"/>
      <c r="L2765" s="5">
        <f>Data!L2765</f>
        <v>0</v>
      </c>
      <c r="M2765" s="5"/>
      <c r="P2765" s="5"/>
      <c r="U2765" s="5"/>
    </row>
    <row r="2766" spans="10:21" x14ac:dyDescent="0.5">
      <c r="J2766" s="20"/>
      <c r="K2766" s="20"/>
      <c r="L2766" s="5">
        <f>Data!L2766</f>
        <v>0</v>
      </c>
      <c r="M2766" s="5"/>
      <c r="P2766" s="5"/>
      <c r="U2766" s="5"/>
    </row>
    <row r="2767" spans="10:21" x14ac:dyDescent="0.5">
      <c r="J2767" s="20"/>
      <c r="K2767" s="20"/>
      <c r="L2767" s="5">
        <f>Data!L2767</f>
        <v>0</v>
      </c>
      <c r="M2767" s="5"/>
      <c r="P2767" s="5"/>
      <c r="U2767" s="5"/>
    </row>
    <row r="2768" spans="10:21" x14ac:dyDescent="0.5">
      <c r="J2768" s="20"/>
      <c r="K2768" s="20"/>
      <c r="L2768" s="5">
        <f>Data!L2768</f>
        <v>0</v>
      </c>
      <c r="M2768" s="5"/>
      <c r="P2768" s="5"/>
      <c r="U2768" s="5"/>
    </row>
    <row r="2769" spans="10:21" x14ac:dyDescent="0.5">
      <c r="J2769" s="20"/>
      <c r="K2769" s="20"/>
      <c r="L2769" s="5">
        <f>Data!L2769</f>
        <v>0</v>
      </c>
      <c r="M2769" s="5"/>
      <c r="P2769" s="5"/>
      <c r="U2769" s="5"/>
    </row>
    <row r="2770" spans="10:21" x14ac:dyDescent="0.5">
      <c r="J2770" s="20"/>
      <c r="K2770" s="20"/>
      <c r="L2770" s="5">
        <f>Data!L2770</f>
        <v>0</v>
      </c>
      <c r="M2770" s="5"/>
      <c r="P2770" s="5"/>
      <c r="U2770" s="5"/>
    </row>
    <row r="2771" spans="10:21" x14ac:dyDescent="0.5">
      <c r="J2771" s="20"/>
      <c r="K2771" s="20"/>
      <c r="L2771" s="5">
        <f>Data!L2771</f>
        <v>0</v>
      </c>
      <c r="M2771" s="5"/>
      <c r="P2771" s="5"/>
      <c r="U2771" s="5"/>
    </row>
    <row r="2772" spans="10:21" x14ac:dyDescent="0.5">
      <c r="J2772" s="20"/>
      <c r="K2772" s="20"/>
      <c r="L2772" s="5">
        <f>Data!L2772</f>
        <v>0</v>
      </c>
      <c r="M2772" s="5"/>
      <c r="P2772" s="5"/>
      <c r="U2772" s="5"/>
    </row>
    <row r="2773" spans="10:21" x14ac:dyDescent="0.5">
      <c r="J2773" s="20"/>
      <c r="K2773" s="20"/>
      <c r="L2773" s="5">
        <f>Data!L2773</f>
        <v>0</v>
      </c>
      <c r="M2773" s="5"/>
      <c r="P2773" s="5"/>
      <c r="U2773" s="5"/>
    </row>
    <row r="2774" spans="10:21" x14ac:dyDescent="0.5">
      <c r="J2774" s="20"/>
      <c r="K2774" s="20"/>
      <c r="L2774" s="5">
        <f>Data!L2774</f>
        <v>0</v>
      </c>
      <c r="M2774" s="5"/>
      <c r="P2774" s="5"/>
      <c r="U2774" s="5"/>
    </row>
    <row r="2775" spans="10:21" x14ac:dyDescent="0.5">
      <c r="J2775" s="20"/>
      <c r="K2775" s="20"/>
      <c r="L2775" s="5">
        <f>Data!L2775</f>
        <v>0</v>
      </c>
      <c r="M2775" s="5"/>
      <c r="P2775" s="5"/>
      <c r="U2775" s="5"/>
    </row>
    <row r="2776" spans="10:21" x14ac:dyDescent="0.5">
      <c r="J2776" s="20"/>
      <c r="K2776" s="20"/>
      <c r="L2776" s="5">
        <f>Data!L2776</f>
        <v>0</v>
      </c>
      <c r="M2776" s="5"/>
      <c r="P2776" s="5"/>
      <c r="U2776" s="5"/>
    </row>
    <row r="2777" spans="10:21" x14ac:dyDescent="0.5">
      <c r="J2777" s="20"/>
      <c r="K2777" s="20"/>
      <c r="L2777" s="5">
        <f>Data!L2777</f>
        <v>0</v>
      </c>
      <c r="M2777" s="5"/>
      <c r="P2777" s="5"/>
      <c r="U2777" s="5"/>
    </row>
    <row r="2778" spans="10:21" x14ac:dyDescent="0.5">
      <c r="J2778" s="20"/>
      <c r="K2778" s="20"/>
      <c r="L2778" s="5">
        <f>Data!L2778</f>
        <v>0</v>
      </c>
      <c r="M2778" s="5"/>
      <c r="P2778" s="5"/>
      <c r="U2778" s="5"/>
    </row>
    <row r="2779" spans="10:21" x14ac:dyDescent="0.5">
      <c r="J2779" s="20"/>
      <c r="K2779" s="20"/>
      <c r="L2779" s="5">
        <f>Data!L2779</f>
        <v>0</v>
      </c>
      <c r="M2779" s="5"/>
      <c r="P2779" s="5"/>
      <c r="U2779" s="5"/>
    </row>
    <row r="2780" spans="10:21" x14ac:dyDescent="0.5">
      <c r="J2780" s="20"/>
      <c r="K2780" s="20"/>
      <c r="L2780" s="5">
        <f>Data!L2780</f>
        <v>0</v>
      </c>
      <c r="M2780" s="5"/>
      <c r="P2780" s="5"/>
      <c r="U2780" s="5"/>
    </row>
    <row r="2781" spans="10:21" x14ac:dyDescent="0.5">
      <c r="J2781" s="20"/>
      <c r="K2781" s="20"/>
      <c r="L2781" s="5">
        <f>Data!L2781</f>
        <v>0</v>
      </c>
      <c r="M2781" s="5"/>
      <c r="P2781" s="5"/>
      <c r="U2781" s="5"/>
    </row>
    <row r="2782" spans="10:21" x14ac:dyDescent="0.5">
      <c r="J2782" s="20"/>
      <c r="K2782" s="20"/>
      <c r="L2782" s="5">
        <f>Data!L2782</f>
        <v>0</v>
      </c>
      <c r="M2782" s="5"/>
      <c r="P2782" s="5"/>
      <c r="U2782" s="5"/>
    </row>
    <row r="2783" spans="10:21" x14ac:dyDescent="0.5">
      <c r="J2783" s="20"/>
      <c r="K2783" s="20"/>
      <c r="L2783" s="5">
        <f>Data!L2783</f>
        <v>0</v>
      </c>
      <c r="M2783" s="5"/>
      <c r="P2783" s="5"/>
      <c r="U2783" s="5"/>
    </row>
    <row r="2784" spans="10:21" x14ac:dyDescent="0.5">
      <c r="J2784" s="20"/>
      <c r="K2784" s="20"/>
      <c r="L2784" s="5">
        <f>Data!L2784</f>
        <v>0</v>
      </c>
      <c r="M2784" s="5"/>
      <c r="P2784" s="5"/>
      <c r="U2784" s="5"/>
    </row>
    <row r="2785" spans="10:21" x14ac:dyDescent="0.5">
      <c r="J2785" s="20"/>
      <c r="K2785" s="20"/>
      <c r="L2785" s="5">
        <f>Data!L2785</f>
        <v>0</v>
      </c>
      <c r="M2785" s="5"/>
      <c r="P2785" s="5"/>
      <c r="U2785" s="5"/>
    </row>
    <row r="2786" spans="10:21" x14ac:dyDescent="0.5">
      <c r="J2786" s="20"/>
      <c r="K2786" s="20"/>
      <c r="L2786" s="5">
        <f>Data!L2786</f>
        <v>0</v>
      </c>
      <c r="M2786" s="5"/>
      <c r="P2786" s="5"/>
      <c r="U2786" s="5"/>
    </row>
    <row r="2787" spans="10:21" x14ac:dyDescent="0.5">
      <c r="J2787" s="20"/>
      <c r="K2787" s="20"/>
      <c r="L2787" s="5">
        <f>Data!L2787</f>
        <v>0</v>
      </c>
      <c r="M2787" s="5"/>
      <c r="P2787" s="5"/>
      <c r="U2787" s="5"/>
    </row>
    <row r="2788" spans="10:21" x14ac:dyDescent="0.5">
      <c r="J2788" s="20"/>
      <c r="K2788" s="20"/>
      <c r="L2788" s="5">
        <f>Data!L2788</f>
        <v>0</v>
      </c>
      <c r="M2788" s="5"/>
      <c r="P2788" s="5"/>
      <c r="U2788" s="5"/>
    </row>
    <row r="2789" spans="10:21" x14ac:dyDescent="0.5">
      <c r="J2789" s="20"/>
      <c r="K2789" s="20"/>
      <c r="L2789" s="5">
        <f>Data!L2789</f>
        <v>0</v>
      </c>
      <c r="M2789" s="5"/>
      <c r="P2789" s="5"/>
      <c r="U2789" s="5"/>
    </row>
    <row r="2790" spans="10:21" x14ac:dyDescent="0.5">
      <c r="J2790" s="20"/>
      <c r="K2790" s="20"/>
      <c r="L2790" s="5">
        <f>Data!L2790</f>
        <v>0</v>
      </c>
      <c r="M2790" s="5"/>
      <c r="P2790" s="5"/>
      <c r="U2790" s="5"/>
    </row>
    <row r="2791" spans="10:21" x14ac:dyDescent="0.5">
      <c r="J2791" s="20"/>
      <c r="K2791" s="20"/>
      <c r="L2791" s="5">
        <f>Data!L2791</f>
        <v>0</v>
      </c>
      <c r="M2791" s="5"/>
      <c r="P2791" s="5"/>
      <c r="U2791" s="5"/>
    </row>
    <row r="2792" spans="10:21" x14ac:dyDescent="0.5">
      <c r="J2792" s="20"/>
      <c r="K2792" s="20"/>
      <c r="L2792" s="5">
        <f>Data!L2792</f>
        <v>0</v>
      </c>
      <c r="M2792" s="5"/>
      <c r="P2792" s="5"/>
      <c r="U2792" s="5"/>
    </row>
    <row r="2793" spans="10:21" x14ac:dyDescent="0.5">
      <c r="J2793" s="20"/>
      <c r="K2793" s="20"/>
      <c r="L2793" s="5">
        <f>Data!L2793</f>
        <v>0</v>
      </c>
      <c r="M2793" s="5"/>
      <c r="P2793" s="5"/>
      <c r="U2793" s="5"/>
    </row>
    <row r="2794" spans="10:21" x14ac:dyDescent="0.5">
      <c r="J2794" s="20"/>
      <c r="K2794" s="20"/>
      <c r="L2794" s="5">
        <f>Data!L2794</f>
        <v>0</v>
      </c>
      <c r="M2794" s="5"/>
      <c r="P2794" s="5"/>
      <c r="U2794" s="5"/>
    </row>
    <row r="2795" spans="10:21" x14ac:dyDescent="0.5">
      <c r="J2795" s="20"/>
      <c r="K2795" s="20"/>
      <c r="L2795" s="5">
        <f>Data!L2795</f>
        <v>0</v>
      </c>
      <c r="M2795" s="5"/>
      <c r="P2795" s="5"/>
      <c r="U2795" s="5"/>
    </row>
    <row r="2796" spans="10:21" x14ac:dyDescent="0.5">
      <c r="J2796" s="20"/>
      <c r="K2796" s="20"/>
      <c r="L2796" s="5">
        <f>Data!L2796</f>
        <v>0</v>
      </c>
      <c r="M2796" s="5"/>
      <c r="P2796" s="5"/>
      <c r="U2796" s="5"/>
    </row>
    <row r="2797" spans="10:21" x14ac:dyDescent="0.5">
      <c r="J2797" s="20"/>
      <c r="K2797" s="20"/>
      <c r="L2797" s="5">
        <f>Data!L2797</f>
        <v>0</v>
      </c>
      <c r="M2797" s="5"/>
      <c r="P2797" s="5"/>
      <c r="U2797" s="5"/>
    </row>
    <row r="2798" spans="10:21" x14ac:dyDescent="0.5">
      <c r="J2798" s="20"/>
      <c r="K2798" s="20"/>
      <c r="L2798" s="5">
        <f>Data!L2798</f>
        <v>0</v>
      </c>
      <c r="M2798" s="5"/>
      <c r="P2798" s="5"/>
      <c r="U2798" s="5"/>
    </row>
    <row r="2799" spans="10:21" x14ac:dyDescent="0.5">
      <c r="J2799" s="20"/>
      <c r="K2799" s="20"/>
      <c r="L2799" s="5">
        <f>Data!L2799</f>
        <v>0</v>
      </c>
      <c r="M2799" s="5"/>
      <c r="P2799" s="5"/>
      <c r="U2799" s="5"/>
    </row>
    <row r="2800" spans="10:21" x14ac:dyDescent="0.5">
      <c r="J2800" s="20"/>
      <c r="K2800" s="20"/>
      <c r="L2800" s="5">
        <f>Data!L2800</f>
        <v>0</v>
      </c>
      <c r="M2800" s="5"/>
      <c r="P2800" s="5"/>
      <c r="U2800" s="5"/>
    </row>
    <row r="2801" spans="10:21" x14ac:dyDescent="0.5">
      <c r="J2801" s="20"/>
      <c r="K2801" s="20"/>
      <c r="L2801" s="5">
        <f>Data!L2801</f>
        <v>0</v>
      </c>
      <c r="M2801" s="5"/>
      <c r="P2801" s="5"/>
      <c r="U2801" s="5"/>
    </row>
    <row r="2802" spans="10:21" x14ac:dyDescent="0.5">
      <c r="J2802" s="20"/>
      <c r="K2802" s="20"/>
      <c r="L2802" s="5">
        <f>Data!L2802</f>
        <v>0</v>
      </c>
      <c r="M2802" s="5"/>
      <c r="P2802" s="5"/>
      <c r="U2802" s="5"/>
    </row>
    <row r="2803" spans="10:21" x14ac:dyDescent="0.5">
      <c r="J2803" s="20"/>
      <c r="K2803" s="20"/>
      <c r="L2803" s="5">
        <f>Data!L2803</f>
        <v>0</v>
      </c>
      <c r="M2803" s="5"/>
      <c r="P2803" s="5"/>
      <c r="U2803" s="5"/>
    </row>
    <row r="2804" spans="10:21" x14ac:dyDescent="0.5">
      <c r="J2804" s="20"/>
      <c r="K2804" s="20"/>
      <c r="L2804" s="5">
        <f>Data!L2804</f>
        <v>0</v>
      </c>
      <c r="M2804" s="5"/>
      <c r="P2804" s="5"/>
      <c r="U2804" s="5"/>
    </row>
    <row r="2805" spans="10:21" x14ac:dyDescent="0.5">
      <c r="J2805" s="20"/>
      <c r="K2805" s="20"/>
      <c r="L2805" s="5">
        <f>Data!L2805</f>
        <v>0</v>
      </c>
      <c r="M2805" s="5"/>
      <c r="P2805" s="5"/>
      <c r="U2805" s="5"/>
    </row>
    <row r="2806" spans="10:21" x14ac:dyDescent="0.5">
      <c r="J2806" s="20"/>
      <c r="K2806" s="20"/>
      <c r="L2806" s="5">
        <f>Data!L2806</f>
        <v>0</v>
      </c>
      <c r="M2806" s="5"/>
      <c r="P2806" s="5"/>
      <c r="U2806" s="5"/>
    </row>
    <row r="2807" spans="10:21" x14ac:dyDescent="0.5">
      <c r="J2807" s="20"/>
      <c r="K2807" s="20"/>
      <c r="L2807" s="5">
        <f>Data!L2807</f>
        <v>0</v>
      </c>
      <c r="M2807" s="5"/>
      <c r="P2807" s="5"/>
      <c r="U2807" s="5"/>
    </row>
    <row r="2808" spans="10:21" x14ac:dyDescent="0.5">
      <c r="J2808" s="20"/>
      <c r="K2808" s="20"/>
      <c r="L2808" s="5">
        <f>Data!L2808</f>
        <v>0</v>
      </c>
      <c r="M2808" s="5"/>
      <c r="P2808" s="5"/>
      <c r="U2808" s="5"/>
    </row>
    <row r="2809" spans="10:21" x14ac:dyDescent="0.5">
      <c r="J2809" s="20"/>
      <c r="K2809" s="20"/>
      <c r="L2809" s="5">
        <f>Data!L2809</f>
        <v>0</v>
      </c>
      <c r="M2809" s="5"/>
      <c r="P2809" s="5"/>
      <c r="U2809" s="5"/>
    </row>
    <row r="2810" spans="10:21" x14ac:dyDescent="0.5">
      <c r="J2810" s="20"/>
      <c r="K2810" s="20"/>
      <c r="L2810" s="5">
        <f>Data!L2810</f>
        <v>0</v>
      </c>
      <c r="M2810" s="5"/>
      <c r="P2810" s="5"/>
      <c r="U2810" s="5"/>
    </row>
    <row r="2811" spans="10:21" x14ac:dyDescent="0.5">
      <c r="J2811" s="20"/>
      <c r="K2811" s="20"/>
      <c r="L2811" s="5">
        <f>Data!L2811</f>
        <v>0</v>
      </c>
      <c r="M2811" s="5"/>
      <c r="P2811" s="5"/>
      <c r="U2811" s="5"/>
    </row>
    <row r="2812" spans="10:21" x14ac:dyDescent="0.5">
      <c r="J2812" s="20"/>
      <c r="K2812" s="20"/>
      <c r="L2812" s="5">
        <f>Data!L2812</f>
        <v>0</v>
      </c>
      <c r="M2812" s="5"/>
      <c r="P2812" s="5"/>
      <c r="U2812" s="5"/>
    </row>
    <row r="2813" spans="10:21" x14ac:dyDescent="0.5">
      <c r="J2813" s="20"/>
      <c r="K2813" s="20"/>
      <c r="L2813" s="5">
        <f>Data!L2813</f>
        <v>0</v>
      </c>
      <c r="M2813" s="5"/>
      <c r="P2813" s="5"/>
      <c r="U2813" s="5"/>
    </row>
    <row r="2814" spans="10:21" x14ac:dyDescent="0.5">
      <c r="J2814" s="20"/>
      <c r="K2814" s="20"/>
      <c r="L2814" s="5">
        <f>Data!L2814</f>
        <v>0</v>
      </c>
      <c r="M2814" s="5"/>
      <c r="P2814" s="5"/>
      <c r="U2814" s="5"/>
    </row>
    <row r="2815" spans="10:21" x14ac:dyDescent="0.5">
      <c r="J2815" s="20"/>
      <c r="K2815" s="20"/>
      <c r="L2815" s="5">
        <f>Data!L2815</f>
        <v>0</v>
      </c>
      <c r="M2815" s="5"/>
      <c r="P2815" s="5"/>
      <c r="U2815" s="5"/>
    </row>
    <row r="2816" spans="10:21" x14ac:dyDescent="0.5">
      <c r="J2816" s="20"/>
      <c r="K2816" s="20"/>
      <c r="L2816" s="5">
        <f>Data!L2816</f>
        <v>0</v>
      </c>
      <c r="M2816" s="5"/>
      <c r="P2816" s="5"/>
      <c r="U2816" s="5"/>
    </row>
    <row r="2817" spans="10:21" x14ac:dyDescent="0.5">
      <c r="J2817" s="20"/>
      <c r="K2817" s="20"/>
      <c r="L2817" s="5">
        <f>Data!L2817</f>
        <v>0</v>
      </c>
      <c r="M2817" s="5"/>
      <c r="P2817" s="5"/>
      <c r="U2817" s="5"/>
    </row>
    <row r="2818" spans="10:21" x14ac:dyDescent="0.5">
      <c r="J2818" s="20"/>
      <c r="K2818" s="20"/>
      <c r="L2818" s="5">
        <f>Data!L2818</f>
        <v>0</v>
      </c>
      <c r="M2818" s="5"/>
      <c r="P2818" s="5"/>
      <c r="U2818" s="5"/>
    </row>
    <row r="2819" spans="10:21" x14ac:dyDescent="0.5">
      <c r="J2819" s="20"/>
      <c r="K2819" s="20"/>
      <c r="L2819" s="5">
        <f>Data!L2819</f>
        <v>0</v>
      </c>
      <c r="M2819" s="5"/>
      <c r="P2819" s="5"/>
      <c r="U2819" s="5"/>
    </row>
    <row r="2820" spans="10:21" x14ac:dyDescent="0.5">
      <c r="J2820" s="20"/>
      <c r="K2820" s="20"/>
      <c r="L2820" s="5">
        <f>Data!L2820</f>
        <v>0</v>
      </c>
      <c r="M2820" s="5"/>
      <c r="P2820" s="5"/>
      <c r="U2820" s="5"/>
    </row>
    <row r="2821" spans="10:21" x14ac:dyDescent="0.5">
      <c r="J2821" s="20"/>
      <c r="K2821" s="20"/>
      <c r="L2821" s="5">
        <f>Data!L2821</f>
        <v>0</v>
      </c>
      <c r="M2821" s="5"/>
      <c r="P2821" s="5"/>
      <c r="U2821" s="5"/>
    </row>
    <row r="2822" spans="10:21" x14ac:dyDescent="0.5">
      <c r="J2822" s="20"/>
      <c r="K2822" s="20"/>
      <c r="L2822" s="5">
        <f>Data!L2822</f>
        <v>0</v>
      </c>
      <c r="M2822" s="5"/>
      <c r="P2822" s="5"/>
      <c r="U2822" s="5"/>
    </row>
    <row r="2823" spans="10:21" x14ac:dyDescent="0.5">
      <c r="J2823" s="20"/>
      <c r="K2823" s="20"/>
      <c r="L2823" s="5">
        <f>Data!L2823</f>
        <v>0</v>
      </c>
      <c r="M2823" s="5"/>
      <c r="P2823" s="5"/>
      <c r="U2823" s="5"/>
    </row>
    <row r="2824" spans="10:21" x14ac:dyDescent="0.5">
      <c r="J2824" s="20"/>
      <c r="K2824" s="20"/>
      <c r="L2824" s="5">
        <f>Data!L2824</f>
        <v>0</v>
      </c>
      <c r="M2824" s="5"/>
      <c r="P2824" s="5"/>
      <c r="U2824" s="5"/>
    </row>
    <row r="2825" spans="10:21" x14ac:dyDescent="0.5">
      <c r="J2825" s="20"/>
      <c r="K2825" s="20"/>
      <c r="L2825" s="5">
        <f>Data!L2825</f>
        <v>0</v>
      </c>
      <c r="M2825" s="5"/>
      <c r="P2825" s="5"/>
      <c r="U2825" s="5"/>
    </row>
    <row r="2826" spans="10:21" x14ac:dyDescent="0.5">
      <c r="J2826" s="20"/>
      <c r="K2826" s="20"/>
      <c r="L2826" s="5">
        <f>Data!L2826</f>
        <v>0</v>
      </c>
      <c r="M2826" s="5"/>
      <c r="P2826" s="5"/>
      <c r="U2826" s="5"/>
    </row>
    <row r="2827" spans="10:21" x14ac:dyDescent="0.5">
      <c r="J2827" s="20"/>
      <c r="K2827" s="20"/>
      <c r="L2827" s="5">
        <f>Data!L2827</f>
        <v>0</v>
      </c>
      <c r="M2827" s="5"/>
      <c r="P2827" s="5"/>
      <c r="U2827" s="5"/>
    </row>
    <row r="2828" spans="10:21" x14ac:dyDescent="0.5">
      <c r="J2828" s="20"/>
      <c r="K2828" s="20"/>
      <c r="L2828" s="5">
        <f>Data!L2828</f>
        <v>0</v>
      </c>
      <c r="M2828" s="5"/>
      <c r="P2828" s="5"/>
      <c r="U2828" s="5"/>
    </row>
    <row r="2829" spans="10:21" x14ac:dyDescent="0.5">
      <c r="J2829" s="20"/>
      <c r="K2829" s="20"/>
      <c r="L2829" s="5">
        <f>Data!L2829</f>
        <v>0</v>
      </c>
      <c r="M2829" s="5"/>
      <c r="P2829" s="5"/>
      <c r="U2829" s="5"/>
    </row>
    <row r="2830" spans="10:21" x14ac:dyDescent="0.5">
      <c r="J2830" s="20"/>
      <c r="K2830" s="20"/>
      <c r="L2830" s="5">
        <f>Data!L2830</f>
        <v>0</v>
      </c>
      <c r="M2830" s="5"/>
      <c r="P2830" s="5"/>
      <c r="U2830" s="5"/>
    </row>
    <row r="2831" spans="10:21" x14ac:dyDescent="0.5">
      <c r="J2831" s="20"/>
      <c r="K2831" s="20"/>
      <c r="L2831" s="5">
        <f>Data!L2831</f>
        <v>0</v>
      </c>
      <c r="M2831" s="5"/>
      <c r="P2831" s="5"/>
      <c r="U2831" s="5"/>
    </row>
    <row r="2832" spans="10:21" x14ac:dyDescent="0.5">
      <c r="J2832" s="20"/>
      <c r="K2832" s="20"/>
      <c r="L2832" s="5">
        <f>Data!L2832</f>
        <v>0</v>
      </c>
      <c r="M2832" s="5"/>
      <c r="P2832" s="5"/>
      <c r="U2832" s="5"/>
    </row>
    <row r="2833" spans="10:21" x14ac:dyDescent="0.5">
      <c r="J2833" s="20"/>
      <c r="K2833" s="20"/>
      <c r="L2833" s="5">
        <f>Data!L2833</f>
        <v>0</v>
      </c>
      <c r="M2833" s="5"/>
      <c r="P2833" s="5"/>
      <c r="U2833" s="5"/>
    </row>
    <row r="2834" spans="10:21" x14ac:dyDescent="0.5">
      <c r="J2834" s="20"/>
      <c r="K2834" s="20"/>
      <c r="L2834" s="5">
        <f>Data!L2834</f>
        <v>0</v>
      </c>
      <c r="M2834" s="5"/>
      <c r="P2834" s="5"/>
      <c r="U2834" s="5"/>
    </row>
    <row r="2835" spans="10:21" x14ac:dyDescent="0.5">
      <c r="J2835" s="20"/>
      <c r="K2835" s="20"/>
      <c r="L2835" s="5">
        <f>Data!L2835</f>
        <v>0</v>
      </c>
      <c r="M2835" s="5"/>
      <c r="P2835" s="5"/>
      <c r="U2835" s="5"/>
    </row>
    <row r="2836" spans="10:21" x14ac:dyDescent="0.5">
      <c r="J2836" s="20"/>
      <c r="K2836" s="20"/>
      <c r="L2836" s="5">
        <f>Data!L2836</f>
        <v>0</v>
      </c>
      <c r="M2836" s="5"/>
      <c r="P2836" s="5"/>
      <c r="U2836" s="5"/>
    </row>
    <row r="2837" spans="10:21" x14ac:dyDescent="0.5">
      <c r="J2837" s="20"/>
      <c r="K2837" s="20"/>
      <c r="L2837" s="5">
        <f>Data!L2837</f>
        <v>0</v>
      </c>
      <c r="M2837" s="5"/>
      <c r="P2837" s="5"/>
      <c r="U2837" s="5"/>
    </row>
    <row r="2838" spans="10:21" x14ac:dyDescent="0.5">
      <c r="J2838" s="20"/>
      <c r="K2838" s="20"/>
      <c r="L2838" s="5">
        <f>Data!L2838</f>
        <v>0</v>
      </c>
      <c r="M2838" s="5"/>
      <c r="P2838" s="5"/>
      <c r="U2838" s="5"/>
    </row>
    <row r="2839" spans="10:21" x14ac:dyDescent="0.5">
      <c r="J2839" s="20"/>
      <c r="K2839" s="20"/>
      <c r="L2839" s="5">
        <f>Data!L2839</f>
        <v>0</v>
      </c>
      <c r="M2839" s="5"/>
      <c r="P2839" s="5"/>
      <c r="U2839" s="5"/>
    </row>
    <row r="2840" spans="10:21" x14ac:dyDescent="0.5">
      <c r="J2840" s="20"/>
      <c r="K2840" s="20"/>
      <c r="L2840" s="5">
        <f>Data!L2840</f>
        <v>0</v>
      </c>
      <c r="M2840" s="5"/>
      <c r="P2840" s="5"/>
      <c r="U2840" s="5"/>
    </row>
    <row r="2841" spans="10:21" x14ac:dyDescent="0.5">
      <c r="J2841" s="20"/>
      <c r="K2841" s="20"/>
      <c r="L2841" s="5">
        <f>Data!L2841</f>
        <v>0</v>
      </c>
      <c r="M2841" s="5"/>
      <c r="P2841" s="5"/>
      <c r="U2841" s="5"/>
    </row>
    <row r="2842" spans="10:21" x14ac:dyDescent="0.5">
      <c r="J2842" s="20"/>
      <c r="K2842" s="20"/>
      <c r="L2842" s="5">
        <f>Data!L2842</f>
        <v>0</v>
      </c>
      <c r="M2842" s="5"/>
      <c r="P2842" s="5"/>
      <c r="U2842" s="5"/>
    </row>
    <row r="2843" spans="10:21" x14ac:dyDescent="0.5">
      <c r="J2843" s="20"/>
      <c r="K2843" s="20"/>
      <c r="L2843" s="5">
        <f>Data!L2843</f>
        <v>0</v>
      </c>
      <c r="M2843" s="5"/>
      <c r="P2843" s="5"/>
      <c r="U2843" s="5"/>
    </row>
    <row r="2844" spans="10:21" x14ac:dyDescent="0.5">
      <c r="J2844" s="20"/>
      <c r="K2844" s="20"/>
      <c r="L2844" s="5">
        <f>Data!L2844</f>
        <v>0</v>
      </c>
      <c r="M2844" s="5"/>
      <c r="P2844" s="5"/>
      <c r="U2844" s="5"/>
    </row>
    <row r="2845" spans="10:21" x14ac:dyDescent="0.5">
      <c r="J2845" s="20"/>
      <c r="K2845" s="20"/>
      <c r="L2845" s="5">
        <f>Data!L2845</f>
        <v>0</v>
      </c>
      <c r="M2845" s="5"/>
      <c r="P2845" s="5"/>
      <c r="U2845" s="5"/>
    </row>
    <row r="2846" spans="10:21" x14ac:dyDescent="0.5">
      <c r="J2846" s="20"/>
      <c r="K2846" s="20"/>
      <c r="L2846" s="5">
        <f>Data!L2846</f>
        <v>0</v>
      </c>
      <c r="M2846" s="5"/>
      <c r="P2846" s="5"/>
      <c r="U2846" s="5"/>
    </row>
    <row r="2847" spans="10:21" x14ac:dyDescent="0.5">
      <c r="J2847" s="20"/>
      <c r="K2847" s="20"/>
      <c r="L2847" s="5">
        <f>Data!L2847</f>
        <v>0</v>
      </c>
      <c r="M2847" s="5"/>
      <c r="P2847" s="5"/>
      <c r="U2847" s="5"/>
    </row>
    <row r="2848" spans="10:21" x14ac:dyDescent="0.5">
      <c r="J2848" s="20"/>
      <c r="K2848" s="20"/>
      <c r="L2848" s="5">
        <f>Data!L2848</f>
        <v>0</v>
      </c>
      <c r="M2848" s="5"/>
      <c r="P2848" s="5"/>
      <c r="U2848" s="5"/>
    </row>
    <row r="2849" spans="10:21" x14ac:dyDescent="0.5">
      <c r="J2849" s="20"/>
      <c r="K2849" s="20"/>
      <c r="L2849" s="5">
        <f>Data!L2849</f>
        <v>0</v>
      </c>
      <c r="M2849" s="5"/>
      <c r="P2849" s="5"/>
      <c r="U2849" s="5"/>
    </row>
    <row r="2850" spans="10:21" x14ac:dyDescent="0.5">
      <c r="J2850" s="20"/>
      <c r="K2850" s="20"/>
      <c r="L2850" s="5">
        <f>Data!L2850</f>
        <v>0</v>
      </c>
      <c r="M2850" s="5"/>
      <c r="P2850" s="5"/>
      <c r="U2850" s="5"/>
    </row>
    <row r="2851" spans="10:21" x14ac:dyDescent="0.5">
      <c r="J2851" s="20"/>
      <c r="K2851" s="20"/>
      <c r="L2851" s="5">
        <f>Data!L2851</f>
        <v>0</v>
      </c>
      <c r="M2851" s="5"/>
      <c r="P2851" s="5"/>
      <c r="U2851" s="5"/>
    </row>
    <row r="2852" spans="10:21" x14ac:dyDescent="0.5">
      <c r="J2852" s="20"/>
      <c r="K2852" s="20"/>
      <c r="L2852" s="5">
        <f>Data!L2852</f>
        <v>0</v>
      </c>
      <c r="M2852" s="5"/>
      <c r="P2852" s="5"/>
      <c r="U2852" s="5"/>
    </row>
    <row r="2853" spans="10:21" x14ac:dyDescent="0.5">
      <c r="J2853" s="20"/>
      <c r="K2853" s="20"/>
      <c r="L2853" s="5">
        <f>Data!L2853</f>
        <v>0</v>
      </c>
      <c r="M2853" s="5"/>
      <c r="P2853" s="5"/>
      <c r="U2853" s="5"/>
    </row>
    <row r="2854" spans="10:21" x14ac:dyDescent="0.5">
      <c r="J2854" s="20"/>
      <c r="K2854" s="20"/>
      <c r="L2854" s="5">
        <f>Data!L2854</f>
        <v>0</v>
      </c>
      <c r="M2854" s="5"/>
      <c r="P2854" s="5"/>
      <c r="U2854" s="5"/>
    </row>
    <row r="2855" spans="10:21" x14ac:dyDescent="0.5">
      <c r="J2855" s="20"/>
      <c r="K2855" s="20"/>
      <c r="L2855" s="5">
        <f>Data!L2855</f>
        <v>0</v>
      </c>
      <c r="M2855" s="5"/>
      <c r="P2855" s="5"/>
      <c r="U2855" s="5"/>
    </row>
    <row r="2856" spans="10:21" x14ac:dyDescent="0.5">
      <c r="J2856" s="20"/>
      <c r="K2856" s="20"/>
      <c r="L2856" s="5">
        <f>Data!L2856</f>
        <v>0</v>
      </c>
      <c r="M2856" s="5"/>
      <c r="P2856" s="5"/>
      <c r="U2856" s="5"/>
    </row>
    <row r="2857" spans="10:21" x14ac:dyDescent="0.5">
      <c r="J2857" s="20"/>
      <c r="K2857" s="20"/>
      <c r="L2857" s="5">
        <f>Data!L2857</f>
        <v>0</v>
      </c>
      <c r="M2857" s="5"/>
      <c r="P2857" s="5"/>
      <c r="U2857" s="5"/>
    </row>
    <row r="2858" spans="10:21" x14ac:dyDescent="0.5">
      <c r="J2858" s="20"/>
      <c r="K2858" s="20"/>
      <c r="L2858" s="5">
        <f>Data!L2858</f>
        <v>0</v>
      </c>
      <c r="M2858" s="5"/>
      <c r="P2858" s="5"/>
      <c r="U2858" s="5"/>
    </row>
    <row r="2859" spans="10:21" x14ac:dyDescent="0.5">
      <c r="J2859" s="20"/>
      <c r="K2859" s="20"/>
      <c r="L2859" s="5">
        <f>Data!L2859</f>
        <v>0</v>
      </c>
      <c r="M2859" s="5"/>
      <c r="P2859" s="5"/>
      <c r="U2859" s="5"/>
    </row>
    <row r="2860" spans="10:21" x14ac:dyDescent="0.5">
      <c r="J2860" s="20"/>
      <c r="K2860" s="20"/>
      <c r="L2860" s="5">
        <f>Data!L2860</f>
        <v>0</v>
      </c>
      <c r="M2860" s="5"/>
      <c r="P2860" s="5"/>
      <c r="U2860" s="5"/>
    </row>
    <row r="2861" spans="10:21" x14ac:dyDescent="0.5">
      <c r="J2861" s="20"/>
      <c r="K2861" s="20"/>
      <c r="L2861" s="5">
        <f>Data!L2861</f>
        <v>0</v>
      </c>
      <c r="M2861" s="5"/>
      <c r="P2861" s="5"/>
      <c r="U2861" s="5"/>
    </row>
    <row r="2862" spans="10:21" x14ac:dyDescent="0.5">
      <c r="J2862" s="20"/>
      <c r="K2862" s="20"/>
      <c r="L2862" s="5">
        <f>Data!L2862</f>
        <v>0</v>
      </c>
      <c r="M2862" s="5"/>
      <c r="P2862" s="5"/>
      <c r="U2862" s="5"/>
    </row>
    <row r="2863" spans="10:21" x14ac:dyDescent="0.5">
      <c r="J2863" s="20"/>
      <c r="K2863" s="20"/>
      <c r="L2863" s="5">
        <f>Data!L2863</f>
        <v>0</v>
      </c>
      <c r="M2863" s="5"/>
      <c r="P2863" s="5"/>
      <c r="U2863" s="5"/>
    </row>
    <row r="2864" spans="10:21" x14ac:dyDescent="0.5">
      <c r="J2864" s="20"/>
      <c r="K2864" s="20"/>
      <c r="L2864" s="5">
        <f>Data!L2864</f>
        <v>0</v>
      </c>
      <c r="M2864" s="5"/>
      <c r="P2864" s="5"/>
      <c r="U2864" s="5"/>
    </row>
    <row r="2865" spans="10:21" x14ac:dyDescent="0.5">
      <c r="J2865" s="20"/>
      <c r="K2865" s="20"/>
      <c r="L2865" s="5">
        <f>Data!L2865</f>
        <v>0</v>
      </c>
      <c r="M2865" s="5"/>
      <c r="P2865" s="5"/>
      <c r="U2865" s="5"/>
    </row>
    <row r="2866" spans="10:21" x14ac:dyDescent="0.5">
      <c r="J2866" s="20"/>
      <c r="K2866" s="20"/>
      <c r="L2866" s="5">
        <f>Data!L2866</f>
        <v>0</v>
      </c>
      <c r="M2866" s="5"/>
      <c r="P2866" s="5"/>
      <c r="U2866" s="5"/>
    </row>
    <row r="2867" spans="10:21" x14ac:dyDescent="0.5">
      <c r="J2867" s="20"/>
      <c r="K2867" s="20"/>
      <c r="L2867" s="5">
        <f>Data!L2867</f>
        <v>0</v>
      </c>
      <c r="M2867" s="5"/>
      <c r="P2867" s="5"/>
      <c r="U2867" s="5"/>
    </row>
    <row r="2868" spans="10:21" x14ac:dyDescent="0.5">
      <c r="J2868" s="20"/>
      <c r="K2868" s="20"/>
      <c r="L2868" s="5">
        <f>Data!L2868</f>
        <v>0</v>
      </c>
      <c r="M2868" s="5"/>
      <c r="P2868" s="5"/>
      <c r="U2868" s="5"/>
    </row>
    <row r="2869" spans="10:21" x14ac:dyDescent="0.5">
      <c r="J2869" s="20"/>
      <c r="K2869" s="20"/>
      <c r="L2869" s="5">
        <f>Data!L2869</f>
        <v>0</v>
      </c>
      <c r="M2869" s="5"/>
      <c r="P2869" s="5"/>
      <c r="U2869" s="5"/>
    </row>
    <row r="2870" spans="10:21" x14ac:dyDescent="0.5">
      <c r="J2870" s="20"/>
      <c r="K2870" s="20"/>
      <c r="L2870" s="5">
        <f>Data!L2870</f>
        <v>0</v>
      </c>
      <c r="M2870" s="5"/>
      <c r="P2870" s="5"/>
      <c r="U2870" s="5"/>
    </row>
    <row r="2871" spans="10:21" x14ac:dyDescent="0.5">
      <c r="J2871" s="20"/>
      <c r="K2871" s="20"/>
      <c r="L2871" s="5">
        <f>Data!L2871</f>
        <v>0</v>
      </c>
      <c r="M2871" s="5"/>
      <c r="P2871" s="5"/>
      <c r="U2871" s="5"/>
    </row>
    <row r="2872" spans="10:21" x14ac:dyDescent="0.5">
      <c r="J2872" s="20"/>
      <c r="K2872" s="20"/>
      <c r="L2872" s="5">
        <f>Data!L2872</f>
        <v>0</v>
      </c>
      <c r="M2872" s="5"/>
      <c r="P2872" s="5"/>
      <c r="U2872" s="5"/>
    </row>
    <row r="2873" spans="10:21" x14ac:dyDescent="0.5">
      <c r="J2873" s="20"/>
      <c r="K2873" s="20"/>
      <c r="L2873" s="5">
        <f>Data!L2873</f>
        <v>0</v>
      </c>
      <c r="M2873" s="5"/>
      <c r="P2873" s="5"/>
      <c r="U2873" s="5"/>
    </row>
    <row r="2874" spans="10:21" x14ac:dyDescent="0.5">
      <c r="J2874" s="20"/>
      <c r="K2874" s="20"/>
      <c r="L2874" s="5">
        <f>Data!L2874</f>
        <v>0</v>
      </c>
      <c r="M2874" s="5"/>
      <c r="P2874" s="5"/>
      <c r="U2874" s="5"/>
    </row>
    <row r="2875" spans="10:21" x14ac:dyDescent="0.5">
      <c r="J2875" s="20"/>
      <c r="K2875" s="20"/>
      <c r="L2875" s="5">
        <f>Data!L2875</f>
        <v>0</v>
      </c>
      <c r="M2875" s="5"/>
      <c r="P2875" s="5"/>
      <c r="U2875" s="5"/>
    </row>
    <row r="2876" spans="10:21" x14ac:dyDescent="0.5">
      <c r="J2876" s="20"/>
      <c r="K2876" s="20"/>
      <c r="L2876" s="5">
        <f>Data!L2876</f>
        <v>0</v>
      </c>
      <c r="M2876" s="5"/>
      <c r="P2876" s="5"/>
      <c r="U2876" s="5"/>
    </row>
    <row r="2877" spans="10:21" x14ac:dyDescent="0.5">
      <c r="J2877" s="20"/>
      <c r="K2877" s="20"/>
      <c r="L2877" s="5">
        <f>Data!L2877</f>
        <v>0</v>
      </c>
      <c r="M2877" s="5"/>
      <c r="P2877" s="5"/>
      <c r="U2877" s="5"/>
    </row>
    <row r="2878" spans="10:21" x14ac:dyDescent="0.5">
      <c r="J2878" s="20"/>
      <c r="K2878" s="20"/>
      <c r="L2878" s="5">
        <f>Data!L2878</f>
        <v>0</v>
      </c>
      <c r="M2878" s="5"/>
      <c r="P2878" s="5"/>
      <c r="U2878" s="5"/>
    </row>
    <row r="2879" spans="10:21" x14ac:dyDescent="0.5">
      <c r="J2879" s="20"/>
      <c r="K2879" s="20"/>
      <c r="L2879" s="5">
        <f>Data!L2879</f>
        <v>0</v>
      </c>
      <c r="M2879" s="5"/>
      <c r="P2879" s="5"/>
      <c r="U2879" s="5"/>
    </row>
    <row r="2880" spans="10:21" x14ac:dyDescent="0.5">
      <c r="J2880" s="20"/>
      <c r="K2880" s="20"/>
      <c r="L2880" s="5">
        <f>Data!L2880</f>
        <v>0</v>
      </c>
      <c r="M2880" s="5"/>
      <c r="P2880" s="5"/>
      <c r="U2880" s="5"/>
    </row>
    <row r="2881" spans="10:21" x14ac:dyDescent="0.5">
      <c r="J2881" s="20"/>
      <c r="K2881" s="20"/>
      <c r="L2881" s="5">
        <f>Data!L2881</f>
        <v>0</v>
      </c>
      <c r="M2881" s="5"/>
      <c r="P2881" s="5"/>
      <c r="U2881" s="5"/>
    </row>
    <row r="2882" spans="10:21" x14ac:dyDescent="0.5">
      <c r="J2882" s="20"/>
      <c r="K2882" s="20"/>
      <c r="L2882" s="5">
        <f>Data!L2882</f>
        <v>0</v>
      </c>
      <c r="M2882" s="5"/>
      <c r="P2882" s="5"/>
      <c r="U2882" s="5"/>
    </row>
    <row r="2883" spans="10:21" x14ac:dyDescent="0.5">
      <c r="J2883" s="20"/>
      <c r="K2883" s="20"/>
      <c r="L2883" s="5">
        <f>Data!L2883</f>
        <v>0</v>
      </c>
      <c r="M2883" s="5"/>
      <c r="P2883" s="5"/>
      <c r="U2883" s="5"/>
    </row>
    <row r="2884" spans="10:21" x14ac:dyDescent="0.5">
      <c r="J2884" s="20"/>
      <c r="K2884" s="20"/>
      <c r="L2884" s="5">
        <f>Data!L2884</f>
        <v>0</v>
      </c>
      <c r="M2884" s="5"/>
      <c r="P2884" s="5"/>
      <c r="U2884" s="5"/>
    </row>
    <row r="2885" spans="10:21" x14ac:dyDescent="0.5">
      <c r="J2885" s="20"/>
      <c r="K2885" s="20"/>
      <c r="L2885" s="5">
        <f>Data!L2885</f>
        <v>0</v>
      </c>
      <c r="M2885" s="5"/>
      <c r="P2885" s="5"/>
      <c r="U2885" s="5"/>
    </row>
    <row r="2886" spans="10:21" x14ac:dyDescent="0.5">
      <c r="J2886" s="20"/>
      <c r="K2886" s="20"/>
      <c r="L2886" s="5">
        <f>Data!L2886</f>
        <v>0</v>
      </c>
      <c r="M2886" s="5"/>
      <c r="P2886" s="5"/>
      <c r="U2886" s="5"/>
    </row>
    <row r="2887" spans="10:21" x14ac:dyDescent="0.5">
      <c r="J2887" s="20"/>
      <c r="K2887" s="20"/>
      <c r="L2887" s="5">
        <f>Data!L2887</f>
        <v>0</v>
      </c>
      <c r="M2887" s="5"/>
      <c r="P2887" s="5"/>
      <c r="U2887" s="5"/>
    </row>
    <row r="2888" spans="10:21" x14ac:dyDescent="0.5">
      <c r="J2888" s="20"/>
      <c r="K2888" s="20"/>
      <c r="L2888" s="5">
        <f>Data!L2888</f>
        <v>0</v>
      </c>
      <c r="M2888" s="5"/>
      <c r="P2888" s="5"/>
      <c r="U2888" s="5"/>
    </row>
    <row r="2889" spans="10:21" x14ac:dyDescent="0.5">
      <c r="J2889" s="20"/>
      <c r="K2889" s="20"/>
      <c r="L2889" s="5">
        <f>Data!L2889</f>
        <v>0</v>
      </c>
      <c r="M2889" s="5"/>
      <c r="P2889" s="5"/>
      <c r="U2889" s="5"/>
    </row>
    <row r="2890" spans="10:21" x14ac:dyDescent="0.5">
      <c r="J2890" s="20"/>
      <c r="K2890" s="20"/>
      <c r="L2890" s="5">
        <f>Data!L2890</f>
        <v>0</v>
      </c>
      <c r="M2890" s="5"/>
      <c r="P2890" s="5"/>
      <c r="U2890" s="5"/>
    </row>
    <row r="2891" spans="10:21" x14ac:dyDescent="0.5">
      <c r="J2891" s="20"/>
      <c r="K2891" s="20"/>
      <c r="L2891" s="5">
        <f>Data!L2891</f>
        <v>0</v>
      </c>
      <c r="M2891" s="5"/>
      <c r="P2891" s="5"/>
      <c r="U2891" s="5"/>
    </row>
    <row r="2892" spans="10:21" x14ac:dyDescent="0.5">
      <c r="J2892" s="20"/>
      <c r="K2892" s="20"/>
      <c r="L2892" s="5">
        <f>Data!L2892</f>
        <v>0</v>
      </c>
      <c r="M2892" s="5"/>
      <c r="P2892" s="5"/>
      <c r="U2892" s="5"/>
    </row>
    <row r="2893" spans="10:21" x14ac:dyDescent="0.5">
      <c r="J2893" s="20"/>
      <c r="K2893" s="20"/>
      <c r="L2893" s="5">
        <f>Data!L2893</f>
        <v>0</v>
      </c>
      <c r="M2893" s="5"/>
      <c r="P2893" s="5"/>
      <c r="U2893" s="5"/>
    </row>
    <row r="2894" spans="10:21" x14ac:dyDescent="0.5">
      <c r="J2894" s="20"/>
      <c r="K2894" s="20"/>
      <c r="L2894" s="5">
        <f>Data!L2894</f>
        <v>0</v>
      </c>
      <c r="M2894" s="5"/>
      <c r="P2894" s="5"/>
      <c r="U2894" s="5"/>
    </row>
    <row r="2895" spans="10:21" x14ac:dyDescent="0.5">
      <c r="J2895" s="20"/>
      <c r="K2895" s="20"/>
      <c r="L2895" s="5">
        <f>Data!L2895</f>
        <v>0</v>
      </c>
      <c r="M2895" s="5"/>
      <c r="P2895" s="5"/>
      <c r="U2895" s="5"/>
    </row>
    <row r="2896" spans="10:21" x14ac:dyDescent="0.5">
      <c r="J2896" s="20"/>
      <c r="K2896" s="20"/>
      <c r="L2896" s="5">
        <f>Data!L2896</f>
        <v>0</v>
      </c>
      <c r="M2896" s="5"/>
      <c r="P2896" s="5"/>
      <c r="U2896" s="5"/>
    </row>
    <row r="2897" spans="10:21" x14ac:dyDescent="0.5">
      <c r="J2897" s="20"/>
      <c r="K2897" s="20"/>
      <c r="L2897" s="5">
        <f>Data!L2897</f>
        <v>0</v>
      </c>
      <c r="M2897" s="5"/>
      <c r="P2897" s="5"/>
      <c r="U2897" s="5"/>
    </row>
    <row r="2898" spans="10:21" x14ac:dyDescent="0.5">
      <c r="J2898" s="20"/>
      <c r="K2898" s="20"/>
      <c r="L2898" s="5">
        <f>Data!L2898</f>
        <v>0</v>
      </c>
      <c r="M2898" s="5"/>
      <c r="P2898" s="5"/>
      <c r="U2898" s="5"/>
    </row>
    <row r="2899" spans="10:21" x14ac:dyDescent="0.5">
      <c r="J2899" s="20"/>
      <c r="K2899" s="20"/>
      <c r="L2899" s="5">
        <f>Data!L2899</f>
        <v>0</v>
      </c>
      <c r="M2899" s="5"/>
      <c r="P2899" s="5"/>
      <c r="U2899" s="5"/>
    </row>
    <row r="2900" spans="10:21" x14ac:dyDescent="0.5">
      <c r="J2900" s="20"/>
      <c r="K2900" s="20"/>
      <c r="L2900" s="5">
        <f>Data!L2900</f>
        <v>0</v>
      </c>
      <c r="M2900" s="5"/>
      <c r="P2900" s="5"/>
      <c r="U2900" s="5"/>
    </row>
    <row r="2901" spans="10:21" x14ac:dyDescent="0.5">
      <c r="J2901" s="20"/>
      <c r="K2901" s="20"/>
      <c r="L2901" s="5">
        <f>Data!L2901</f>
        <v>0</v>
      </c>
      <c r="M2901" s="5"/>
      <c r="P2901" s="5"/>
      <c r="U2901" s="5"/>
    </row>
    <row r="2902" spans="10:21" x14ac:dyDescent="0.5">
      <c r="J2902" s="20"/>
      <c r="K2902" s="20"/>
      <c r="L2902" s="5">
        <f>Data!L2902</f>
        <v>0</v>
      </c>
      <c r="M2902" s="5"/>
      <c r="P2902" s="5"/>
      <c r="U2902" s="5"/>
    </row>
    <row r="2903" spans="10:21" x14ac:dyDescent="0.5">
      <c r="J2903" s="20"/>
      <c r="K2903" s="20"/>
      <c r="L2903" s="5">
        <f>Data!L2903</f>
        <v>0</v>
      </c>
      <c r="M2903" s="5"/>
      <c r="P2903" s="5"/>
      <c r="U2903" s="5"/>
    </row>
    <row r="2904" spans="10:21" x14ac:dyDescent="0.5">
      <c r="J2904" s="20"/>
      <c r="K2904" s="20"/>
      <c r="L2904" s="5">
        <f>Data!L2904</f>
        <v>0</v>
      </c>
      <c r="M2904" s="5"/>
      <c r="P2904" s="5"/>
      <c r="U2904" s="5"/>
    </row>
    <row r="2905" spans="10:21" x14ac:dyDescent="0.5">
      <c r="J2905" s="20"/>
      <c r="K2905" s="20"/>
      <c r="L2905" s="5">
        <f>Data!L2905</f>
        <v>0</v>
      </c>
      <c r="M2905" s="5"/>
      <c r="P2905" s="5"/>
      <c r="U2905" s="5"/>
    </row>
    <row r="2906" spans="10:21" x14ac:dyDescent="0.5">
      <c r="J2906" s="20"/>
      <c r="K2906" s="20"/>
      <c r="L2906" s="5">
        <f>Data!L2906</f>
        <v>0</v>
      </c>
      <c r="M2906" s="5"/>
      <c r="P2906" s="5"/>
      <c r="U2906" s="5"/>
    </row>
    <row r="2907" spans="10:21" x14ac:dyDescent="0.5">
      <c r="J2907" s="20"/>
      <c r="K2907" s="20"/>
      <c r="L2907" s="5">
        <f>Data!L2907</f>
        <v>0</v>
      </c>
      <c r="M2907" s="5"/>
      <c r="P2907" s="5"/>
      <c r="U2907" s="5"/>
    </row>
    <row r="2908" spans="10:21" x14ac:dyDescent="0.5">
      <c r="J2908" s="20"/>
      <c r="K2908" s="20"/>
      <c r="L2908" s="5">
        <f>Data!L2908</f>
        <v>0</v>
      </c>
      <c r="M2908" s="5"/>
      <c r="P2908" s="5"/>
      <c r="U2908" s="5"/>
    </row>
    <row r="2909" spans="10:21" x14ac:dyDescent="0.5">
      <c r="J2909" s="20"/>
      <c r="K2909" s="20"/>
      <c r="L2909" s="5">
        <f>Data!L2909</f>
        <v>0</v>
      </c>
      <c r="M2909" s="5"/>
      <c r="P2909" s="5"/>
      <c r="U2909" s="5"/>
    </row>
    <row r="2910" spans="10:21" x14ac:dyDescent="0.5">
      <c r="J2910" s="20"/>
      <c r="K2910" s="20"/>
      <c r="L2910" s="5">
        <f>Data!L2910</f>
        <v>0</v>
      </c>
      <c r="M2910" s="5"/>
      <c r="P2910" s="5"/>
      <c r="U2910" s="5"/>
    </row>
    <row r="2911" spans="10:21" x14ac:dyDescent="0.5">
      <c r="J2911" s="20"/>
      <c r="K2911" s="20"/>
      <c r="L2911" s="5">
        <f>Data!L2911</f>
        <v>0</v>
      </c>
      <c r="M2911" s="5"/>
      <c r="P2911" s="5"/>
      <c r="U2911" s="5"/>
    </row>
    <row r="2912" spans="10:21" x14ac:dyDescent="0.5">
      <c r="J2912" s="20"/>
      <c r="K2912" s="20"/>
      <c r="L2912" s="5">
        <f>Data!L2912</f>
        <v>0</v>
      </c>
      <c r="M2912" s="5"/>
      <c r="P2912" s="5"/>
      <c r="U2912" s="5"/>
    </row>
    <row r="2913" spans="10:21" x14ac:dyDescent="0.5">
      <c r="J2913" s="20"/>
      <c r="K2913" s="20"/>
      <c r="L2913" s="5">
        <f>Data!L2913</f>
        <v>0</v>
      </c>
      <c r="M2913" s="5"/>
      <c r="P2913" s="5"/>
      <c r="U2913" s="5"/>
    </row>
    <row r="2914" spans="10:21" x14ac:dyDescent="0.5">
      <c r="J2914" s="20"/>
      <c r="K2914" s="20"/>
      <c r="L2914" s="5">
        <f>Data!L2914</f>
        <v>0</v>
      </c>
      <c r="M2914" s="5"/>
      <c r="P2914" s="5"/>
      <c r="U2914" s="5"/>
    </row>
    <row r="2915" spans="10:21" x14ac:dyDescent="0.5">
      <c r="J2915" s="20"/>
      <c r="K2915" s="20"/>
      <c r="L2915" s="5">
        <f>Data!L2915</f>
        <v>0</v>
      </c>
      <c r="M2915" s="5"/>
      <c r="P2915" s="5"/>
      <c r="U2915" s="5"/>
    </row>
    <row r="2916" spans="10:21" x14ac:dyDescent="0.5">
      <c r="J2916" s="20"/>
      <c r="K2916" s="20"/>
      <c r="L2916" s="5">
        <f>Data!L2916</f>
        <v>0</v>
      </c>
      <c r="M2916" s="5"/>
      <c r="P2916" s="5"/>
      <c r="U2916" s="5"/>
    </row>
    <row r="2917" spans="10:21" x14ac:dyDescent="0.5">
      <c r="J2917" s="20"/>
      <c r="K2917" s="20"/>
      <c r="L2917" s="5">
        <f>Data!L2917</f>
        <v>0</v>
      </c>
      <c r="M2917" s="5"/>
      <c r="P2917" s="5"/>
      <c r="U2917" s="5"/>
    </row>
    <row r="2918" spans="10:21" x14ac:dyDescent="0.5">
      <c r="J2918" s="20"/>
      <c r="K2918" s="20"/>
      <c r="L2918" s="5">
        <f>Data!L2918</f>
        <v>0</v>
      </c>
      <c r="M2918" s="5"/>
      <c r="P2918" s="5"/>
      <c r="U2918" s="5"/>
    </row>
    <row r="2919" spans="10:21" x14ac:dyDescent="0.5">
      <c r="J2919" s="20"/>
      <c r="K2919" s="20"/>
      <c r="L2919" s="5">
        <f>Data!L2919</f>
        <v>0</v>
      </c>
      <c r="M2919" s="5"/>
      <c r="P2919" s="5"/>
      <c r="U2919" s="5"/>
    </row>
    <row r="2920" spans="10:21" x14ac:dyDescent="0.5">
      <c r="J2920" s="20"/>
      <c r="K2920" s="20"/>
      <c r="L2920" s="5">
        <f>Data!L2920</f>
        <v>0</v>
      </c>
      <c r="M2920" s="5"/>
      <c r="P2920" s="5"/>
      <c r="U2920" s="5"/>
    </row>
    <row r="2921" spans="10:21" x14ac:dyDescent="0.5">
      <c r="J2921" s="20"/>
      <c r="K2921" s="20"/>
      <c r="L2921" s="5">
        <f>Data!L2921</f>
        <v>0</v>
      </c>
      <c r="M2921" s="5"/>
      <c r="P2921" s="5"/>
      <c r="U2921" s="5"/>
    </row>
    <row r="2922" spans="10:21" x14ac:dyDescent="0.5">
      <c r="J2922" s="20"/>
      <c r="K2922" s="20"/>
      <c r="L2922" s="5">
        <f>Data!L2922</f>
        <v>0</v>
      </c>
      <c r="M2922" s="5"/>
      <c r="P2922" s="5"/>
      <c r="U2922" s="5"/>
    </row>
    <row r="2923" spans="10:21" x14ac:dyDescent="0.5">
      <c r="J2923" s="20"/>
      <c r="K2923" s="20"/>
      <c r="L2923" s="5">
        <f>Data!L2923</f>
        <v>0</v>
      </c>
      <c r="M2923" s="5"/>
      <c r="P2923" s="5"/>
      <c r="U2923" s="5"/>
    </row>
    <row r="2924" spans="10:21" x14ac:dyDescent="0.5">
      <c r="J2924" s="20"/>
      <c r="K2924" s="20"/>
      <c r="L2924" s="5">
        <f>Data!L2924</f>
        <v>0</v>
      </c>
      <c r="M2924" s="5"/>
      <c r="P2924" s="5"/>
      <c r="U2924" s="5"/>
    </row>
    <row r="2925" spans="10:21" x14ac:dyDescent="0.5">
      <c r="J2925" s="20"/>
      <c r="K2925" s="20"/>
      <c r="L2925" s="5">
        <f>Data!L2925</f>
        <v>0</v>
      </c>
      <c r="M2925" s="5"/>
      <c r="P2925" s="5"/>
      <c r="U2925" s="5"/>
    </row>
    <row r="2926" spans="10:21" x14ac:dyDescent="0.5">
      <c r="J2926" s="20"/>
      <c r="K2926" s="20"/>
      <c r="L2926" s="5">
        <f>Data!L2926</f>
        <v>0</v>
      </c>
      <c r="M2926" s="5"/>
      <c r="P2926" s="5"/>
      <c r="U2926" s="5"/>
    </row>
    <row r="2927" spans="10:21" x14ac:dyDescent="0.5">
      <c r="J2927" s="20"/>
      <c r="K2927" s="20"/>
      <c r="L2927" s="5">
        <f>Data!L2927</f>
        <v>0</v>
      </c>
      <c r="M2927" s="5"/>
      <c r="P2927" s="5"/>
      <c r="U2927" s="5"/>
    </row>
    <row r="2928" spans="10:21" x14ac:dyDescent="0.5">
      <c r="J2928" s="20"/>
      <c r="K2928" s="20"/>
      <c r="L2928" s="5">
        <f>Data!L2928</f>
        <v>0</v>
      </c>
      <c r="M2928" s="5"/>
      <c r="P2928" s="5"/>
      <c r="U2928" s="5"/>
    </row>
    <row r="2929" spans="10:21" x14ac:dyDescent="0.5">
      <c r="J2929" s="20"/>
      <c r="K2929" s="20"/>
      <c r="L2929" s="5">
        <f>Data!L2929</f>
        <v>0</v>
      </c>
      <c r="M2929" s="5"/>
      <c r="P2929" s="5"/>
      <c r="U2929" s="5"/>
    </row>
    <row r="2930" spans="10:21" x14ac:dyDescent="0.5">
      <c r="J2930" s="20"/>
      <c r="K2930" s="20"/>
      <c r="L2930" s="5">
        <f>Data!L2930</f>
        <v>0</v>
      </c>
      <c r="M2930" s="5"/>
      <c r="P2930" s="5"/>
      <c r="U2930" s="5"/>
    </row>
    <row r="2931" spans="10:21" x14ac:dyDescent="0.5">
      <c r="J2931" s="20"/>
      <c r="K2931" s="20"/>
      <c r="L2931" s="5">
        <f>Data!L2931</f>
        <v>0</v>
      </c>
      <c r="M2931" s="5"/>
      <c r="P2931" s="5"/>
      <c r="U2931" s="5"/>
    </row>
    <row r="2932" spans="10:21" x14ac:dyDescent="0.5">
      <c r="J2932" s="20"/>
      <c r="K2932" s="20"/>
      <c r="L2932" s="5">
        <f>Data!L2932</f>
        <v>0</v>
      </c>
      <c r="M2932" s="5"/>
      <c r="P2932" s="5"/>
      <c r="U2932" s="5"/>
    </row>
    <row r="2933" spans="10:21" x14ac:dyDescent="0.5">
      <c r="J2933" s="20"/>
      <c r="K2933" s="20"/>
      <c r="L2933" s="5">
        <f>Data!L2933</f>
        <v>0</v>
      </c>
      <c r="M2933" s="5"/>
      <c r="P2933" s="5"/>
      <c r="U2933" s="5"/>
    </row>
    <row r="2934" spans="10:21" x14ac:dyDescent="0.5">
      <c r="J2934" s="20"/>
      <c r="K2934" s="20"/>
      <c r="L2934" s="5">
        <f>Data!L2934</f>
        <v>0</v>
      </c>
      <c r="M2934" s="5"/>
      <c r="P2934" s="5"/>
      <c r="U2934" s="5"/>
    </row>
    <row r="2935" spans="10:21" x14ac:dyDescent="0.5">
      <c r="J2935" s="20"/>
      <c r="K2935" s="20"/>
      <c r="L2935" s="5">
        <f>Data!L2935</f>
        <v>0</v>
      </c>
      <c r="M2935" s="5"/>
      <c r="P2935" s="5"/>
      <c r="U2935" s="5"/>
    </row>
    <row r="2936" spans="10:21" x14ac:dyDescent="0.5">
      <c r="J2936" s="20"/>
      <c r="K2936" s="20"/>
      <c r="L2936" s="5">
        <f>Data!L2936</f>
        <v>0</v>
      </c>
      <c r="M2936" s="5"/>
      <c r="P2936" s="5"/>
      <c r="U2936" s="5"/>
    </row>
    <row r="2937" spans="10:21" x14ac:dyDescent="0.5">
      <c r="J2937" s="20"/>
      <c r="K2937" s="20"/>
      <c r="L2937" s="5">
        <f>Data!L2937</f>
        <v>0</v>
      </c>
      <c r="M2937" s="5"/>
      <c r="P2937" s="5"/>
      <c r="U2937" s="5"/>
    </row>
    <row r="2938" spans="10:21" x14ac:dyDescent="0.5">
      <c r="J2938" s="20"/>
      <c r="K2938" s="20"/>
      <c r="L2938" s="5">
        <f>Data!L2938</f>
        <v>0</v>
      </c>
      <c r="M2938" s="5"/>
      <c r="P2938" s="5"/>
      <c r="U2938" s="5"/>
    </row>
    <row r="2939" spans="10:21" x14ac:dyDescent="0.5">
      <c r="J2939" s="20"/>
      <c r="K2939" s="20"/>
      <c r="L2939" s="5">
        <f>Data!L2939</f>
        <v>0</v>
      </c>
      <c r="M2939" s="5"/>
      <c r="P2939" s="5"/>
      <c r="U2939" s="5"/>
    </row>
    <row r="2940" spans="10:21" x14ac:dyDescent="0.5">
      <c r="J2940" s="20"/>
      <c r="K2940" s="20"/>
      <c r="L2940" s="5">
        <f>Data!L2940</f>
        <v>0</v>
      </c>
      <c r="M2940" s="5"/>
      <c r="P2940" s="5"/>
      <c r="U2940" s="5"/>
    </row>
    <row r="2941" spans="10:21" x14ac:dyDescent="0.5">
      <c r="J2941" s="20"/>
      <c r="K2941" s="20"/>
      <c r="L2941" s="5">
        <f>Data!L2941</f>
        <v>0</v>
      </c>
      <c r="M2941" s="5"/>
      <c r="P2941" s="5"/>
      <c r="U2941" s="5"/>
    </row>
    <row r="2942" spans="10:21" x14ac:dyDescent="0.5">
      <c r="J2942" s="20"/>
      <c r="K2942" s="20"/>
      <c r="L2942" s="5">
        <f>Data!L2942</f>
        <v>0</v>
      </c>
      <c r="M2942" s="5"/>
      <c r="P2942" s="5"/>
      <c r="U2942" s="5"/>
    </row>
    <row r="2943" spans="10:21" x14ac:dyDescent="0.5">
      <c r="J2943" s="20"/>
      <c r="K2943" s="20"/>
      <c r="L2943" s="5">
        <f>Data!L2943</f>
        <v>0</v>
      </c>
      <c r="M2943" s="5"/>
      <c r="P2943" s="5"/>
      <c r="U2943" s="5"/>
    </row>
    <row r="2944" spans="10:21" x14ac:dyDescent="0.5">
      <c r="J2944" s="20"/>
      <c r="K2944" s="20"/>
      <c r="L2944" s="5">
        <f>Data!L2944</f>
        <v>0</v>
      </c>
      <c r="M2944" s="5"/>
      <c r="P2944" s="5"/>
      <c r="U2944" s="5"/>
    </row>
    <row r="2945" spans="10:21" x14ac:dyDescent="0.5">
      <c r="J2945" s="20"/>
      <c r="K2945" s="20"/>
      <c r="L2945" s="5">
        <f>Data!L2945</f>
        <v>0</v>
      </c>
      <c r="M2945" s="5"/>
      <c r="P2945" s="5"/>
      <c r="U2945" s="5"/>
    </row>
    <row r="2946" spans="10:21" x14ac:dyDescent="0.5">
      <c r="J2946" s="20"/>
      <c r="K2946" s="20"/>
      <c r="L2946" s="5">
        <f>Data!L2946</f>
        <v>0</v>
      </c>
      <c r="M2946" s="5"/>
      <c r="P2946" s="5"/>
      <c r="U2946" s="5"/>
    </row>
    <row r="2947" spans="10:21" x14ac:dyDescent="0.5">
      <c r="J2947" s="20"/>
      <c r="K2947" s="20"/>
      <c r="L2947" s="5">
        <f>Data!L2947</f>
        <v>0</v>
      </c>
      <c r="M2947" s="5"/>
      <c r="P2947" s="5"/>
      <c r="U2947" s="5"/>
    </row>
    <row r="2948" spans="10:21" x14ac:dyDescent="0.5">
      <c r="J2948" s="20"/>
      <c r="K2948" s="20"/>
      <c r="L2948" s="5">
        <f>Data!L2948</f>
        <v>0</v>
      </c>
      <c r="M2948" s="5"/>
      <c r="P2948" s="5"/>
      <c r="U2948" s="5"/>
    </row>
    <row r="2949" spans="10:21" x14ac:dyDescent="0.5">
      <c r="J2949" s="20"/>
      <c r="K2949" s="20"/>
      <c r="L2949" s="5">
        <f>Data!L2949</f>
        <v>0</v>
      </c>
      <c r="M2949" s="5"/>
      <c r="P2949" s="5"/>
      <c r="U2949" s="5"/>
    </row>
    <row r="2950" spans="10:21" x14ac:dyDescent="0.5">
      <c r="J2950" s="20"/>
      <c r="K2950" s="20"/>
      <c r="L2950" s="5">
        <f>Data!L2950</f>
        <v>0</v>
      </c>
      <c r="M2950" s="5"/>
      <c r="P2950" s="5"/>
      <c r="U2950" s="5"/>
    </row>
    <row r="2951" spans="10:21" x14ac:dyDescent="0.5">
      <c r="J2951" s="20"/>
      <c r="K2951" s="20"/>
      <c r="L2951" s="5">
        <f>Data!L2951</f>
        <v>0</v>
      </c>
      <c r="M2951" s="5"/>
      <c r="P2951" s="5"/>
      <c r="U2951" s="5"/>
    </row>
    <row r="2952" spans="10:21" x14ac:dyDescent="0.5">
      <c r="J2952" s="20"/>
      <c r="K2952" s="20"/>
      <c r="L2952" s="5">
        <f>Data!L2952</f>
        <v>0</v>
      </c>
      <c r="M2952" s="5"/>
      <c r="P2952" s="5"/>
      <c r="U2952" s="5"/>
    </row>
    <row r="2953" spans="10:21" x14ac:dyDescent="0.5">
      <c r="J2953" s="20"/>
      <c r="K2953" s="20"/>
      <c r="L2953" s="5">
        <f>Data!L2953</f>
        <v>0</v>
      </c>
      <c r="M2953" s="5"/>
      <c r="P2953" s="5"/>
      <c r="U2953" s="5"/>
    </row>
    <row r="2954" spans="10:21" x14ac:dyDescent="0.5">
      <c r="J2954" s="20"/>
      <c r="K2954" s="20"/>
      <c r="L2954" s="5">
        <f>Data!L2954</f>
        <v>0</v>
      </c>
      <c r="M2954" s="5"/>
      <c r="P2954" s="5"/>
      <c r="U2954" s="5"/>
    </row>
    <row r="2955" spans="10:21" x14ac:dyDescent="0.5">
      <c r="J2955" s="20"/>
      <c r="K2955" s="20"/>
      <c r="L2955" s="5">
        <f>Data!L2955</f>
        <v>0</v>
      </c>
      <c r="M2955" s="5"/>
      <c r="P2955" s="5"/>
      <c r="U2955" s="5"/>
    </row>
    <row r="2956" spans="10:21" x14ac:dyDescent="0.5">
      <c r="J2956" s="20"/>
      <c r="K2956" s="20"/>
      <c r="L2956" s="5">
        <f>Data!L2956</f>
        <v>0</v>
      </c>
      <c r="M2956" s="5"/>
      <c r="P2956" s="5"/>
      <c r="U2956" s="5"/>
    </row>
    <row r="2957" spans="10:21" x14ac:dyDescent="0.5">
      <c r="J2957" s="20"/>
      <c r="K2957" s="20"/>
      <c r="L2957" s="5">
        <f>Data!L2957</f>
        <v>0</v>
      </c>
      <c r="M2957" s="5"/>
      <c r="P2957" s="5"/>
      <c r="U2957" s="5"/>
    </row>
    <row r="2958" spans="10:21" x14ac:dyDescent="0.5">
      <c r="J2958" s="20"/>
      <c r="K2958" s="20"/>
      <c r="L2958" s="5">
        <f>Data!L2958</f>
        <v>0</v>
      </c>
      <c r="M2958" s="5"/>
      <c r="P2958" s="5"/>
      <c r="U2958" s="5"/>
    </row>
    <row r="2959" spans="10:21" x14ac:dyDescent="0.5">
      <c r="J2959" s="20"/>
      <c r="K2959" s="20"/>
      <c r="L2959" s="5">
        <f>Data!L2959</f>
        <v>0</v>
      </c>
      <c r="M2959" s="5"/>
      <c r="P2959" s="5"/>
      <c r="U2959" s="5"/>
    </row>
    <row r="2960" spans="10:21" x14ac:dyDescent="0.5">
      <c r="J2960" s="20"/>
      <c r="K2960" s="20"/>
      <c r="L2960" s="5">
        <f>Data!L2960</f>
        <v>0</v>
      </c>
      <c r="M2960" s="5"/>
      <c r="P2960" s="5"/>
      <c r="U2960" s="5"/>
    </row>
    <row r="2961" spans="10:21" x14ac:dyDescent="0.5">
      <c r="J2961" s="20"/>
      <c r="K2961" s="20"/>
      <c r="L2961" s="5">
        <f>Data!L2961</f>
        <v>0</v>
      </c>
      <c r="M2961" s="5"/>
      <c r="P2961" s="5"/>
      <c r="U2961" s="5"/>
    </row>
    <row r="2962" spans="10:21" x14ac:dyDescent="0.5">
      <c r="J2962" s="20"/>
      <c r="K2962" s="20"/>
      <c r="L2962" s="5">
        <f>Data!L2962</f>
        <v>0</v>
      </c>
      <c r="M2962" s="5"/>
      <c r="P2962" s="5"/>
      <c r="U2962" s="5"/>
    </row>
    <row r="2963" spans="10:21" x14ac:dyDescent="0.5">
      <c r="J2963" s="20"/>
      <c r="K2963" s="20"/>
      <c r="L2963" s="5">
        <f>Data!L2963</f>
        <v>0</v>
      </c>
      <c r="M2963" s="5"/>
      <c r="P2963" s="5"/>
      <c r="U2963" s="5"/>
    </row>
    <row r="2964" spans="10:21" x14ac:dyDescent="0.5">
      <c r="J2964" s="20"/>
      <c r="K2964" s="20"/>
      <c r="L2964" s="5">
        <f>Data!L2964</f>
        <v>0</v>
      </c>
      <c r="M2964" s="5"/>
      <c r="P2964" s="5"/>
      <c r="U2964" s="5"/>
    </row>
    <row r="2965" spans="10:21" x14ac:dyDescent="0.5">
      <c r="J2965" s="20"/>
      <c r="K2965" s="20"/>
      <c r="L2965" s="5">
        <f>Data!L2965</f>
        <v>0</v>
      </c>
      <c r="M2965" s="5"/>
      <c r="P2965" s="5"/>
      <c r="U2965" s="5"/>
    </row>
    <row r="2966" spans="10:21" x14ac:dyDescent="0.5">
      <c r="J2966" s="20"/>
      <c r="K2966" s="20"/>
      <c r="L2966" s="5">
        <f>Data!L2966</f>
        <v>0</v>
      </c>
      <c r="M2966" s="5"/>
      <c r="P2966" s="5"/>
      <c r="U2966" s="5"/>
    </row>
    <row r="2967" spans="10:21" x14ac:dyDescent="0.5">
      <c r="J2967" s="20"/>
      <c r="K2967" s="20"/>
      <c r="L2967" s="5">
        <f>Data!L2967</f>
        <v>0</v>
      </c>
      <c r="M2967" s="5"/>
      <c r="P2967" s="5"/>
      <c r="U2967" s="5"/>
    </row>
    <row r="2968" spans="10:21" x14ac:dyDescent="0.5">
      <c r="J2968" s="20"/>
      <c r="K2968" s="20"/>
      <c r="L2968" s="5">
        <f>Data!L2968</f>
        <v>0</v>
      </c>
      <c r="M2968" s="5"/>
      <c r="P2968" s="5"/>
      <c r="U2968" s="5"/>
    </row>
    <row r="2969" spans="10:21" x14ac:dyDescent="0.5">
      <c r="J2969" s="20"/>
      <c r="K2969" s="20"/>
      <c r="L2969" s="5">
        <f>Data!L2969</f>
        <v>0</v>
      </c>
      <c r="M2969" s="5"/>
      <c r="P2969" s="5"/>
      <c r="U2969" s="5"/>
    </row>
    <row r="2970" spans="10:21" x14ac:dyDescent="0.5">
      <c r="J2970" s="20"/>
      <c r="K2970" s="20"/>
      <c r="L2970" s="5">
        <f>Data!L2970</f>
        <v>0</v>
      </c>
      <c r="M2970" s="5"/>
      <c r="P2970" s="5"/>
      <c r="U2970" s="5"/>
    </row>
    <row r="2971" spans="10:21" x14ac:dyDescent="0.5">
      <c r="J2971" s="20"/>
      <c r="K2971" s="20"/>
      <c r="L2971" s="5">
        <f>Data!L2971</f>
        <v>0</v>
      </c>
      <c r="M2971" s="5"/>
      <c r="P2971" s="5"/>
      <c r="U2971" s="5"/>
    </row>
    <row r="2972" spans="10:21" x14ac:dyDescent="0.5">
      <c r="J2972" s="20"/>
      <c r="K2972" s="20"/>
      <c r="L2972" s="5">
        <f>Data!L2972</f>
        <v>0</v>
      </c>
      <c r="M2972" s="5"/>
      <c r="P2972" s="5"/>
      <c r="U2972" s="5"/>
    </row>
    <row r="2973" spans="10:21" x14ac:dyDescent="0.5">
      <c r="J2973" s="20"/>
      <c r="K2973" s="20"/>
      <c r="L2973" s="5">
        <f>Data!L2973</f>
        <v>0</v>
      </c>
      <c r="M2973" s="5"/>
      <c r="P2973" s="5"/>
      <c r="U2973" s="5"/>
    </row>
    <row r="2974" spans="10:21" x14ac:dyDescent="0.5">
      <c r="J2974" s="20"/>
      <c r="K2974" s="20"/>
      <c r="L2974" s="5">
        <f>Data!L2974</f>
        <v>0</v>
      </c>
      <c r="M2974" s="5"/>
      <c r="P2974" s="5"/>
      <c r="U2974" s="5"/>
    </row>
    <row r="2975" spans="10:21" x14ac:dyDescent="0.5">
      <c r="J2975" s="20"/>
      <c r="K2975" s="20"/>
      <c r="L2975" s="5">
        <f>Data!L2975</f>
        <v>0</v>
      </c>
      <c r="M2975" s="5"/>
      <c r="P2975" s="5"/>
      <c r="U2975" s="5"/>
    </row>
    <row r="2976" spans="10:21" x14ac:dyDescent="0.5">
      <c r="J2976" s="20"/>
      <c r="K2976" s="20"/>
      <c r="L2976" s="5">
        <f>Data!L2976</f>
        <v>0</v>
      </c>
      <c r="M2976" s="5"/>
      <c r="P2976" s="5"/>
      <c r="U2976" s="5"/>
    </row>
    <row r="2977" spans="10:21" x14ac:dyDescent="0.5">
      <c r="J2977" s="20"/>
      <c r="K2977" s="20"/>
      <c r="L2977" s="5">
        <f>Data!L2977</f>
        <v>0</v>
      </c>
      <c r="M2977" s="5"/>
      <c r="P2977" s="5"/>
      <c r="U2977" s="5"/>
    </row>
    <row r="2978" spans="10:21" x14ac:dyDescent="0.5">
      <c r="J2978" s="20"/>
      <c r="K2978" s="20"/>
      <c r="L2978" s="5">
        <f>Data!L2978</f>
        <v>0</v>
      </c>
      <c r="M2978" s="5"/>
      <c r="P2978" s="5"/>
      <c r="U2978" s="5"/>
    </row>
    <row r="2979" spans="10:21" x14ac:dyDescent="0.5">
      <c r="J2979" s="20"/>
      <c r="K2979" s="20"/>
      <c r="L2979" s="5">
        <f>Data!L2979</f>
        <v>0</v>
      </c>
      <c r="M2979" s="5"/>
      <c r="P2979" s="5"/>
      <c r="U2979" s="5"/>
    </row>
    <row r="2980" spans="10:21" x14ac:dyDescent="0.5">
      <c r="J2980" s="20"/>
      <c r="K2980" s="20"/>
      <c r="L2980" s="5">
        <f>Data!L2980</f>
        <v>0</v>
      </c>
      <c r="M2980" s="5"/>
      <c r="P2980" s="5"/>
      <c r="U2980" s="5"/>
    </row>
    <row r="2981" spans="10:21" x14ac:dyDescent="0.5">
      <c r="J2981" s="20"/>
      <c r="K2981" s="20"/>
      <c r="L2981" s="5">
        <f>Data!L2981</f>
        <v>0</v>
      </c>
      <c r="M2981" s="5"/>
      <c r="P2981" s="5"/>
      <c r="U2981" s="5"/>
    </row>
    <row r="2982" spans="10:21" x14ac:dyDescent="0.5">
      <c r="J2982" s="20"/>
      <c r="K2982" s="20"/>
      <c r="L2982" s="5">
        <f>Data!L2982</f>
        <v>0</v>
      </c>
      <c r="M2982" s="5"/>
      <c r="P2982" s="5"/>
      <c r="U2982" s="5"/>
    </row>
    <row r="2983" spans="10:21" x14ac:dyDescent="0.5">
      <c r="J2983" s="20"/>
      <c r="K2983" s="20"/>
      <c r="L2983" s="5">
        <f>Data!L2983</f>
        <v>0</v>
      </c>
      <c r="M2983" s="5"/>
      <c r="P2983" s="5"/>
      <c r="U2983" s="5"/>
    </row>
    <row r="2984" spans="10:21" x14ac:dyDescent="0.5">
      <c r="J2984" s="20"/>
      <c r="K2984" s="20"/>
      <c r="L2984" s="5">
        <f>Data!L2984</f>
        <v>0</v>
      </c>
      <c r="M2984" s="5"/>
      <c r="P2984" s="5"/>
      <c r="U2984" s="5"/>
    </row>
    <row r="2985" spans="10:21" x14ac:dyDescent="0.5">
      <c r="J2985" s="20"/>
      <c r="K2985" s="20"/>
      <c r="L2985" s="5">
        <f>Data!L2985</f>
        <v>0</v>
      </c>
      <c r="M2985" s="5"/>
      <c r="P2985" s="5"/>
      <c r="U2985" s="5"/>
    </row>
    <row r="2986" spans="10:21" x14ac:dyDescent="0.5">
      <c r="J2986" s="20"/>
      <c r="K2986" s="20"/>
      <c r="L2986" s="5">
        <f>Data!L2986</f>
        <v>0</v>
      </c>
      <c r="M2986" s="5"/>
      <c r="P2986" s="5"/>
      <c r="U2986" s="5"/>
    </row>
    <row r="2987" spans="10:21" x14ac:dyDescent="0.5">
      <c r="J2987" s="20"/>
      <c r="K2987" s="20"/>
      <c r="L2987" s="5">
        <f>Data!L2987</f>
        <v>0</v>
      </c>
      <c r="M2987" s="5"/>
      <c r="P2987" s="5"/>
      <c r="U2987" s="5"/>
    </row>
    <row r="2988" spans="10:21" x14ac:dyDescent="0.5">
      <c r="J2988" s="20"/>
      <c r="K2988" s="20"/>
      <c r="L2988" s="5">
        <f>Data!L2988</f>
        <v>0</v>
      </c>
      <c r="M2988" s="5"/>
      <c r="P2988" s="5"/>
      <c r="U2988" s="5"/>
    </row>
    <row r="2989" spans="10:21" x14ac:dyDescent="0.5">
      <c r="J2989" s="20"/>
      <c r="K2989" s="20"/>
      <c r="L2989" s="5">
        <f>Data!L2989</f>
        <v>0</v>
      </c>
      <c r="M2989" s="5"/>
      <c r="P2989" s="5"/>
      <c r="U2989" s="5"/>
    </row>
    <row r="2990" spans="10:21" x14ac:dyDescent="0.5">
      <c r="J2990" s="20"/>
      <c r="K2990" s="20"/>
      <c r="L2990" s="5">
        <f>Data!L2990</f>
        <v>0</v>
      </c>
      <c r="M2990" s="5"/>
      <c r="P2990" s="5"/>
      <c r="U2990" s="5"/>
    </row>
    <row r="2991" spans="10:21" x14ac:dyDescent="0.5">
      <c r="J2991" s="20"/>
      <c r="K2991" s="20"/>
      <c r="L2991" s="5">
        <f>Data!L2991</f>
        <v>0</v>
      </c>
      <c r="M2991" s="5"/>
      <c r="P2991" s="5"/>
      <c r="U2991" s="5"/>
    </row>
    <row r="2992" spans="10:21" x14ac:dyDescent="0.5">
      <c r="J2992" s="20"/>
      <c r="K2992" s="20"/>
      <c r="L2992" s="5">
        <f>Data!L2992</f>
        <v>0</v>
      </c>
      <c r="M2992" s="5"/>
      <c r="P2992" s="5"/>
      <c r="U2992" s="5"/>
    </row>
    <row r="2993" spans="10:21" x14ac:dyDescent="0.5">
      <c r="J2993" s="20"/>
      <c r="K2993" s="20"/>
      <c r="L2993" s="5">
        <f>Data!L2993</f>
        <v>0</v>
      </c>
      <c r="M2993" s="5"/>
      <c r="P2993" s="5"/>
      <c r="U2993" s="5"/>
    </row>
    <row r="2994" spans="10:21" x14ac:dyDescent="0.5">
      <c r="J2994" s="20"/>
      <c r="K2994" s="20"/>
      <c r="L2994" s="5">
        <f>Data!L2994</f>
        <v>0</v>
      </c>
      <c r="M2994" s="5"/>
      <c r="P2994" s="5"/>
      <c r="U2994" s="5"/>
    </row>
    <row r="2995" spans="10:21" x14ac:dyDescent="0.5">
      <c r="J2995" s="20"/>
      <c r="K2995" s="20"/>
      <c r="L2995" s="5">
        <f>Data!L2995</f>
        <v>0</v>
      </c>
      <c r="M2995" s="5"/>
      <c r="P2995" s="5"/>
      <c r="U2995" s="5"/>
    </row>
    <row r="2996" spans="10:21" x14ac:dyDescent="0.5">
      <c r="J2996" s="20"/>
      <c r="K2996" s="20"/>
      <c r="L2996" s="5">
        <f>Data!L2996</f>
        <v>0</v>
      </c>
      <c r="M2996" s="5"/>
      <c r="P2996" s="5"/>
      <c r="U2996" s="5"/>
    </row>
    <row r="2997" spans="10:21" x14ac:dyDescent="0.5">
      <c r="J2997" s="20"/>
      <c r="K2997" s="20"/>
      <c r="L2997" s="5">
        <f>Data!L2997</f>
        <v>0</v>
      </c>
      <c r="M2997" s="5"/>
      <c r="P2997" s="5"/>
      <c r="U2997" s="5"/>
    </row>
    <row r="2998" spans="10:21" x14ac:dyDescent="0.5">
      <c r="J2998" s="20"/>
      <c r="K2998" s="20"/>
      <c r="L2998" s="5">
        <f>Data!L2998</f>
        <v>0</v>
      </c>
      <c r="M2998" s="5"/>
      <c r="P2998" s="5"/>
      <c r="U2998" s="5"/>
    </row>
    <row r="2999" spans="10:21" x14ac:dyDescent="0.5">
      <c r="J2999" s="20"/>
      <c r="K2999" s="20"/>
      <c r="L2999" s="5">
        <f>Data!L2999</f>
        <v>0</v>
      </c>
      <c r="M2999" s="5"/>
      <c r="P2999" s="5"/>
      <c r="U2999" s="5"/>
    </row>
    <row r="3000" spans="10:21" x14ac:dyDescent="0.5">
      <c r="J3000" s="20"/>
      <c r="K3000" s="20"/>
      <c r="L3000" s="5">
        <f>Data!L3000</f>
        <v>0</v>
      </c>
      <c r="M3000" s="5"/>
      <c r="P3000" s="5"/>
      <c r="U3000" s="5"/>
    </row>
    <row r="3001" spans="10:21" x14ac:dyDescent="0.5">
      <c r="J3001" s="20"/>
      <c r="K3001" s="20"/>
      <c r="L3001" s="5">
        <f>Data!L3001</f>
        <v>0</v>
      </c>
      <c r="M3001" s="5"/>
      <c r="P3001" s="5"/>
      <c r="U3001" s="5"/>
    </row>
    <row r="3002" spans="10:21" x14ac:dyDescent="0.5">
      <c r="J3002" s="20"/>
      <c r="K3002" s="20"/>
      <c r="L3002" s="5">
        <f>Data!L3002</f>
        <v>0</v>
      </c>
      <c r="M3002" s="5"/>
      <c r="P3002" s="5"/>
      <c r="U3002" s="5"/>
    </row>
    <row r="3003" spans="10:21" x14ac:dyDescent="0.5">
      <c r="J3003" s="20"/>
      <c r="K3003" s="20"/>
      <c r="L3003" s="5">
        <f>Data!L3003</f>
        <v>0</v>
      </c>
      <c r="M3003" s="5"/>
      <c r="P3003" s="5"/>
      <c r="U3003" s="5"/>
    </row>
    <row r="3004" spans="10:21" x14ac:dyDescent="0.5">
      <c r="J3004" s="20"/>
      <c r="K3004" s="20"/>
      <c r="L3004" s="5">
        <f>Data!L3004</f>
        <v>0</v>
      </c>
      <c r="M3004" s="5"/>
      <c r="P3004" s="5"/>
      <c r="U3004" s="5"/>
    </row>
    <row r="3005" spans="10:21" x14ac:dyDescent="0.5">
      <c r="J3005" s="20"/>
      <c r="K3005" s="20"/>
      <c r="L3005" s="5">
        <f>Data!L3005</f>
        <v>0</v>
      </c>
      <c r="M3005" s="5"/>
      <c r="P3005" s="5"/>
      <c r="U3005" s="5"/>
    </row>
    <row r="3006" spans="10:21" x14ac:dyDescent="0.5">
      <c r="J3006" s="20"/>
      <c r="K3006" s="20"/>
      <c r="L3006" s="5">
        <f>Data!L3006</f>
        <v>0</v>
      </c>
      <c r="M3006" s="5"/>
      <c r="P3006" s="5"/>
      <c r="U3006" s="5"/>
    </row>
    <row r="3007" spans="10:21" x14ac:dyDescent="0.5">
      <c r="J3007" s="20"/>
      <c r="K3007" s="20"/>
      <c r="L3007" s="5">
        <f>Data!L3007</f>
        <v>0</v>
      </c>
      <c r="M3007" s="5"/>
      <c r="P3007" s="5"/>
      <c r="U3007" s="5"/>
    </row>
    <row r="3008" spans="10:21" x14ac:dyDescent="0.5">
      <c r="J3008" s="20"/>
      <c r="K3008" s="20"/>
      <c r="L3008" s="5">
        <f>Data!L3008</f>
        <v>0</v>
      </c>
      <c r="M3008" s="5"/>
      <c r="P3008" s="5"/>
      <c r="U3008" s="5"/>
    </row>
    <row r="3009" spans="10:21" x14ac:dyDescent="0.5">
      <c r="J3009" s="20"/>
      <c r="K3009" s="20"/>
      <c r="L3009" s="5">
        <f>Data!L3009</f>
        <v>0</v>
      </c>
      <c r="M3009" s="5"/>
      <c r="P3009" s="5"/>
      <c r="U3009" s="5"/>
    </row>
    <row r="3010" spans="10:21" x14ac:dyDescent="0.5">
      <c r="J3010" s="20"/>
      <c r="K3010" s="20"/>
      <c r="L3010" s="5">
        <f>Data!L3010</f>
        <v>0</v>
      </c>
      <c r="M3010" s="5"/>
      <c r="P3010" s="5"/>
      <c r="U3010" s="5"/>
    </row>
    <row r="3011" spans="10:21" x14ac:dyDescent="0.5">
      <c r="J3011" s="20"/>
      <c r="K3011" s="20"/>
      <c r="L3011" s="5">
        <f>Data!L3011</f>
        <v>0</v>
      </c>
      <c r="M3011" s="5"/>
      <c r="P3011" s="5"/>
      <c r="U3011" s="5"/>
    </row>
    <row r="3012" spans="10:21" x14ac:dyDescent="0.5">
      <c r="J3012" s="20"/>
      <c r="K3012" s="20"/>
      <c r="L3012" s="5">
        <f>Data!L3012</f>
        <v>0</v>
      </c>
      <c r="M3012" s="5"/>
      <c r="P3012" s="5"/>
      <c r="U3012" s="5"/>
    </row>
    <row r="3013" spans="10:21" x14ac:dyDescent="0.5">
      <c r="J3013" s="20"/>
      <c r="K3013" s="20"/>
      <c r="L3013" s="5">
        <f>Data!L3013</f>
        <v>0</v>
      </c>
      <c r="M3013" s="5"/>
      <c r="P3013" s="5"/>
      <c r="U3013" s="5"/>
    </row>
    <row r="3014" spans="10:21" x14ac:dyDescent="0.5">
      <c r="J3014" s="20"/>
      <c r="K3014" s="20"/>
      <c r="L3014" s="5">
        <f>Data!L3014</f>
        <v>0</v>
      </c>
      <c r="M3014" s="5"/>
      <c r="P3014" s="5"/>
      <c r="U3014" s="5"/>
    </row>
    <row r="3015" spans="10:21" x14ac:dyDescent="0.5">
      <c r="J3015" s="20"/>
      <c r="K3015" s="20"/>
      <c r="L3015" s="5">
        <f>Data!L3015</f>
        <v>0</v>
      </c>
      <c r="M3015" s="5"/>
      <c r="P3015" s="5"/>
      <c r="U3015" s="5"/>
    </row>
    <row r="3016" spans="10:21" x14ac:dyDescent="0.5">
      <c r="J3016" s="20"/>
      <c r="K3016" s="20"/>
      <c r="L3016" s="5">
        <f>Data!L3016</f>
        <v>0</v>
      </c>
      <c r="M3016" s="5"/>
      <c r="P3016" s="5"/>
      <c r="U3016" s="5"/>
    </row>
    <row r="3017" spans="10:21" x14ac:dyDescent="0.5">
      <c r="J3017" s="20"/>
      <c r="K3017" s="20"/>
      <c r="L3017" s="5">
        <f>Data!L3017</f>
        <v>0</v>
      </c>
      <c r="M3017" s="5"/>
      <c r="P3017" s="5"/>
      <c r="U3017" s="5"/>
    </row>
    <row r="3018" spans="10:21" x14ac:dyDescent="0.5">
      <c r="J3018" s="20"/>
      <c r="K3018" s="20"/>
      <c r="L3018" s="5">
        <f>Data!L3018</f>
        <v>0</v>
      </c>
      <c r="M3018" s="5"/>
      <c r="P3018" s="5"/>
      <c r="U3018" s="5"/>
    </row>
    <row r="3019" spans="10:21" x14ac:dyDescent="0.5">
      <c r="J3019" s="20"/>
      <c r="K3019" s="20"/>
      <c r="L3019" s="5">
        <f>Data!L3019</f>
        <v>0</v>
      </c>
      <c r="M3019" s="5"/>
      <c r="P3019" s="5"/>
      <c r="U3019" s="5"/>
    </row>
    <row r="3020" spans="10:21" x14ac:dyDescent="0.5">
      <c r="J3020" s="20"/>
      <c r="K3020" s="20"/>
      <c r="L3020" s="5">
        <f>Data!L3020</f>
        <v>0</v>
      </c>
      <c r="M3020" s="5"/>
      <c r="P3020" s="5"/>
      <c r="U3020" s="5"/>
    </row>
    <row r="3021" spans="10:21" x14ac:dyDescent="0.5">
      <c r="J3021" s="20"/>
      <c r="K3021" s="20"/>
      <c r="L3021" s="5">
        <f>Data!L3021</f>
        <v>0</v>
      </c>
      <c r="M3021" s="5"/>
      <c r="P3021" s="5"/>
      <c r="U3021" s="5"/>
    </row>
    <row r="3022" spans="10:21" x14ac:dyDescent="0.5">
      <c r="J3022" s="20"/>
      <c r="K3022" s="20"/>
      <c r="L3022" s="5">
        <f>Data!L3022</f>
        <v>0</v>
      </c>
      <c r="M3022" s="5"/>
      <c r="P3022" s="5"/>
      <c r="U3022" s="5"/>
    </row>
    <row r="3023" spans="10:21" x14ac:dyDescent="0.5">
      <c r="J3023" s="20"/>
      <c r="K3023" s="20"/>
      <c r="L3023" s="5">
        <f>Data!L3023</f>
        <v>0</v>
      </c>
      <c r="M3023" s="5"/>
      <c r="P3023" s="5"/>
      <c r="U3023" s="5"/>
    </row>
    <row r="3024" spans="10:21" x14ac:dyDescent="0.5">
      <c r="J3024" s="20"/>
      <c r="K3024" s="20"/>
      <c r="L3024" s="5">
        <f>Data!L3024</f>
        <v>0</v>
      </c>
      <c r="M3024" s="5"/>
      <c r="P3024" s="5"/>
      <c r="U3024" s="5"/>
    </row>
    <row r="3025" spans="10:21" x14ac:dyDescent="0.5">
      <c r="J3025" s="20"/>
      <c r="K3025" s="20"/>
      <c r="L3025" s="5">
        <f>Data!L3025</f>
        <v>0</v>
      </c>
      <c r="M3025" s="5"/>
      <c r="P3025" s="5"/>
      <c r="U3025" s="5"/>
    </row>
    <row r="3026" spans="10:21" x14ac:dyDescent="0.5">
      <c r="J3026" s="20"/>
      <c r="K3026" s="20"/>
      <c r="L3026" s="5">
        <f>Data!L3026</f>
        <v>0</v>
      </c>
      <c r="M3026" s="5"/>
      <c r="P3026" s="5"/>
      <c r="U3026" s="5"/>
    </row>
    <row r="3027" spans="10:21" x14ac:dyDescent="0.5">
      <c r="J3027" s="20"/>
      <c r="K3027" s="20"/>
      <c r="L3027" s="5">
        <f>Data!L3027</f>
        <v>0</v>
      </c>
      <c r="M3027" s="5"/>
      <c r="P3027" s="5"/>
      <c r="U3027" s="5"/>
    </row>
    <row r="3028" spans="10:21" x14ac:dyDescent="0.5">
      <c r="J3028" s="20"/>
      <c r="K3028" s="20"/>
      <c r="L3028" s="5">
        <f>Data!L3028</f>
        <v>0</v>
      </c>
      <c r="M3028" s="5"/>
      <c r="P3028" s="5"/>
      <c r="U3028" s="5"/>
    </row>
    <row r="3029" spans="10:21" x14ac:dyDescent="0.5">
      <c r="J3029" s="20"/>
      <c r="K3029" s="20"/>
      <c r="L3029" s="5">
        <f>Data!L3029</f>
        <v>0</v>
      </c>
      <c r="M3029" s="5"/>
      <c r="P3029" s="5"/>
      <c r="U3029" s="5"/>
    </row>
    <row r="3030" spans="10:21" x14ac:dyDescent="0.5">
      <c r="J3030" s="20"/>
      <c r="K3030" s="20"/>
      <c r="L3030" s="5">
        <f>Data!L3030</f>
        <v>0</v>
      </c>
      <c r="M3030" s="5"/>
      <c r="P3030" s="5"/>
      <c r="U3030" s="5"/>
    </row>
    <row r="3031" spans="10:21" x14ac:dyDescent="0.5">
      <c r="J3031" s="20"/>
      <c r="K3031" s="20"/>
      <c r="L3031" s="5">
        <f>Data!L3031</f>
        <v>0</v>
      </c>
      <c r="M3031" s="5"/>
      <c r="P3031" s="5"/>
      <c r="U3031" s="5"/>
    </row>
    <row r="3032" spans="10:21" x14ac:dyDescent="0.5">
      <c r="J3032" s="20"/>
      <c r="K3032" s="20"/>
      <c r="L3032" s="5">
        <f>Data!L3032</f>
        <v>0</v>
      </c>
      <c r="M3032" s="5"/>
      <c r="P3032" s="5"/>
      <c r="U3032" s="5"/>
    </row>
    <row r="3033" spans="10:21" x14ac:dyDescent="0.5">
      <c r="J3033" s="20"/>
      <c r="K3033" s="20"/>
      <c r="L3033" s="5">
        <f>Data!L3033</f>
        <v>0</v>
      </c>
      <c r="M3033" s="5"/>
      <c r="P3033" s="5"/>
      <c r="U3033" s="5"/>
    </row>
    <row r="3034" spans="10:21" x14ac:dyDescent="0.5">
      <c r="J3034" s="20"/>
      <c r="K3034" s="20"/>
      <c r="L3034" s="5">
        <f>Data!L3034</f>
        <v>0</v>
      </c>
      <c r="M3034" s="5"/>
      <c r="P3034" s="5"/>
      <c r="U3034" s="5"/>
    </row>
    <row r="3035" spans="10:21" x14ac:dyDescent="0.5">
      <c r="J3035" s="20"/>
      <c r="K3035" s="20"/>
      <c r="L3035" s="5">
        <f>Data!L3035</f>
        <v>0</v>
      </c>
      <c r="M3035" s="5"/>
      <c r="P3035" s="5"/>
      <c r="U3035" s="5"/>
    </row>
    <row r="3036" spans="10:21" x14ac:dyDescent="0.5">
      <c r="J3036" s="20"/>
      <c r="K3036" s="20"/>
      <c r="L3036" s="5">
        <f>Data!L3036</f>
        <v>0</v>
      </c>
      <c r="M3036" s="5"/>
      <c r="P3036" s="5"/>
      <c r="U3036" s="5"/>
    </row>
    <row r="3037" spans="10:21" x14ac:dyDescent="0.5">
      <c r="J3037" s="20"/>
      <c r="K3037" s="20"/>
      <c r="L3037" s="5">
        <f>Data!L3037</f>
        <v>0</v>
      </c>
      <c r="M3037" s="5"/>
      <c r="P3037" s="5"/>
      <c r="U3037" s="5"/>
    </row>
    <row r="3038" spans="10:21" x14ac:dyDescent="0.5">
      <c r="J3038" s="20"/>
      <c r="K3038" s="20"/>
      <c r="L3038" s="5">
        <f>Data!L3038</f>
        <v>0</v>
      </c>
      <c r="M3038" s="5"/>
      <c r="P3038" s="5"/>
      <c r="U3038" s="5"/>
    </row>
    <row r="3039" spans="10:21" x14ac:dyDescent="0.5">
      <c r="J3039" s="20"/>
      <c r="K3039" s="20"/>
      <c r="L3039" s="5">
        <f>Data!L3039</f>
        <v>0</v>
      </c>
      <c r="M3039" s="5"/>
      <c r="P3039" s="5"/>
      <c r="U3039" s="5"/>
    </row>
    <row r="3040" spans="10:21" x14ac:dyDescent="0.5">
      <c r="J3040" s="20"/>
      <c r="K3040" s="20"/>
      <c r="L3040" s="5">
        <f>Data!L3040</f>
        <v>0</v>
      </c>
      <c r="M3040" s="5"/>
      <c r="P3040" s="5"/>
      <c r="U3040" s="5"/>
    </row>
    <row r="3041" spans="10:21" x14ac:dyDescent="0.5">
      <c r="J3041" s="20"/>
      <c r="K3041" s="20"/>
      <c r="L3041" s="5">
        <f>Data!L3041</f>
        <v>0</v>
      </c>
      <c r="M3041" s="5"/>
      <c r="P3041" s="5"/>
      <c r="U3041" s="5"/>
    </row>
    <row r="3042" spans="10:21" x14ac:dyDescent="0.5">
      <c r="J3042" s="20"/>
      <c r="K3042" s="20"/>
      <c r="L3042" s="5">
        <f>Data!L3042</f>
        <v>0</v>
      </c>
      <c r="M3042" s="5"/>
      <c r="P3042" s="5"/>
      <c r="U3042" s="5"/>
    </row>
    <row r="3043" spans="10:21" x14ac:dyDescent="0.5">
      <c r="J3043" s="20"/>
      <c r="K3043" s="20"/>
      <c r="L3043" s="5">
        <f>Data!L3043</f>
        <v>0</v>
      </c>
      <c r="M3043" s="5"/>
      <c r="P3043" s="5"/>
      <c r="U3043" s="5"/>
    </row>
    <row r="3044" spans="10:21" x14ac:dyDescent="0.5">
      <c r="J3044" s="20"/>
      <c r="K3044" s="20"/>
      <c r="L3044" s="5">
        <f>Data!L3044</f>
        <v>0</v>
      </c>
      <c r="M3044" s="5"/>
      <c r="P3044" s="5"/>
      <c r="U3044" s="5"/>
    </row>
    <row r="3045" spans="10:21" x14ac:dyDescent="0.5">
      <c r="J3045" s="20"/>
      <c r="K3045" s="20"/>
      <c r="L3045" s="5">
        <f>Data!L3045</f>
        <v>0</v>
      </c>
      <c r="M3045" s="5"/>
      <c r="P3045" s="5"/>
      <c r="U3045" s="5"/>
    </row>
    <row r="3046" spans="10:21" x14ac:dyDescent="0.5">
      <c r="J3046" s="20"/>
      <c r="K3046" s="20"/>
      <c r="L3046" s="5">
        <f>Data!L3046</f>
        <v>0</v>
      </c>
      <c r="M3046" s="5"/>
      <c r="P3046" s="5"/>
      <c r="U3046" s="5"/>
    </row>
    <row r="3047" spans="10:21" x14ac:dyDescent="0.5">
      <c r="J3047" s="20"/>
      <c r="K3047" s="20"/>
      <c r="L3047" s="5">
        <f>Data!L3047</f>
        <v>0</v>
      </c>
      <c r="M3047" s="5"/>
      <c r="P3047" s="5"/>
      <c r="U3047" s="5"/>
    </row>
    <row r="3048" spans="10:21" x14ac:dyDescent="0.5">
      <c r="J3048" s="20"/>
      <c r="K3048" s="20"/>
      <c r="L3048" s="5">
        <f>Data!L3048</f>
        <v>0</v>
      </c>
      <c r="M3048" s="5"/>
      <c r="P3048" s="5"/>
      <c r="U3048" s="5"/>
    </row>
    <row r="3049" spans="10:21" x14ac:dyDescent="0.5">
      <c r="J3049" s="20"/>
      <c r="K3049" s="20"/>
      <c r="L3049" s="5">
        <f>Data!L3049</f>
        <v>0</v>
      </c>
      <c r="M3049" s="5"/>
      <c r="P3049" s="5"/>
      <c r="U3049" s="5"/>
    </row>
    <row r="3050" spans="10:21" x14ac:dyDescent="0.5">
      <c r="J3050" s="20"/>
      <c r="K3050" s="20"/>
      <c r="L3050" s="5">
        <f>Data!L3050</f>
        <v>0</v>
      </c>
      <c r="M3050" s="5"/>
      <c r="P3050" s="5"/>
      <c r="U3050" s="5"/>
    </row>
    <row r="3051" spans="10:21" x14ac:dyDescent="0.5">
      <c r="J3051" s="20"/>
      <c r="K3051" s="20"/>
      <c r="L3051" s="5">
        <f>Data!L3051</f>
        <v>0</v>
      </c>
      <c r="M3051" s="5"/>
      <c r="P3051" s="5"/>
      <c r="U3051" s="5"/>
    </row>
    <row r="3052" spans="10:21" x14ac:dyDescent="0.5">
      <c r="J3052" s="20"/>
      <c r="K3052" s="20"/>
      <c r="L3052" s="5">
        <f>Data!L3052</f>
        <v>0</v>
      </c>
      <c r="M3052" s="5"/>
      <c r="P3052" s="5"/>
      <c r="U3052" s="5"/>
    </row>
    <row r="3053" spans="10:21" x14ac:dyDescent="0.5">
      <c r="J3053" s="20"/>
      <c r="K3053" s="20"/>
      <c r="L3053" s="5">
        <f>Data!L3053</f>
        <v>0</v>
      </c>
      <c r="M3053" s="5"/>
      <c r="P3053" s="5"/>
      <c r="U3053" s="5"/>
    </row>
    <row r="3054" spans="10:21" x14ac:dyDescent="0.5">
      <c r="J3054" s="20"/>
      <c r="K3054" s="20"/>
      <c r="L3054" s="5">
        <f>Data!L3054</f>
        <v>0</v>
      </c>
      <c r="M3054" s="5"/>
      <c r="P3054" s="5"/>
      <c r="U3054" s="5"/>
    </row>
    <row r="3055" spans="10:21" x14ac:dyDescent="0.5">
      <c r="J3055" s="20"/>
      <c r="K3055" s="20"/>
      <c r="L3055" s="5">
        <f>Data!L3055</f>
        <v>0</v>
      </c>
      <c r="M3055" s="5"/>
      <c r="P3055" s="5"/>
      <c r="U3055" s="5"/>
    </row>
    <row r="3056" spans="10:21" x14ac:dyDescent="0.5">
      <c r="J3056" s="20"/>
      <c r="K3056" s="20"/>
      <c r="L3056" s="5">
        <f>Data!L3056</f>
        <v>0</v>
      </c>
      <c r="M3056" s="5"/>
      <c r="P3056" s="5"/>
      <c r="U3056" s="5"/>
    </row>
    <row r="3057" spans="10:21" x14ac:dyDescent="0.5">
      <c r="J3057" s="20"/>
      <c r="K3057" s="20"/>
      <c r="L3057" s="5">
        <f>Data!L3057</f>
        <v>0</v>
      </c>
      <c r="M3057" s="5"/>
      <c r="P3057" s="5"/>
      <c r="U3057" s="5"/>
    </row>
    <row r="3058" spans="10:21" x14ac:dyDescent="0.5">
      <c r="J3058" s="20"/>
      <c r="K3058" s="20"/>
      <c r="L3058" s="5">
        <f>Data!L3058</f>
        <v>0</v>
      </c>
      <c r="M3058" s="5"/>
      <c r="P3058" s="5"/>
      <c r="U3058" s="5"/>
    </row>
    <row r="3059" spans="10:21" x14ac:dyDescent="0.5">
      <c r="J3059" s="20"/>
      <c r="K3059" s="20"/>
      <c r="L3059" s="5">
        <f>Data!L3059</f>
        <v>0</v>
      </c>
      <c r="M3059" s="5"/>
      <c r="P3059" s="5"/>
      <c r="U3059" s="5"/>
    </row>
    <row r="3060" spans="10:21" x14ac:dyDescent="0.5">
      <c r="J3060" s="20"/>
      <c r="K3060" s="20"/>
      <c r="L3060" s="5">
        <f>Data!L3060</f>
        <v>0</v>
      </c>
      <c r="M3060" s="5"/>
      <c r="P3060" s="5"/>
      <c r="U3060" s="5"/>
    </row>
    <row r="3061" spans="10:21" x14ac:dyDescent="0.5">
      <c r="J3061" s="20"/>
      <c r="K3061" s="20"/>
      <c r="L3061" s="5">
        <f>Data!L3061</f>
        <v>0</v>
      </c>
      <c r="M3061" s="5"/>
      <c r="P3061" s="5"/>
      <c r="U3061" s="5"/>
    </row>
    <row r="3062" spans="10:21" x14ac:dyDescent="0.5">
      <c r="J3062" s="20"/>
      <c r="K3062" s="20"/>
      <c r="L3062" s="5">
        <f>Data!L3062</f>
        <v>0</v>
      </c>
      <c r="M3062" s="5"/>
      <c r="P3062" s="5"/>
      <c r="U3062" s="5"/>
    </row>
    <row r="3063" spans="10:21" x14ac:dyDescent="0.5">
      <c r="J3063" s="20"/>
      <c r="K3063" s="20"/>
      <c r="L3063" s="5">
        <f>Data!L3063</f>
        <v>0</v>
      </c>
      <c r="M3063" s="5"/>
      <c r="P3063" s="5"/>
      <c r="U3063" s="5"/>
    </row>
    <row r="3064" spans="10:21" x14ac:dyDescent="0.5">
      <c r="J3064" s="20"/>
      <c r="K3064" s="20"/>
      <c r="L3064" s="5">
        <f>Data!L3064</f>
        <v>0</v>
      </c>
      <c r="M3064" s="5"/>
      <c r="P3064" s="5"/>
      <c r="U3064" s="5"/>
    </row>
    <row r="3065" spans="10:21" x14ac:dyDescent="0.5">
      <c r="J3065" s="20"/>
      <c r="K3065" s="20"/>
      <c r="L3065" s="5">
        <f>Data!L3065</f>
        <v>0</v>
      </c>
      <c r="M3065" s="5"/>
      <c r="P3065" s="5"/>
      <c r="U3065" s="5"/>
    </row>
    <row r="3066" spans="10:21" x14ac:dyDescent="0.5">
      <c r="J3066" s="20"/>
      <c r="K3066" s="20"/>
      <c r="L3066" s="5">
        <f>Data!L3066</f>
        <v>0</v>
      </c>
      <c r="M3066" s="5"/>
      <c r="P3066" s="5"/>
      <c r="U3066" s="5"/>
    </row>
    <row r="3067" spans="10:21" x14ac:dyDescent="0.5">
      <c r="J3067" s="20"/>
      <c r="K3067" s="20"/>
      <c r="L3067" s="5">
        <f>Data!L3067</f>
        <v>0</v>
      </c>
      <c r="M3067" s="5"/>
      <c r="P3067" s="5"/>
      <c r="U3067" s="5"/>
    </row>
    <row r="3068" spans="10:21" x14ac:dyDescent="0.5">
      <c r="J3068" s="20"/>
      <c r="K3068" s="20"/>
      <c r="L3068" s="5">
        <f>Data!L3068</f>
        <v>0</v>
      </c>
      <c r="M3068" s="5"/>
      <c r="P3068" s="5"/>
      <c r="U3068" s="5"/>
    </row>
    <row r="3069" spans="10:21" x14ac:dyDescent="0.5">
      <c r="J3069" s="20"/>
      <c r="K3069" s="20"/>
      <c r="L3069" s="5">
        <f>Data!L3069</f>
        <v>0</v>
      </c>
      <c r="M3069" s="5"/>
      <c r="P3069" s="5"/>
      <c r="U3069" s="5"/>
    </row>
    <row r="3070" spans="10:21" x14ac:dyDescent="0.5">
      <c r="J3070" s="20"/>
      <c r="K3070" s="20"/>
      <c r="L3070" s="5">
        <f>Data!L3070</f>
        <v>0</v>
      </c>
      <c r="M3070" s="5"/>
      <c r="P3070" s="5"/>
      <c r="U3070" s="5"/>
    </row>
    <row r="3071" spans="10:21" x14ac:dyDescent="0.5">
      <c r="J3071" s="20"/>
      <c r="K3071" s="20"/>
      <c r="L3071" s="5">
        <f>Data!L3071</f>
        <v>0</v>
      </c>
      <c r="M3071" s="5"/>
      <c r="P3071" s="5"/>
      <c r="U3071" s="5"/>
    </row>
    <row r="3072" spans="10:21" x14ac:dyDescent="0.5">
      <c r="J3072" s="20"/>
      <c r="K3072" s="20"/>
      <c r="L3072" s="5">
        <f>Data!L3072</f>
        <v>0</v>
      </c>
      <c r="M3072" s="5"/>
      <c r="P3072" s="5"/>
      <c r="U3072" s="5"/>
    </row>
    <row r="3073" spans="10:21" x14ac:dyDescent="0.5">
      <c r="J3073" s="20"/>
      <c r="K3073" s="20"/>
      <c r="L3073" s="5">
        <f>Data!L3073</f>
        <v>0</v>
      </c>
      <c r="M3073" s="5"/>
      <c r="P3073" s="5"/>
      <c r="U3073" s="5"/>
    </row>
    <row r="3074" spans="10:21" x14ac:dyDescent="0.5">
      <c r="J3074" s="20"/>
      <c r="K3074" s="20"/>
      <c r="L3074" s="5">
        <f>Data!L3074</f>
        <v>0</v>
      </c>
      <c r="M3074" s="5"/>
      <c r="P3074" s="5"/>
      <c r="U3074" s="5"/>
    </row>
    <row r="3075" spans="10:21" x14ac:dyDescent="0.5">
      <c r="J3075" s="20"/>
      <c r="K3075" s="20"/>
      <c r="L3075" s="5">
        <f>Data!L3075</f>
        <v>0</v>
      </c>
      <c r="M3075" s="5"/>
      <c r="P3075" s="5"/>
      <c r="U3075" s="5"/>
    </row>
    <row r="3076" spans="10:21" x14ac:dyDescent="0.5">
      <c r="J3076" s="20"/>
      <c r="K3076" s="20"/>
      <c r="L3076" s="5">
        <f>Data!L3076</f>
        <v>0</v>
      </c>
      <c r="M3076" s="5"/>
      <c r="P3076" s="5"/>
      <c r="U3076" s="5"/>
    </row>
    <row r="3077" spans="10:21" x14ac:dyDescent="0.5">
      <c r="J3077" s="20"/>
      <c r="K3077" s="20"/>
      <c r="L3077" s="5">
        <f>Data!L3077</f>
        <v>0</v>
      </c>
      <c r="M3077" s="5"/>
      <c r="P3077" s="5"/>
      <c r="U3077" s="5"/>
    </row>
    <row r="3078" spans="10:21" x14ac:dyDescent="0.5">
      <c r="J3078" s="20"/>
      <c r="K3078" s="20"/>
      <c r="L3078" s="5">
        <f>Data!L3078</f>
        <v>0</v>
      </c>
      <c r="M3078" s="5"/>
      <c r="P3078" s="5"/>
      <c r="U3078" s="5"/>
    </row>
    <row r="3079" spans="10:21" x14ac:dyDescent="0.5">
      <c r="J3079" s="20"/>
      <c r="K3079" s="20"/>
      <c r="L3079" s="5">
        <f>Data!L3079</f>
        <v>0</v>
      </c>
      <c r="M3079" s="5"/>
      <c r="P3079" s="5"/>
      <c r="U3079" s="5"/>
    </row>
    <row r="3080" spans="10:21" x14ac:dyDescent="0.5">
      <c r="J3080" s="20"/>
      <c r="K3080" s="20"/>
      <c r="L3080" s="5">
        <f>Data!L3080</f>
        <v>0</v>
      </c>
      <c r="M3080" s="5"/>
      <c r="P3080" s="5"/>
      <c r="U3080" s="5"/>
    </row>
    <row r="3081" spans="10:21" x14ac:dyDescent="0.5">
      <c r="J3081" s="20"/>
      <c r="K3081" s="20"/>
      <c r="L3081" s="5">
        <f>Data!L3081</f>
        <v>0</v>
      </c>
      <c r="M3081" s="5"/>
      <c r="P3081" s="5"/>
      <c r="U3081" s="5"/>
    </row>
    <row r="3082" spans="10:21" x14ac:dyDescent="0.5">
      <c r="J3082" s="20"/>
      <c r="K3082" s="20"/>
      <c r="L3082" s="5">
        <f>Data!L3082</f>
        <v>0</v>
      </c>
      <c r="M3082" s="5"/>
      <c r="P3082" s="5"/>
      <c r="U3082" s="5"/>
    </row>
    <row r="3083" spans="10:21" x14ac:dyDescent="0.5">
      <c r="J3083" s="20"/>
      <c r="K3083" s="20"/>
      <c r="L3083" s="5">
        <f>Data!L3083</f>
        <v>0</v>
      </c>
      <c r="M3083" s="5"/>
      <c r="P3083" s="5"/>
      <c r="U3083" s="5"/>
    </row>
    <row r="3084" spans="10:21" x14ac:dyDescent="0.5">
      <c r="J3084" s="20"/>
      <c r="K3084" s="20"/>
      <c r="L3084" s="5">
        <f>Data!L3084</f>
        <v>0</v>
      </c>
      <c r="M3084" s="5"/>
      <c r="P3084" s="5"/>
      <c r="U3084" s="5"/>
    </row>
    <row r="3085" spans="10:21" x14ac:dyDescent="0.5">
      <c r="J3085" s="20"/>
      <c r="K3085" s="20"/>
      <c r="L3085" s="5">
        <f>Data!L3085</f>
        <v>0</v>
      </c>
      <c r="M3085" s="5"/>
      <c r="P3085" s="5"/>
      <c r="U3085" s="5"/>
    </row>
    <row r="3086" spans="10:21" x14ac:dyDescent="0.5">
      <c r="J3086" s="20"/>
      <c r="K3086" s="20"/>
      <c r="L3086" s="5">
        <f>Data!L3086</f>
        <v>0</v>
      </c>
      <c r="M3086" s="5"/>
      <c r="P3086" s="5"/>
      <c r="U3086" s="5"/>
    </row>
    <row r="3087" spans="10:21" x14ac:dyDescent="0.5">
      <c r="J3087" s="20"/>
      <c r="K3087" s="20"/>
      <c r="L3087" s="5">
        <f>Data!L3087</f>
        <v>0</v>
      </c>
      <c r="M3087" s="5"/>
      <c r="P3087" s="5"/>
      <c r="U3087" s="5"/>
    </row>
    <row r="3088" spans="10:21" x14ac:dyDescent="0.5">
      <c r="J3088" s="20"/>
      <c r="K3088" s="20"/>
      <c r="L3088" s="5">
        <f>Data!L3088</f>
        <v>0</v>
      </c>
      <c r="M3088" s="5"/>
      <c r="P3088" s="5"/>
      <c r="U3088" s="5"/>
    </row>
    <row r="3089" spans="10:21" x14ac:dyDescent="0.5">
      <c r="J3089" s="20"/>
      <c r="K3089" s="20"/>
      <c r="L3089" s="5">
        <f>Data!L3089</f>
        <v>0</v>
      </c>
      <c r="M3089" s="5"/>
      <c r="P3089" s="5"/>
      <c r="U3089" s="5"/>
    </row>
    <row r="3090" spans="10:21" x14ac:dyDescent="0.5">
      <c r="J3090" s="20"/>
      <c r="K3090" s="20"/>
      <c r="L3090" s="5">
        <f>Data!L3090</f>
        <v>0</v>
      </c>
      <c r="M3090" s="5"/>
      <c r="P3090" s="5"/>
      <c r="U3090" s="5"/>
    </row>
    <row r="3091" spans="10:21" x14ac:dyDescent="0.5">
      <c r="J3091" s="20"/>
      <c r="K3091" s="20"/>
      <c r="L3091" s="5">
        <f>Data!L3091</f>
        <v>0</v>
      </c>
      <c r="M3091" s="5"/>
      <c r="P3091" s="5"/>
      <c r="U309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AD86-BCD5-4004-A05E-8763993D06E4}">
  <dimension ref="A1:R11"/>
  <sheetViews>
    <sheetView workbookViewId="0">
      <selection activeCell="B3" sqref="B3"/>
    </sheetView>
  </sheetViews>
  <sheetFormatPr defaultRowHeight="14.35" x14ac:dyDescent="0.5"/>
  <cols>
    <col min="1" max="1" width="9.5859375" bestFit="1" customWidth="1"/>
    <col min="18" max="18" width="12.17578125" bestFit="1" customWidth="1"/>
  </cols>
  <sheetData>
    <row r="1" spans="1:18" x14ac:dyDescent="0.5">
      <c r="A1" s="3" t="s">
        <v>68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(Corporate)",DataSimple!Y2:Y1000,"United States")</f>
        <v>290</v>
      </c>
      <c r="C2">
        <f>COUNTIFS(DataSimple!J2:J1000,"&gt;=1/1/2018",DataSimple!J2:J1000,"&lt;=1/31/2018",DataSimple!M2:M1000,"Page (Corporate)",DataSimple!Y2:Y1000,"United States")</f>
        <v>4</v>
      </c>
      <c r="D2">
        <f>COUNTIFS(DataSimple!J2:J1000,"&gt;=2/1/2018",DataSimple!J2:J1000,"&lt;=2/28/2018",DataSimple!M2:M1000,"Page (Corporate)",DataSimple!Y2:Y1000,"United States")</f>
        <v>5</v>
      </c>
      <c r="E2">
        <f>COUNTIFS(DataSimple!J2:J1000,"&gt;=3/1/2018",DataSimple!J2:J1000,"&lt;=3/31/2018",DataSimple!M2:M1000,"Page (Corporate)",DataSimple!Y2:Y1000,"United States")</f>
        <v>9</v>
      </c>
      <c r="F2">
        <f>COUNTIFS(DataSimple!J2:J1000,"&gt;=4/1/2018",DataSimple!J2:J1000,"&lt;=4/30/2018",DataSimple!M2:M1000,"Page (Corporate)",DataSimple!Y2:Y1000,"United States")</f>
        <v>11</v>
      </c>
      <c r="G2">
        <f>COUNTIFS(DataSimple!J2:J1000,"&gt;=5/1/2018",DataSimple!J2:J1000,"&lt;=5/31/2018",DataSimple!M2:M1000,"Page (Corporate)",DataSimple!Y2:Y1000,"United States")</f>
        <v>2</v>
      </c>
      <c r="H2">
        <f>COUNTIFS(DataSimple!J2:J1000,"&gt;=6/1/2018",DataSimple!J2:J1000,"&lt;=6/30/2018",DataSimple!M2:M1000,"Page (Corporate)",DataSimple!Y2:Y1000,"United States")</f>
        <v>8</v>
      </c>
      <c r="I2">
        <f>COUNTIFS(DataSimple!J2:J1000,"&gt;=7/1/2017",DataSimple!J2:J1000,"&lt;=7/31/2017",DataSimple!M2:M1000,"Page (Corporate)",DataSimple!Y2:Y1000,"United States")+COUNTIFS(DataSimple!J2:J1000,"&gt;=7/1/2018",DataSimple!J2:J1000,"&lt;=7/31/2018",DataSimple!M2:M1000,"Page (Corporate)",DataSimple!Y2:Y1000,"United States")</f>
        <v>8</v>
      </c>
      <c r="J2">
        <f>COUNTIFS(DataSimple!J2:J1000,"&gt;=8/1/2017",DataSimple!J2:J1000,"&lt;=8/31/2017",DataSimple!M2:M1000,"Page (Corporate)",DataSimple!Y2:Y1000,"United States")+COUNTIFS(DataSimple!J2:J1000,"&gt;=8/1/2018",DataSimple!J2:J1000,"&lt;=8/31/2018",DataSimple!M2:M1000,"Page (Corporate)",DataSimple!Y2:Y1000,"United States")</f>
        <v>21</v>
      </c>
      <c r="K2">
        <f>COUNTIFS(DataSimple!J2:J1000,"&gt;=9/1/2017",DataSimple!J2:J1000,"&lt;=9/30/2017",DataSimple!M2:M1000,"Page (Corporate)",DataSimple!Y2:Y1000,"United States")+COUNTIFS(DataSimple!J2:J1000,"&gt;=9/1/2018",DataSimple!J2:J1000,"&lt;=9/30/2018",DataSimple!M2:M1000,"Page (Corporate)",DataSimple!Y2:Y1000,"United States")</f>
        <v>10</v>
      </c>
      <c r="L2">
        <f>COUNTIFS(DataSimple!J2:J1000,"&gt;=10/1/2017",DataSimple!J2:J1000,"&lt;=10/31/2017",DataSimple!M2:M1000,"Page (Corporate)",DataSimple!Y2:Y1000,"United States")+COUNTIFS(DataSimple!J2:J1000,"&gt;=10/1/2018",DataSimple!J2:J1000,"&lt;=10/31/2018",DataSimple!M2:M1000,"Page (Corporate)",DataSimple!Y2:Y1000,"United States")</f>
        <v>1</v>
      </c>
      <c r="M2">
        <f>COUNTIFS(DataSimple!J2:J1000,"&gt;=11/1/2017",DataSimple!J2:J1000,"&lt;=11/30/2017",DataSimple!M2:M1000,"Page (Corporate)",DataSimple!Y2:Y1000,"United States")+COUNTIFS(DataSimple!J2:J1000,"&gt;=11/1/2018",DataSimple!J2:J1000,"&lt;=11/30/2018",DataSimple!M2:M1000,"Page (Corporate)",DataSimple!Y2:Y1000,"United States")</f>
        <v>0</v>
      </c>
      <c r="N2">
        <f>COUNTIFS(DataSimple!J2:J1000,"&gt;=12/1/2017",DataSimple!J2:J1000,"&lt;=12/31/2017",DataSimple!M2:M1000,"Page (Corporate)",DataSimple!Y2:Y1000,"United States")+COUNTIFS(DataSimple!J2:J1000,"&gt;=12/1/2018",DataSimple!J2:J1000,"&lt;=12/31/2018",DataSimple!M2:M1000,"Page (Corporate)",DataSimple!Y2:Y1000,"United States")</f>
        <v>17</v>
      </c>
      <c r="O2" s="22">
        <f t="shared" ref="O2:O9" si="0">SUM(B2:N2)</f>
        <v>386</v>
      </c>
      <c r="Q2">
        <v>2625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887468.75</v>
      </c>
    </row>
    <row r="3" spans="1:18" x14ac:dyDescent="0.5">
      <c r="A3" t="s">
        <v>1633</v>
      </c>
      <c r="B3">
        <f>COUNTIFS(DataSimple!J2:J1000,"&gt;=1/1/1980",DataSimple!J2:J1000,"&lt;=6/30/2017",DataSimple!M2:M1000,"Page (Corporate)",DataSimple!Y2:Y1000,"Canada")</f>
        <v>2</v>
      </c>
      <c r="C3">
        <f>COUNTIFS(DataSimple!J2:J1000,"&gt;=1/1/2018",DataSimple!J2:J1000,"&lt;=1/31/2018",DataSimple!M2:M1000,"Page (Corporate)",DataSimple!Y2:Y1000,"Canada")</f>
        <v>0</v>
      </c>
      <c r="D3">
        <f>COUNTIFS(DataSimple!J2:J1000,"&gt;=2/1/2018",DataSimple!J2:J1000,"&lt;=2/28/2018",DataSimple!M2:M1000,"Page (Corporate)",DataSimple!Y2:Y1000,"Canada")</f>
        <v>0</v>
      </c>
      <c r="E3">
        <f>COUNTIFS(DataSimple!J2:J1000,"&gt;=3/1/2018",DataSimple!J2:J1000,"&lt;=3/31/2018",DataSimple!M2:M1000,"Page (Corporate)",DataSimple!Y2:Y1000,"Canada")</f>
        <v>0</v>
      </c>
      <c r="F3">
        <f>COUNTIFS(DataSimple!J2:J1000,"&gt;=4/1/2018",DataSimple!J2:J1000,"&lt;=4/30/2018",DataSimple!M2:M1000,"Page (Corporate)",DataSimple!Y2:Y1000,"Canada")</f>
        <v>0</v>
      </c>
      <c r="G3">
        <f>COUNTIFS(DataSimple!J2:J1000,"&gt;=5/1/2018",DataSimple!J2:J1000,"&lt;=5/31/2018",DataSimple!M2:M1000,"Page (Corporate)",DataSimple!Y2:Y1000,"Canada")</f>
        <v>1</v>
      </c>
      <c r="H3">
        <f>COUNTIFS(DataSimple!J2:J1000,"&gt;=6/1/2018",DataSimple!J2:J1000,"&lt;=6/30/2018",DataSimple!M2:M1000,"Page (Corporate)",DataSimple!Y2:Y1000,"Canada")</f>
        <v>0</v>
      </c>
      <c r="I3">
        <f>COUNTIFS(DataSimple!J2:J1000,"&gt;=7/1/2017",DataSimple!J2:J1000,"&lt;=7/31/2017",DataSimple!M2:M1000,"Page (Corporate)",DataSimple!Y2:Y1000,"Canada")+COUNTIFS(DataSimple!J2:J1000,"&gt;=7/1/2018",DataSimple!J2:J1000,"&lt;=7/31/2018",DataSimple!M2:M1000,"Page (Corporate)",DataSimple!Y2:Y1000,"Canada")</f>
        <v>0</v>
      </c>
      <c r="J3">
        <f>COUNTIFS(DataSimple!J2:J1000,"&gt;=8/1/2017",DataSimple!J2:J1000,"&lt;=8/31/2017",DataSimple!M2:M1000,"Page (Corporate)",DataSimple!Y2:Y1000,"Canada")+COUNTIFS(DataSimple!J2:J1000,"&gt;=8/1/2018",DataSimple!J2:J1000,"&lt;=8/31/2018",DataSimple!M2:M1000,"Page (Corporate)",DataSimple!Y2:Y1000,"Canada")</f>
        <v>0</v>
      </c>
      <c r="K3">
        <f>COUNTIFS(DataSimple!J2:J1000,"&gt;=9/1/2017",DataSimple!J2:J1000,"&lt;=9/30/2017",DataSimple!M2:M1000,"Page (Corporate)",DataSimple!Y2:Y1000,"Canada")+COUNTIFS(DataSimple!J2:J1000,"&gt;=9/1/2018",DataSimple!J2:J1000,"&lt;=9/30/2018",DataSimple!M2:M1000,"Page (Corporate)",DataSimple!Y2:Y1000,"Canada")</f>
        <v>0</v>
      </c>
      <c r="L3">
        <f>COUNTIFS(DataSimple!J2:J1000,"&gt;=10/1/2017",DataSimple!J2:J1000,"&lt;=10/31/2017",DataSimple!M2:M1000,"Page (Corporate)",DataSimple!Y2:Y1000,"Canada")+COUNTIFS(DataSimple!J2:J1000,"&gt;=10/1/2018",DataSimple!J2:J1000,"&lt;=10/31/2018",DataSimple!M2:M1000,"Page (Corporate)",DataSimple!Y2:Y1000,"Canada")</f>
        <v>0</v>
      </c>
      <c r="M3">
        <f>COUNTIFS(DataSimple!J2:J1000,"&gt;=11/1/2017",DataSimple!J2:J1000,"&lt;=11/30/2017",DataSimple!M2:M1000,"Page (Corporate)",DataSimple!Y2:Y1000,"Canada")+COUNTIFS(DataSimple!J2:J1000,"&gt;=11/1/2018",DataSimple!J2:J1000,"&lt;=11/30/2018",DataSimple!M2:M1000,"Page (Corporate)",DataSimple!Y2:Y1000,"Canada")</f>
        <v>0</v>
      </c>
      <c r="N3">
        <f>COUNTIFS(DataSimple!J2:J1000,"&gt;=12/1/2017",DataSimple!J2:J1000,"&lt;=12/31/2017",DataSimple!M2:M1000,"Page (Corporate)",DataSimple!Y2:Y1000,"Canada")+COUNTIFS(DataSimple!J2:J1000,"&gt;=12/1/2018",DataSimple!J2:J1000,"&lt;=12/31/2018",DataSimple!M2:M1000,"Page (Corporate)",DataSimple!Y2:Y1000,"Canada")</f>
        <v>0</v>
      </c>
      <c r="O3" s="22">
        <f t="shared" si="0"/>
        <v>3</v>
      </c>
      <c r="Q3">
        <v>2520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6720</v>
      </c>
    </row>
    <row r="4" spans="1:18" x14ac:dyDescent="0.5">
      <c r="A4" t="s">
        <v>744</v>
      </c>
      <c r="B4">
        <f>COUNTIFS(DataSimple!J2:J1000,"&gt;=1/1/1980",DataSimple!J2:J1000,"&lt;=6/30/2017",DataSimple!M2:M1000,"Page (Corporate)",DataSimple!Y2:Y1000,"Europe")</f>
        <v>29</v>
      </c>
      <c r="C4">
        <f>COUNTIFS(DataSimple!J2:J1000,"&gt;=1/1/2018",DataSimple!J2:J1000,"&lt;=1/31/2018",DataSimple!M2:M1000,"Page (Corporate)",DataSimple!Y2:Y1000,"Europe")</f>
        <v>2</v>
      </c>
      <c r="D4">
        <f>COUNTIFS(DataSimple!J2:J1000,"&gt;=2/1/2018",DataSimple!J2:J1000,"&lt;=2/28/2018",DataSimple!M2:M1000,"Page (Corporate)",DataSimple!Y2:Y1000,"Europe")</f>
        <v>0</v>
      </c>
      <c r="E4">
        <f>COUNTIFS(DataSimple!J2:J1000,"&gt;=3/1/2018",DataSimple!J2:J1000,"&lt;=3/31/2018",DataSimple!M2:M1000,"Page (Corporate)",DataSimple!Y2:Y1000,"Europe")</f>
        <v>1</v>
      </c>
      <c r="F4">
        <f>COUNTIFS(DataSimple!J2:J1000,"&gt;=4/1/2018",DataSimple!J2:J1000,"&lt;=4/30/2018",DataSimple!M2:M1000,"Page (Corporate)",DataSimple!Y2:Y1000,"Europe")</f>
        <v>0</v>
      </c>
      <c r="G4">
        <f>COUNTIFS(DataSimple!J2:J1000,"&gt;=5/1/2018",DataSimple!J2:J1000,"&lt;=5/31/2018",DataSimple!M2:M1000,"Page (Corporate)",DataSimple!Y2:Y1000,"Europe")</f>
        <v>1</v>
      </c>
      <c r="H4">
        <f>COUNTIFS(DataSimple!J2:J1000,"&gt;=6/1/2018",DataSimple!J2:J1000,"&lt;=6/30/2018",DataSimple!M2:M1000,"Page (Corporate)",DataSimple!Y2:Y1000,"Europe")</f>
        <v>0</v>
      </c>
      <c r="I4">
        <f>COUNTIFS(DataSimple!J2:J1000,"&gt;=7/1/2017",DataSimple!J2:J1000,"&lt;=7/31/2017",DataSimple!M2:M1000,"Page (Corporate)",DataSimple!Y2:Y1000,"Europe")+COUNTIFS(DataSimple!J2:J1000,"&gt;=7/1/2018",DataSimple!J2:J1000,"&lt;=7/31/2018",DataSimple!M2:M1000,"Page (Corporate)",DataSimple!Y2:Y1000,"Europe")</f>
        <v>2</v>
      </c>
      <c r="J4">
        <f>COUNTIFS(DataSimple!J2:J1000,"&gt;=8/1/2017",DataSimple!J2:J1000,"&lt;=8/31/2017",DataSimple!M2:M1000,"Page (Corporate)",DataSimple!Y2:Y1000,"Europe")+COUNTIFS(DataSimple!J2:J1000,"&gt;=8/1/2018",DataSimple!J2:J1000,"&lt;=8/31/2018",DataSimple!M2:M1000,"Page (Corporate)",DataSimple!Y2:Y1000,"Europe")</f>
        <v>4</v>
      </c>
      <c r="K4">
        <f>COUNTIFS(DataSimple!J2:J1000,"&gt;=9/1/2017",DataSimple!J2:J1000,"&lt;=9/30/2017",DataSimple!M2:M1000,"Page (Corporate)",DataSimple!Y2:Y1000,"Europe")+COUNTIFS(DataSimple!J2:J1000,"&gt;=9/1/2018",DataSimple!J2:J1000,"&lt;=9/30/2018",DataSimple!M2:M1000,"Page (Corporate)",DataSimple!Y2:Y1000,"Europe")</f>
        <v>0</v>
      </c>
      <c r="L4">
        <f>COUNTIFS(DataSimple!J2:J1000,"&gt;=10/1/2017",DataSimple!J2:J1000,"&lt;=10/31/2017",DataSimple!M2:M1000,"Page (Corporate)",DataSimple!Y2:Y1000,"Europe")+COUNTIFS(DataSimple!J2:J1000,"&gt;=10/1/2018",DataSimple!J2:J1000,"&lt;=10/31/2018",DataSimple!M2:M1000,"Page (Corporate)",DataSimple!Y2:Y1000,"Europe")</f>
        <v>0</v>
      </c>
      <c r="M4">
        <f>COUNTIFS(DataSimple!J2:J1000,"&gt;=11/1/2017",DataSimple!J2:J1000,"&lt;=11/30/2017",DataSimple!M2:M1000,"Page (Corporate)",DataSimple!Y2:Y1000,"Europe")+COUNTIFS(DataSimple!J2:J1000,"&gt;=11/1/2018",DataSimple!J2:J1000,"&lt;=11/30/2018",DataSimple!M2:M1000,"Page (Corporate)",DataSimple!Y2:Y1000,"Europe")</f>
        <v>0</v>
      </c>
      <c r="N4">
        <f>COUNTIFS(DataSimple!J2:J1000,"&gt;=12/1/2017",DataSimple!J2:J1000,"&lt;=12/31/2017",DataSimple!M2:M1000,"Page (Corporate)",DataSimple!Y2:Y1000,"Europe")+COUNTIFS(DataSimple!J2:J1000,"&gt;=12/1/2018",DataSimple!J2:J1000,"&lt;=12/31/2018",DataSimple!M2:M1000,"Page (Corporate)",DataSimple!Y2:Y1000,"Europe")</f>
        <v>1</v>
      </c>
      <c r="O4" s="22">
        <f t="shared" si="0"/>
        <v>40</v>
      </c>
      <c r="Q4">
        <v>2365</v>
      </c>
      <c r="R4" s="1">
        <f t="shared" si="1"/>
        <v>83366.25</v>
      </c>
    </row>
    <row r="5" spans="1:18" x14ac:dyDescent="0.5">
      <c r="A5" t="s">
        <v>8559</v>
      </c>
      <c r="B5">
        <f>COUNTIFS(DataSimple!J2:J1000,"&gt;=1/1/1980",DataSimple!J2:J1000,"&lt;=6/30/2017",DataSimple!M2:M1000,"Page (Corporate)",DataSimple!Y2:Y1000,"Middle East/Africa")</f>
        <v>0</v>
      </c>
      <c r="C5">
        <f>COUNTIFS(DataSimple!J2:J1000,"&gt;=1/1/2018",DataSimple!J2:J1000,"&lt;=1/31/2018",DataSimple!M2:M1000,"Page (Corporate)",DataSimple!Y2:Y1000,"Middle East/Africa")</f>
        <v>0</v>
      </c>
      <c r="D5">
        <f>COUNTIFS(DataSimple!J2:J1000,"&gt;=2/1/2018",DataSimple!J2:J1000,"&lt;=2/28/2018",DataSimple!M2:M1000,"Page (Corporate)",DataSimple!Y2:Y1000,"Middle East/Africa")</f>
        <v>0</v>
      </c>
      <c r="E5">
        <f>COUNTIFS(DataSimple!J2:J1000,"&gt;=3/1/2018",DataSimple!J2:J1000,"&lt;=3/31/2018",DataSimple!M2:M1000,"Page (Corporate)",DataSimple!Y2:Y1000,"Middle East/Africa")</f>
        <v>0</v>
      </c>
      <c r="F5">
        <f>COUNTIFS(DataSimple!J2:J1000,"&gt;=4/1/2018",DataSimple!J2:J1000,"&lt;=4/30/2018",DataSimple!M2:M1000,"Page (Corporate)",DataSimple!Y2:Y1000,"Middle East/Africa")</f>
        <v>0</v>
      </c>
      <c r="G5">
        <f>COUNTIFS(DataSimple!J2:J1000,"&gt;=5/1/2018",DataSimple!J2:J1000,"&lt;=5/31/2018",DataSimple!M2:M1000,"Page (Corporate)",DataSimple!Y2:Y1000,"Middle East/Africa")</f>
        <v>0</v>
      </c>
      <c r="H5">
        <f>COUNTIFS(DataSimple!J2:J1000,"&gt;=6/1/2018",DataSimple!J2:J1000,"&lt;=6/30/2018",DataSimple!M2:M1000,"Page (Corporate)",DataSimple!Y2:Y1000,"Middle East/Africa")</f>
        <v>0</v>
      </c>
      <c r="I5">
        <f>COUNTIFS(DataSimple!J2:J1000,"&gt;=7/1/2017",DataSimple!J2:J1000,"&lt;=7/31/2017",DataSimple!M2:M1000,"Page (Corporate)",DataSimple!Y2:Y1000,"Middle East/Africa")+COUNTIFS(DataSimple!J2:J1000,"&gt;=7/1/2018",DataSimple!J2:J1000,"&lt;=7/31/2018",DataSimple!M2:M1000,"Page (Corporate)",DataSimple!Y2:Y1000,"Middle East/Africa")</f>
        <v>3</v>
      </c>
      <c r="J5">
        <f>COUNTIFS(DataSimple!J2:J1000,"&gt;=8/1/2017",DataSimple!J2:J1000,"&lt;=8/31/2017",DataSimple!M2:M1000,"Page (Corporate)",DataSimple!Y2:Y1000,"Middle East/Africa")+COUNTIFS(DataSimple!J2:J1000,"&gt;=8/1/2018",DataSimple!J2:J1000,"&lt;=8/31/2018",DataSimple!M2:M1000,"Page (Corporate)",DataSimple!Y2:Y1000,"Middle East/Africa")</f>
        <v>0</v>
      </c>
      <c r="K5">
        <f>COUNTIFS(DataSimple!J2:J1000,"&gt;=9/1/2017",DataSimple!J2:J1000,"&lt;=9/30/2017",DataSimple!M2:M1000,"Page (Corporate)",DataSimple!Y2:Y1000,"Middle East/Africa")+COUNTIFS(DataSimple!J2:J1000,"&gt;=9/1/2018",DataSimple!J2:J1000,"&lt;=9/30/2018",DataSimple!M2:M1000,"Page (Corporate)",DataSimple!Y2:Y1000,"Middle East/Africa")</f>
        <v>0</v>
      </c>
      <c r="L5">
        <f>COUNTIFS(DataSimple!J2:J1000,"&gt;=10/1/2017",DataSimple!J2:J1000,"&lt;=10/31/2017",DataSimple!M2:M1000,"Page (Corporate)",DataSimple!Y2:Y1000,"Middle East/Africa")+COUNTIFS(DataSimple!J2:J1000,"&gt;=10/1/2018",DataSimple!J2:J1000,"&lt;=10/31/2018",DataSimple!M2:M1000,"Page (Corporate)",DataSimple!Y2:Y1000,"Middle East/Africa")</f>
        <v>1</v>
      </c>
      <c r="M5">
        <f>COUNTIFS(DataSimple!J2:J1000,"&gt;=11/1/2017",DataSimple!J2:J1000,"&lt;=11/30/2017",DataSimple!M2:M1000,"Page (Corporate)",DataSimple!Y2:Y1000,"Middle East/Africa")+COUNTIFS(DataSimple!J2:J1000,"&gt;=11/1/2018",DataSimple!J2:J1000,"&lt;=11/30/2018",DataSimple!M2:M1000,"Page (Corporate)",DataSimple!Y2:Y1000,"Middle East/Africa")</f>
        <v>0</v>
      </c>
      <c r="N5">
        <f>COUNTIFS(DataSimple!J2:J1000,"&gt;=12/1/2017",DataSimple!J2:J1000,"&lt;=12/31/2017",DataSimple!M2:M1000,"Page (Corporate)",DataSimple!Y2:Y1000,"Middle East/Africa")+COUNTIFS(DataSimple!J2:J1000,"&gt;=12/1/2018",DataSimple!J2:J1000,"&lt;=12/31/2018",DataSimple!M2:M1000,"Page (Corporate)",DataSimple!Y2:Y1000,"Middle East/Africa")</f>
        <v>0</v>
      </c>
      <c r="O5" s="22">
        <f t="shared" si="0"/>
        <v>4</v>
      </c>
      <c r="Q5">
        <v>1890</v>
      </c>
      <c r="R5" s="1">
        <f t="shared" si="1"/>
        <v>3307.5</v>
      </c>
    </row>
    <row r="6" spans="1:18" x14ac:dyDescent="0.5">
      <c r="A6" t="s">
        <v>8560</v>
      </c>
      <c r="B6">
        <f>COUNTIFS(DataSimple!J2:J1000,"&gt;=1/1/1980",DataSimple!J2:J1000,"&lt;=6/30/2017",DataSimple!M2:M1000,"Page (Corporate)",DataSimple!Y2:Y1000,"Asia:Other")</f>
        <v>3</v>
      </c>
      <c r="C6">
        <f>COUNTIFS(DataSimple!J2:J1000,"&gt;=1/1/2018",DataSimple!J2:J1000,"&lt;=1/31/2018",DataSimple!M2:M1000,"Page (Corporate)",DataSimple!Y2:Y1000,"Asia:Other")</f>
        <v>0</v>
      </c>
      <c r="D6">
        <f>COUNTIFS(DataSimple!J2:J1000,"&gt;=2/1/2018",DataSimple!J2:J1000,"&lt;=2/28/2018",DataSimple!M2:M1000,"Page (Corporate)",DataSimple!Y2:Y1000,"Asia:Other")</f>
        <v>0</v>
      </c>
      <c r="E6">
        <f>COUNTIFS(DataSimple!J2:J1000,"&gt;=3/1/2018",DataSimple!J2:J1000,"&lt;=3/31/2018",DataSimple!M2:M1000,"Page (Corporate)",DataSimple!Y2:Y1000,"Asia:Other")</f>
        <v>0</v>
      </c>
      <c r="F6">
        <f>COUNTIFS(DataSimple!J2:J1000,"&gt;=4/1/2018",DataSimple!J2:J1000,"&lt;=4/30/2018",DataSimple!M2:M1000,"Page (Corporate)",DataSimple!Y2:Y1000,"Asia:Other")</f>
        <v>1</v>
      </c>
      <c r="G6">
        <f>COUNTIFS(DataSimple!J2:J1000,"&gt;=5/1/2018",DataSimple!J2:J1000,"&lt;=5/31/2018",DataSimple!M2:M1000,"Page (Corporate)",DataSimple!Y2:Y1000,"Asia:Other")</f>
        <v>0</v>
      </c>
      <c r="H6">
        <f>COUNTIFS(DataSimple!J2:J1000,"&gt;=6/1/2018",DataSimple!J2:J1000,"&lt;=6/30/2018",DataSimple!M2:M1000,"Page (Corporate)",DataSimple!Y2:Y1000,"Asia:Other")</f>
        <v>0</v>
      </c>
      <c r="I6">
        <f>COUNTIFS(DataSimple!J2:J1000,"&gt;=7/1/2017",DataSimple!J2:J1000,"&lt;=7/31/2017",DataSimple!M2:M1000,"Page (Corporate)",DataSimple!Y2:Y1000,"Asia:Other")+COUNTIFS(DataSimple!J2:J1000,"&gt;=7/1/2018",DataSimple!J2:J1000,"&lt;=7/31/2018",DataSimple!M2:M1000,"Page (Corporate)",DataSimple!Y2:Y1000,"Asia:Other")</f>
        <v>1</v>
      </c>
      <c r="J6">
        <f>COUNTIFS(DataSimple!J2:J1000,"&gt;=8/1/2017",DataSimple!J2:J1000,"&lt;=8/31/2017",DataSimple!M2:M1000,"Page (Corporate)",DataSimple!Y2:Y1000,"Asia:Other")+COUNTIFS(DataSimple!J2:J1000,"&gt;=8/1/2018",DataSimple!J2:J1000,"&lt;=8/31/2018",DataSimple!M2:M1000,"Page (Corporate)",DataSimple!Y2:Y1000,"Asia:Other")</f>
        <v>0</v>
      </c>
      <c r="K6">
        <f>COUNTIFS(DataSimple!J2:J1000,"&gt;=9/1/2017",DataSimple!J2:J1000,"&lt;=9/30/2017",DataSimple!M2:M1000,"Page (Corporate)",DataSimple!Y2:Y1000,"Asia:Other")+COUNTIFS(DataSimple!J2:J1000,"&gt;=9/1/2018",DataSimple!J2:J1000,"&lt;=9/30/2018",DataSimple!M2:M1000,"Page (Corporate)",DataSimple!Y2:Y1000,"Asia:Other")</f>
        <v>0</v>
      </c>
      <c r="L6">
        <f>COUNTIFS(DataSimple!J2:J1000,"&gt;=10/1/2017",DataSimple!J2:J1000,"&lt;=10/31/2017",DataSimple!M2:M1000,"Page (Corporate)",DataSimple!Y2:Y1000,"Asia:Other")+COUNTIFS(DataSimple!J2:J1000,"&gt;=10/1/2018",DataSimple!J2:J1000,"&lt;=10/31/2018",DataSimple!M2:M1000,"Page (Corporate)",DataSimple!Y2:Y1000,"Asia:Other")</f>
        <v>0</v>
      </c>
      <c r="M6">
        <f>COUNTIFS(DataSimple!J2:J1000,"&gt;=11/1/2017",DataSimple!J2:J1000,"&lt;=11/30/2017",DataSimple!M2:M1000,"Page (Corporate)",DataSimple!Y2:Y1000,"Asia:Other")+COUNTIFS(DataSimple!J2:J1000,"&gt;=11/1/2018",DataSimple!J2:J1000,"&lt;=11/30/2018",DataSimple!M2:M1000,"Page (Corporate)",DataSimple!Y2:Y1000,"Asia:Other")</f>
        <v>0</v>
      </c>
      <c r="N6">
        <f>COUNTIFS(DataSimple!J2:J1000,"&gt;=12/1/2017",DataSimple!J2:J1000,"&lt;=12/31/2017",DataSimple!M2:M1000,"Page (Corporate)",DataSimple!Y2:Y1000,"Asia:Other")+COUNTIFS(DataSimple!J2:J1000,"&gt;=12/1/2018",DataSimple!J2:J1000,"&lt;=12/31/2018",DataSimple!M2:M1000,"Page (Corporate)",DataSimple!Y2:Y1000,"Asia:Other")</f>
        <v>0</v>
      </c>
      <c r="O6" s="22">
        <f t="shared" si="0"/>
        <v>5</v>
      </c>
      <c r="Q6">
        <v>1575</v>
      </c>
      <c r="R6" s="1">
        <f t="shared" si="1"/>
        <v>6693.75</v>
      </c>
    </row>
    <row r="7" spans="1:18" x14ac:dyDescent="0.5">
      <c r="A7" t="s">
        <v>4147</v>
      </c>
      <c r="B7">
        <f>COUNTIFS(DataSimple!J2:J1000,"&gt;=1/1/1980",DataSimple!J2:J1000,"&lt;=6/30/2017",DataSimple!M2:M1000,"Page (Corporate)",DataSimple!Y2:Y1000,"Australia/NZ")</f>
        <v>5</v>
      </c>
      <c r="C7">
        <f>COUNTIFS(DataSimple!J2:J1000,"&gt;=1/1/2018",DataSimple!J2:J1000,"&lt;=1/31/2018",DataSimple!M2:M1000,"Page (Corporate)",DataSimple!Y2:Y1000,"Australia/NZ")</f>
        <v>0</v>
      </c>
      <c r="D7">
        <f>COUNTIFS(DataSimple!J2:J1000,"&gt;=2/1/2018",DataSimple!J2:J1000,"&lt;=2/28/2018",DataSimple!M2:M1000,"Page (Corporate)",DataSimple!Y2:Y1000,"Australia/NZ")</f>
        <v>2</v>
      </c>
      <c r="E7">
        <f>COUNTIFS(DataSimple!J2:J1000,"&gt;=3/1/2018",DataSimple!J2:J1000,"&lt;=3/31/2018",DataSimple!M2:M1000,"Page (Corporate)",DataSimple!Y2:Y1000,"Australia/NZ")</f>
        <v>0</v>
      </c>
      <c r="F7">
        <f>COUNTIFS(DataSimple!J2:J1000,"&gt;=4/1/2018",DataSimple!J2:J1000,"&lt;=4/30/2018",DataSimple!M2:M1000,"Page (Corporate)",DataSimple!Y2:Y1000,"Australia/NZ")</f>
        <v>2</v>
      </c>
      <c r="G7">
        <f>COUNTIFS(DataSimple!J2:J1000,"&gt;=5/1/2018",DataSimple!J2:J1000,"&lt;=5/31/2018",DataSimple!M2:M1000,"Page (Corporate)",DataSimple!Y2:Y1000,"Australia/NZ")</f>
        <v>1</v>
      </c>
      <c r="H7">
        <f>COUNTIFS(DataSimple!J2:J1000,"&gt;=6/1/2018",DataSimple!J2:J1000,"&lt;=6/30/2018",DataSimple!M2:M1000,"Page (Corporate)",DataSimple!Y2:Y1000,"Australia/NZ")</f>
        <v>1</v>
      </c>
      <c r="I7">
        <f>COUNTIFS(DataSimple!J2:J1000,"&gt;=7/1/2017",DataSimple!J2:J1000,"&lt;=7/31/2017",DataSimple!M2:M1000,"Page (Corporate)",DataSimple!Y2:Y1000,"Australia/NZ")+COUNTIFS(DataSimple!J2:J1000,"&gt;=7/1/2018",DataSimple!J2:J1000,"&lt;=7/31/2018",DataSimple!M2:M1000,"Page (Corporate)",DataSimple!Y2:Y1000,"Australia/NZ")</f>
        <v>1</v>
      </c>
      <c r="J7">
        <f>COUNTIFS(DataSimple!J2:J1000,"&gt;=8/1/2017",DataSimple!J2:J1000,"&lt;=8/31/2017",DataSimple!M2:M1000,"Page (Corporate)",DataSimple!Y2:Y1000,"Australia/NZ")+COUNTIFS(DataSimple!J2:J1000,"&gt;=8/1/2018",DataSimple!J2:J1000,"&lt;=8/31/2018",DataSimple!M2:M1000,"Page (Corporate)",DataSimple!Y2:Y1000,"Australia/NZ")</f>
        <v>3</v>
      </c>
      <c r="K7">
        <f>COUNTIFS(DataSimple!J2:J1000,"&gt;=9/1/2017",DataSimple!J2:J1000,"&lt;=9/30/2017",DataSimple!M2:M1000,"Page (Corporate)",DataSimple!Y2:Y1000,"Australia/NZ")+COUNTIFS(DataSimple!J2:J1000,"&gt;=9/1/2018",DataSimple!J2:J1000,"&lt;=9/30/2018",DataSimple!M2:M1000,"Page (Corporate)",DataSimple!Y2:Y1000,"Australia/NZ")</f>
        <v>5</v>
      </c>
      <c r="L7">
        <f>COUNTIFS(DataSimple!J2:J1000,"&gt;=10/1/2017",DataSimple!J2:J1000,"&lt;=10/31/2017",DataSimple!M2:M1000,"Page (Corporate)",DataSimple!Y2:Y1000,"Australia/NZ")+COUNTIFS(DataSimple!J2:J1000,"&gt;=10/1/2018",DataSimple!J2:J1000,"&lt;=10/31/2018",DataSimple!M2:M1000,"Page (Corporate)",DataSimple!Y2:Y1000,"Australia/NZ")</f>
        <v>0</v>
      </c>
      <c r="M7">
        <f>COUNTIFS(DataSimple!J2:J1000,"&gt;=11/1/2017",DataSimple!J2:J1000,"&lt;=11/30/2017",DataSimple!M2:M1000,"Page (Corporate)",DataSimple!Y2:Y1000,"Australia/NZ")+COUNTIFS(DataSimple!J2:J1000,"&gt;=11/1/2018",DataSimple!J2:J1000,"&lt;=11/30/2018",DataSimple!M2:M1000,"Page (Corporate)",DataSimple!Y2:Y1000,"Australia/NZ")</f>
        <v>0</v>
      </c>
      <c r="N7">
        <f>COUNTIFS(DataSimple!J2:J1000,"&gt;=12/1/2017",DataSimple!J2:J1000,"&lt;=12/31/2017",DataSimple!M2:M1000,"Page (Corporate)",DataSimple!Y2:Y1000,"Australia/NZ")+COUNTIFS(DataSimple!J2:J1000,"&gt;=12/1/2018",DataSimple!J2:J1000,"&lt;=12/31/2018",DataSimple!M2:M1000,"Page (Corporate)",DataSimple!Y2:Y1000,"Australia/NZ")</f>
        <v>1</v>
      </c>
      <c r="O7" s="22">
        <f>SUM(B7:N7)</f>
        <v>21</v>
      </c>
      <c r="Q7">
        <v>1890</v>
      </c>
      <c r="R7" s="1">
        <f t="shared" si="1"/>
        <v>24727.5</v>
      </c>
    </row>
    <row r="8" spans="1:18" x14ac:dyDescent="0.5">
      <c r="A8" t="s">
        <v>2512</v>
      </c>
      <c r="B8">
        <f>COUNTIFS(DataSimple!J2:J1000,"&gt;=1/1/1980",DataSimple!J2:J1000,"&lt;=6/30/2017",DataSimple!M2:M1000,"Page (Corporate)",DataSimple!Y2:Y1000,"Asia:India")</f>
        <v>3</v>
      </c>
      <c r="C8">
        <f>COUNTIFS(DataSimple!J2:J1000,"&gt;=1/1/2018",DataSimple!J2:J1000,"&lt;=1/31/2018",DataSimple!M2:M1000,"Page (Corporate)",DataSimple!Y2:Y1000,"Asia:India")</f>
        <v>0</v>
      </c>
      <c r="D8">
        <f>COUNTIFS(DataSimple!J2:J1000,"&gt;=2/1/2018",DataSimple!J2:J1000,"&lt;=2/28/2018",DataSimple!M2:M1000,"Page (Corporate)",DataSimple!Y2:Y1000,"Asia:India")</f>
        <v>0</v>
      </c>
      <c r="E8">
        <f>COUNTIFS(DataSimple!J2:J1000,"&gt;=3/1/2018",DataSimple!J2:J1000,"&lt;=3/31/2018",DataSimple!M2:M1000,"Page (Corporate)",DataSimple!Y2:Y1000,"Asia:India")</f>
        <v>0</v>
      </c>
      <c r="F8">
        <f>COUNTIFS(DataSimple!J2:J1000,"&gt;=4/1/2018",DataSimple!J2:J1000,"&lt;=4/30/2018",DataSimple!M2:M1000,"Page (Corporate)",DataSimple!Y2:Y1000,"Asia:India")</f>
        <v>0</v>
      </c>
      <c r="G8">
        <f>COUNTIFS(DataSimple!J2:J1000,"&gt;=5/1/2018",DataSimple!J2:J1000,"&lt;=5/31/2018",DataSimple!M2:M1000,"Page (Corporate)",DataSimple!Y2:Y1000,"Asia:India")</f>
        <v>0</v>
      </c>
      <c r="H8">
        <f>COUNTIFS(DataSimple!J2:J1000,"&gt;=6/1/2018",DataSimple!J2:J1000,"&lt;=6/30/2018",DataSimple!M2:M1000,"Page (Corporate)",DataSimple!Y2:Y1000,"Asia:India")</f>
        <v>0</v>
      </c>
      <c r="I8">
        <f>COUNTIFS(DataSimple!J2:J1000,"&gt;=7/1/2017",DataSimple!J2:J1000,"&lt;=7/31/2017",DataSimple!M2:M1000,"Page (Corporate)",DataSimple!Y2:Y1000,"Asia:India")+COUNTIFS(DataSimple!J2:J1000,"&gt;=7/1/2018",DataSimple!J2:J1000,"&lt;=7/31/2018",DataSimple!M2:M1000,"Page (Corporate)",DataSimple!Y2:Y1000,"Asia:India")</f>
        <v>2</v>
      </c>
      <c r="J8">
        <f>COUNTIFS(DataSimple!J2:J1000,"&gt;=8/1/2017",DataSimple!J2:J1000,"&lt;=8/31/2017",DataSimple!M2:M1000,"Page (Corporate)",DataSimple!Y2:Y1000,"Asia:India")+COUNTIFS(DataSimple!J2:J1000,"&gt;=8/1/2018",DataSimple!J2:J1000,"&lt;=8/31/2018",DataSimple!M2:M1000,"Page (Corporate)",DataSimple!Y2:Y1000,"Asia:India")</f>
        <v>0</v>
      </c>
      <c r="K8">
        <f>COUNTIFS(DataSimple!J2:J1000,"&gt;=9/1/2017",DataSimple!J2:J1000,"&lt;=9/30/2017",DataSimple!M2:M1000,"Page (Corporate)",DataSimple!Y2:Y1000,"Asia:India")+COUNTIFS(DataSimple!J2:J1000,"&gt;=9/1/2018",DataSimple!J2:J1000,"&lt;=9/30/2018",DataSimple!M2:M1000,"Page (Corporate)",DataSimple!Y2:Y1000,"Asia:India")</f>
        <v>0</v>
      </c>
      <c r="L8">
        <f>COUNTIFS(DataSimple!J2:J1000,"&gt;=10/1/2017",DataSimple!J2:J1000,"&lt;=10/31/2017",DataSimple!M2:M1000,"Page (Corporate)",DataSimple!Y2:Y1000,"Asia:India")+COUNTIFS(DataSimple!J2:J1000,"&gt;=10/1/2018",DataSimple!J2:J1000,"&lt;=10/31/2018",DataSimple!M2:M1000,"Page (Corporate)",DataSimple!Y2:Y1000,"Asia:India")</f>
        <v>0</v>
      </c>
      <c r="M8">
        <f>COUNTIFS(DataSimple!J2:J1000,"&gt;=11/1/2017",DataSimple!J2:J1000,"&lt;=11/30/2017",DataSimple!M2:M1000,"Page (Corporate)",DataSimple!Y2:Y1000,"Asia:India")+COUNTIFS(DataSimple!J2:J1000,"&gt;=11/1/2018",DataSimple!J2:J1000,"&lt;=11/30/2018",DataSimple!M2:M1000,"Page (Corporate)",DataSimple!Y2:Y1000,"Asia:India")</f>
        <v>0</v>
      </c>
      <c r="N8">
        <f>COUNTIFS(DataSimple!J2:J1000,"&gt;=12/1/2017",DataSimple!J2:J1000,"&lt;=12/31/2017",DataSimple!M2:M1000,"Page (Corporate)",DataSimple!Y2:Y1000,"Asia:India")+COUNTIFS(DataSimple!J2:J1000,"&gt;=12/1/2018",DataSimple!J2:J1000,"&lt;=12/31/2018",DataSimple!M2:M1000,"Page (Corporate)",DataSimple!Y2:Y1000,"Asia:India")</f>
        <v>0</v>
      </c>
      <c r="O8" s="22">
        <f t="shared" si="0"/>
        <v>5</v>
      </c>
      <c r="Q8">
        <v>1315</v>
      </c>
      <c r="R8" s="1">
        <f t="shared" si="1"/>
        <v>5260</v>
      </c>
    </row>
    <row r="9" spans="1:18" x14ac:dyDescent="0.5">
      <c r="A9" t="s">
        <v>8561</v>
      </c>
      <c r="B9">
        <f>COUNTIFS(DataSimple!J2:J1000,"&gt;=1/1/1980",DataSimple!J2:J1000,"&lt;=6/30/2017",DataSimple!M2:M1000,"Page (Corporate)",DataSimple!Y2:Y1000,"Latin America")</f>
        <v>0</v>
      </c>
      <c r="C9">
        <f>COUNTIFS(DataSimple!J2:J1000,"&gt;=1/1/2018",DataSimple!J2:J1000,"&lt;=1/31/2018",DataSimple!M2:M1000,"Page (Corporate)",DataSimple!Y2:Y1000,"Latin America")</f>
        <v>0</v>
      </c>
      <c r="D9">
        <f>COUNTIFS(DataSimple!J2:J1000,"&gt;=2/1/2018",DataSimple!J2:J1000,"&lt;=2/28/2018",DataSimple!M2:M1000,"Page (Corporate)",DataSimple!Y2:Y1000,"Latin America")</f>
        <v>0</v>
      </c>
      <c r="E9">
        <f>COUNTIFS(DataSimple!J2:J1000,"&gt;=3/1/2018",DataSimple!J2:J1000,"&lt;=3/31/2018",DataSimple!M2:M1000,"Page (Corporate)",DataSimple!Y2:Y1000,"Latin America")</f>
        <v>0</v>
      </c>
      <c r="F9">
        <f>COUNTIFS(DataSimple!J2:J1000,"&gt;=4/1/2018",DataSimple!J2:J1000,"&lt;=4/30/2018",DataSimple!M2:M1000,"Page (Corporate)",DataSimple!Y2:Y1000,"Latin America")</f>
        <v>0</v>
      </c>
      <c r="G9">
        <f>COUNTIFS(DataSimple!J2:J1000,"&gt;=5/1/2018",DataSimple!J2:J1000,"&lt;=5/31/2018",DataSimple!M2:M1000,"Page (Corporate)",DataSimple!Y2:Y1000,"Latin America")</f>
        <v>0</v>
      </c>
      <c r="H9">
        <f>COUNTIFS(DataSimple!J2:J1000,"&gt;=6/1/2018",DataSimple!J2:J1000,"&lt;=6/30/2018",DataSimple!M2:M1000,"Page (Corporate)",DataSimple!Y2:Y1000,"Latin America")</f>
        <v>0</v>
      </c>
      <c r="I9">
        <f>COUNTIFS(DataSimple!J2:J1000,"&gt;=7/1/2017",DataSimple!J2:J1000,"&lt;=7/31/2017",DataSimple!M2:M1000,"Page (Corporate)",DataSimple!Y2:Y1000,"Latin America")+COUNTIFS(DataSimple!J2:J1000,"&gt;=7/1/2018",DataSimple!J2:J1000,"&lt;=7/31/2018",DataSimple!M2:M1000,"Page (Corporate)",DataSimple!Y2:Y1000,"Latin America")</f>
        <v>0</v>
      </c>
      <c r="J9">
        <f>COUNTIFS(DataSimple!J2:J1000,"&gt;=8/1/2017",DataSimple!J2:J1000,"&lt;=8/31/2017",DataSimple!M2:M1000,"Page (Corporate)",DataSimple!Y2:Y1000,"Latin America")+COUNTIFS(DataSimple!J2:J1000,"&gt;=8/1/2018",DataSimple!J2:J1000,"&lt;=8/31/2018",DataSimple!M2:M1000,"Page (Corporate)",DataSimple!Y2:Y1000,"Latin America")</f>
        <v>0</v>
      </c>
      <c r="K9">
        <f>COUNTIFS(DataSimple!J2:J1000,"&gt;=9/1/2017",DataSimple!J2:J1000,"&lt;=9/30/2017",DataSimple!M2:M1000,"Page (Corporate)",DataSimple!Y2:Y1000,"Latin America")+COUNTIFS(DataSimple!J2:J1000,"&gt;=9/1/2018",DataSimple!J2:J1000,"&lt;=9/30/2018",DataSimple!M2:M1000,"Page (Corporate)",DataSimple!Y2:Y1000,"Latin America")</f>
        <v>0</v>
      </c>
      <c r="L9">
        <f>COUNTIFS(DataSimple!J2:J1000,"&gt;=10/1/2017",DataSimple!J2:J1000,"&lt;=10/31/2017",DataSimple!M2:M1000,"Page (Corporate)",DataSimple!Y2:Y1000,"Latin America")+COUNTIFS(DataSimple!J2:J1000,"&gt;=10/1/2018",DataSimple!J2:J1000,"&lt;=10/31/2018",DataSimple!M2:M1000,"Page (Corporate)",DataSimple!Y2:Y1000,"Latin America")</f>
        <v>0</v>
      </c>
      <c r="M9">
        <f>COUNTIFS(DataSimple!J2:J1000,"&gt;=11/1/2017",DataSimple!J2:J1000,"&lt;=11/30/2017",DataSimple!M2:M1000,"Page (Corporate)",DataSimple!Y2:Y1000,"Latin America")+COUNTIFS(DataSimple!J2:J1000,"&gt;=11/1/2018",DataSimple!J2:J1000,"&lt;=11/30/2018",DataSimple!M2:M1000,"Page (Corporate)",DataSimple!Y2:Y1000,"Latin America")</f>
        <v>0</v>
      </c>
      <c r="N9">
        <f>COUNTIFS(DataSimple!J2:J1000,"&gt;=12/1/2017",DataSimple!J2:J1000,"&lt;=12/31/2017",DataSimple!M2:M1000,"Page (Corporate)",DataSimple!Y2:Y1000,"Latin America")+COUNTIFS(DataSimple!J2:J1000,"&gt;=12/1/2018",DataSimple!J2:J1000,"&lt;=12/31/2018",DataSimple!M2:M1000,"Page (Corporate)",DataSimple!Y2:Y1000,"Latin America")</f>
        <v>0</v>
      </c>
      <c r="O9" s="22">
        <f t="shared" si="0"/>
        <v>0</v>
      </c>
      <c r="Q9">
        <v>1785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332</v>
      </c>
      <c r="C11" s="4">
        <f>SUM(C2:C9)</f>
        <v>6</v>
      </c>
      <c r="D11" s="4">
        <f t="shared" ref="D11:N11" si="2">SUM(D2:D9)</f>
        <v>7</v>
      </c>
      <c r="E11" s="4">
        <f t="shared" si="2"/>
        <v>10</v>
      </c>
      <c r="F11" s="4">
        <f t="shared" si="2"/>
        <v>14</v>
      </c>
      <c r="G11" s="4">
        <f t="shared" si="2"/>
        <v>5</v>
      </c>
      <c r="H11" s="4">
        <f t="shared" si="2"/>
        <v>9</v>
      </c>
      <c r="I11" s="4">
        <f t="shared" si="2"/>
        <v>17</v>
      </c>
      <c r="J11" s="4">
        <f t="shared" si="2"/>
        <v>28</v>
      </c>
      <c r="K11" s="4">
        <f t="shared" si="2"/>
        <v>15</v>
      </c>
      <c r="L11" s="4">
        <f t="shared" si="2"/>
        <v>2</v>
      </c>
      <c r="M11" s="4">
        <f t="shared" si="2"/>
        <v>0</v>
      </c>
      <c r="N11" s="4">
        <f t="shared" si="2"/>
        <v>19</v>
      </c>
      <c r="O11" s="22">
        <f>SUM(B11:N11)</f>
        <v>464</v>
      </c>
      <c r="R11" s="26">
        <f>SUM(R2:R9)</f>
        <v>1017543.75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1097-5B82-4087-A10B-51340FA0F0DE}">
  <dimension ref="A1:R11"/>
  <sheetViews>
    <sheetView workbookViewId="0">
      <selection activeCell="C2" sqref="C2"/>
    </sheetView>
  </sheetViews>
  <sheetFormatPr defaultRowHeight="14.35" x14ac:dyDescent="0.5"/>
  <sheetData>
    <row r="1" spans="1:18" x14ac:dyDescent="0.5">
      <c r="A1" s="3" t="s">
        <v>110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(Agency)",DataSimple!Y2:Y1000,"United States")</f>
        <v>76</v>
      </c>
      <c r="C2">
        <f>COUNTIFS(DataSimple!J2:J1000,"&gt;=1/1/2018",DataSimple!J2:J1000,"&lt;=1/31/2018",DataSimple!M2:M1000,"Page (Agency)",DataSimple!Y2:Y1000,"United States")</f>
        <v>0</v>
      </c>
      <c r="D2">
        <f>COUNTIFS(DataSimple!J2:J1000,"&gt;=2/1/2018",DataSimple!J2:J1000,"&lt;=2/28/2018",DataSimple!M2:M1000,"Page (Agency)",DataSimple!Y2:Y1000,"United States")</f>
        <v>1</v>
      </c>
      <c r="E2">
        <f>COUNTIFS(DataSimple!J2:J1000,"&gt;=3/1/2018",DataSimple!J2:J1000,"&lt;=3/31/2018",DataSimple!M2:M1000,"Page (Agency)",DataSimple!Y2:Y1000,"United States")</f>
        <v>0</v>
      </c>
      <c r="F2">
        <f>COUNTIFS(DataSimple!J2:J1000,"&gt;=4/1/2018",DataSimple!J2:J1000,"&lt;=4/30/2018",DataSimple!M2:M1000,"Page (Agency)",DataSimple!Y2:Y1000,"United States")</f>
        <v>5</v>
      </c>
      <c r="G2">
        <f>COUNTIFS(DataSimple!J2:J1000,"&gt;=5/1/2018",DataSimple!J2:J1000,"&lt;=5/31/2018",DataSimple!M2:M1000,"Page (Agency)",DataSimple!Y2:Y1000,"United States")</f>
        <v>0</v>
      </c>
      <c r="H2">
        <f>COUNTIFS(DataSimple!J2:J1000,"&gt;=6/1/2018",DataSimple!J2:J1000,"&lt;=6/30/2018",DataSimple!M2:M1000,"Page (Agency)",DataSimple!Y2:Y1000,"United States")</f>
        <v>0</v>
      </c>
      <c r="I2">
        <f>COUNTIFS(DataSimple!J2:J1000,"&gt;=7/1/2017",DataSimple!J2:J1000,"&lt;=7/31/2017",DataSimple!M2:M1000,"Page (Agency)",DataSimple!Y2:Y1000,"United States")+COUNTIFS(DataSimple!J2:J1000,"&gt;=7/1/2018",DataSimple!J2:J1000,"&lt;=7/31/2018",DataSimple!M2:M1000,"Page (Agency)",DataSimple!Y2:Y1000,"United States")</f>
        <v>2</v>
      </c>
      <c r="J2">
        <f>COUNTIFS(DataSimple!J2:J1000,"&gt;=8/1/2017",DataSimple!J2:J1000,"&lt;=8/31/2017",DataSimple!M2:M1000,"Page (Agency)",DataSimple!Y2:Y1000,"United States")+COUNTIFS(DataSimple!J2:J1000,"&gt;=8/1/2018",DataSimple!J2:J1000,"&lt;=8/31/2018",DataSimple!M2:M1000,"Page (Agency)",DataSimple!Y2:Y1000,"United States")</f>
        <v>6</v>
      </c>
      <c r="K2">
        <f>COUNTIFS(DataSimple!J2:J1000,"&gt;=9/1/2017",DataSimple!J2:J1000,"&lt;=9/30/2017",DataSimple!M2:M1000,"Page (Agency)",DataSimple!Y2:Y1000,"United States")+COUNTIFS(DataSimple!J2:J1000,"&gt;=9/1/2018",DataSimple!J2:J1000,"&lt;=9/30/2018",DataSimple!M2:M1000,"Page (Agency)",DataSimple!Y2:Y1000,"United States")</f>
        <v>2</v>
      </c>
      <c r="L2">
        <f>COUNTIFS(DataSimple!J2:J1000,"&gt;=10/1/2017",DataSimple!J2:J1000,"&lt;=10/31/2017",DataSimple!M2:M1000,"Page (Agency)",DataSimple!Y2:Y1000,"United States")+COUNTIFS(DataSimple!J2:J1000,"&gt;=10/1/2018",DataSimple!J2:J1000,"&lt;=10/31/2018",DataSimple!M2:M1000,"Page (Agency)",DataSimple!Y2:Y1000,"United States")</f>
        <v>0</v>
      </c>
      <c r="M2">
        <f>COUNTIFS(DataSimple!J2:J1000,"&gt;=11/1/2017",DataSimple!J2:J1000,"&lt;=11/30/2017",DataSimple!M2:M1000,"Page (Agency)",DataSimple!Y2:Y1000,"United States")+COUNTIFS(DataSimple!J2:J1000,"&gt;=11/1/2018",DataSimple!J2:J1000,"&lt;=11/30/2018",DataSimple!M2:M1000,"Page (Agency)",DataSimple!Y2:Y1000,"United States")</f>
        <v>0</v>
      </c>
      <c r="N2">
        <f>COUNTIFS(DataSimple!J2:J1000,"&gt;=12/1/2017",DataSimple!J2:J1000,"&lt;=12/31/2017",DataSimple!M2:M1000,"Page (Agency)",DataSimple!Y2:Y1000,"United States")+COUNTIFS(DataSimple!J2:J1000,"&gt;=12/1/2018",DataSimple!J2:J1000,"&lt;=12/31/2018",DataSimple!M2:M1000,"Page (Agency)",DataSimple!Y2:Y1000,"United States")</f>
        <v>1</v>
      </c>
      <c r="O2" s="22">
        <f t="shared" ref="O2:O9" si="0">SUM(B2:N2)</f>
        <v>93</v>
      </c>
      <c r="Q2">
        <v>2625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222906.25</v>
      </c>
    </row>
    <row r="3" spans="1:18" x14ac:dyDescent="0.5">
      <c r="A3" t="s">
        <v>1633</v>
      </c>
      <c r="B3">
        <f>COUNTIFS(DataSimple!J2:J1000,"&gt;=1/1/1980",DataSimple!J2:J1000,"&lt;=6/30/2017",DataSimple!M2:M1000,"Page (Agency)",DataSimple!Y2:Y1000,"Canada")</f>
        <v>1</v>
      </c>
      <c r="C3">
        <f>COUNTIFS(DataSimple!J2:J1000,"&gt;=1/1/2018",DataSimple!J2:J1000,"&lt;=1/31/2018",DataSimple!M2:M1000,"Page (Agency)",DataSimple!Y2:Y1000,"Canada")</f>
        <v>0</v>
      </c>
      <c r="D3">
        <f>COUNTIFS(DataSimple!J2:J1000,"&gt;=2/1/2018",DataSimple!J2:J1000,"&lt;=2/28/2018",DataSimple!M2:M1000,"Page (Agency)",DataSimple!Y2:Y1000,"Canada")</f>
        <v>0</v>
      </c>
      <c r="E3">
        <f>COUNTIFS(DataSimple!J2:J1000,"&gt;=3/1/2018",DataSimple!J2:J1000,"&lt;=3/31/2018",DataSimple!M2:M1000,"Page (Agency)",DataSimple!Y2:Y1000,"Canada")</f>
        <v>0</v>
      </c>
      <c r="F3">
        <f>COUNTIFS(DataSimple!J2:J1000,"&gt;=4/1/2018",DataSimple!J2:J1000,"&lt;=4/30/2018",DataSimple!M2:M1000,"Page (Agency)",DataSimple!Y2:Y1000,"Canada")</f>
        <v>0</v>
      </c>
      <c r="G3">
        <f>COUNTIFS(DataSimple!J2:J1000,"&gt;=5/1/2018",DataSimple!J2:J1000,"&lt;=5/31/2018",DataSimple!M2:M1000,"Page (Agency)",DataSimple!Y2:Y1000,"Canada")</f>
        <v>0</v>
      </c>
      <c r="H3">
        <f>COUNTIFS(DataSimple!J2:J1000,"&gt;=6/1/2018",DataSimple!J2:J1000,"&lt;=6/30/2018",DataSimple!M2:M1000,"Page (Agency)",DataSimple!Y2:Y1000,"Canada")</f>
        <v>0</v>
      </c>
      <c r="I3">
        <f>COUNTIFS(DataSimple!J2:J1000,"&gt;=7/1/2017",DataSimple!J2:J1000,"&lt;=7/31/2017",DataSimple!M2:M1000,"Page (Agency)",DataSimple!Y2:Y1000,"Canada")+COUNTIFS(DataSimple!J2:J1000,"&gt;=7/1/2018",DataSimple!J2:J1000,"&lt;=7/31/2018",DataSimple!M2:M1000,"Page (Agency)",DataSimple!Y2:Y1000,"Canada")</f>
        <v>0</v>
      </c>
      <c r="J3">
        <f>COUNTIFS(DataSimple!J2:J1000,"&gt;=8/1/2017",DataSimple!J2:J1000,"&lt;=8/31/2017",DataSimple!M2:M1000,"Page (Agency)",DataSimple!Y2:Y1000,"Canada")+COUNTIFS(DataSimple!J2:J1000,"&gt;=8/1/2018",DataSimple!J2:J1000,"&lt;=8/31/2018",DataSimple!M2:M1000,"Page (Agency)",DataSimple!Y2:Y1000,"Canada")</f>
        <v>0</v>
      </c>
      <c r="K3">
        <f>COUNTIFS(DataSimple!J2:J1000,"&gt;=9/1/2017",DataSimple!J2:J1000,"&lt;=9/30/2017",DataSimple!M2:M1000,"Page (Agency)",DataSimple!Y2:Y1000,"Canada")+COUNTIFS(DataSimple!J2:J1000,"&gt;=9/1/2018",DataSimple!J2:J1000,"&lt;=9/30/2018",DataSimple!M2:M1000,"Page (Agency)",DataSimple!Y2:Y1000,"Canada")</f>
        <v>0</v>
      </c>
      <c r="L3">
        <f>COUNTIFS(DataSimple!J2:J1000,"&gt;=10/1/2017",DataSimple!J2:J1000,"&lt;=10/31/2017",DataSimple!M2:M1000,"Page (Agency)",DataSimple!Y2:Y1000,"Canada")+COUNTIFS(DataSimple!J2:J1000,"&gt;=10/1/2018",DataSimple!J2:J1000,"&lt;=10/31/2018",DataSimple!M2:M1000,"Page (Agency)",DataSimple!Y2:Y1000,"Canada")</f>
        <v>0</v>
      </c>
      <c r="M3">
        <f>COUNTIFS(DataSimple!J2:J1000,"&gt;=11/1/2017",DataSimple!J2:J1000,"&lt;=11/30/2017",DataSimple!M2:M1000,"Page (Agency)",DataSimple!Y2:Y1000,"Canada")+COUNTIFS(DataSimple!J2:J1000,"&gt;=11/1/2018",DataSimple!J2:J1000,"&lt;=11/30/2018",DataSimple!M2:M1000,"Page (Agency)",DataSimple!Y2:Y1000,"Canada")</f>
        <v>0</v>
      </c>
      <c r="N3">
        <f>COUNTIFS(DataSimple!J2:J1000,"&gt;=12/1/2017",DataSimple!J2:J1000,"&lt;=12/31/2017",DataSimple!M2:M1000,"Page (Agency)",DataSimple!Y2:Y1000,"Canada")+COUNTIFS(DataSimple!J2:J1000,"&gt;=12/1/2018",DataSimple!J2:J1000,"&lt;=12/31/2018",DataSimple!M2:M1000,"Page (Agency)",DataSimple!Y2:Y1000,"Canada")</f>
        <v>0</v>
      </c>
      <c r="O3" s="22">
        <f t="shared" si="0"/>
        <v>1</v>
      </c>
      <c r="Q3">
        <v>2520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2520</v>
      </c>
    </row>
    <row r="4" spans="1:18" x14ac:dyDescent="0.5">
      <c r="A4" t="s">
        <v>744</v>
      </c>
      <c r="B4">
        <f>COUNTIFS(DataSimple!J2:J1000,"&gt;=1/1/1980",DataSimple!J2:J1000,"&lt;=6/30/2017",DataSimple!M2:M1000,"Page (Agency)",DataSimple!Y2:Y1000,"Europe")</f>
        <v>9</v>
      </c>
      <c r="C4">
        <f>COUNTIFS(DataSimple!J2:J1000,"&gt;=1/1/2018",DataSimple!J2:J1000,"&lt;=1/31/2018",DataSimple!M2:M1000,"Page (Agency)",DataSimple!Y2:Y1000,"Europe")</f>
        <v>0</v>
      </c>
      <c r="D4">
        <f>COUNTIFS(DataSimple!J2:J1000,"&gt;=2/1/2018",DataSimple!J2:J1000,"&lt;=2/28/2018",DataSimple!M2:M1000,"Page (Agency)",DataSimple!Y2:Y1000,"Europe")</f>
        <v>0</v>
      </c>
      <c r="E4">
        <f>COUNTIFS(DataSimple!J2:J1000,"&gt;=3/1/2018",DataSimple!J2:J1000,"&lt;=3/31/2018",DataSimple!M2:M1000,"Page (Agency)",DataSimple!Y2:Y1000,"Europe")</f>
        <v>0</v>
      </c>
      <c r="F4">
        <f>COUNTIFS(DataSimple!J2:J1000,"&gt;=4/1/2018",DataSimple!J2:J1000,"&lt;=4/30/2018",DataSimple!M2:M1000,"Page (Agency)",DataSimple!Y2:Y1000,"Europe")</f>
        <v>0</v>
      </c>
      <c r="G4">
        <f>COUNTIFS(DataSimple!J2:J1000,"&gt;=5/1/2018",DataSimple!J2:J1000,"&lt;=5/31/2018",DataSimple!M2:M1000,"Page (Agency)",DataSimple!Y2:Y1000,"Europe")</f>
        <v>0</v>
      </c>
      <c r="H4">
        <f>COUNTIFS(DataSimple!J2:J1000,"&gt;=6/1/2018",DataSimple!J2:J1000,"&lt;=6/30/2018",DataSimple!M2:M1000,"Page (Agency)",DataSimple!Y2:Y1000,"Europe")</f>
        <v>0</v>
      </c>
      <c r="I4">
        <f>COUNTIFS(DataSimple!J2:J1000,"&gt;=7/1/2017",DataSimple!J2:J1000,"&lt;=7/31/2017",DataSimple!M2:M1000,"Page (Agency)",DataSimple!Y2:Y1000,"Europe")+COUNTIFS(DataSimple!J2:J1000,"&gt;=7/1/2018",DataSimple!J2:J1000,"&lt;=7/31/2018",DataSimple!M2:M1000,"Page (Agency)",DataSimple!Y2:Y1000,"Europe")</f>
        <v>3</v>
      </c>
      <c r="J4">
        <f>COUNTIFS(DataSimple!J2:J1000,"&gt;=8/1/2017",DataSimple!J2:J1000,"&lt;=8/31/2017",DataSimple!M2:M1000,"Page (Agency)",DataSimple!Y2:Y1000,"Europe")+COUNTIFS(DataSimple!J2:J1000,"&gt;=8/1/2018",DataSimple!J2:J1000,"&lt;=8/31/2018",DataSimple!M2:M1000,"Page (Agency)",DataSimple!Y2:Y1000,"Europe")</f>
        <v>0</v>
      </c>
      <c r="K4">
        <f>COUNTIFS(DataSimple!J2:J1000,"&gt;=9/1/2017",DataSimple!J2:J1000,"&lt;=9/30/2017",DataSimple!M2:M1000,"Page (Agency)",DataSimple!Y2:Y1000,"Europe")+COUNTIFS(DataSimple!J2:J1000,"&gt;=9/1/2018",DataSimple!J2:J1000,"&lt;=9/30/2018",DataSimple!M2:M1000,"Page (Agency)",DataSimple!Y2:Y1000,"Europe")</f>
        <v>1</v>
      </c>
      <c r="L4">
        <f>COUNTIFS(DataSimple!J2:J1000,"&gt;=10/1/2017",DataSimple!J2:J1000,"&lt;=10/31/2017",DataSimple!M2:M1000,"Page (Agency)",DataSimple!Y2:Y1000,"Europe")+COUNTIFS(DataSimple!J2:J1000,"&gt;=10/1/2018",DataSimple!J2:J1000,"&lt;=10/31/2018",DataSimple!M2:M1000,"Page (Agency)",DataSimple!Y2:Y1000,"Europe")</f>
        <v>0</v>
      </c>
      <c r="M4">
        <f>COUNTIFS(DataSimple!J2:J1000,"&gt;=11/1/2017",DataSimple!J2:J1000,"&lt;=11/30/2017",DataSimple!M2:M1000,"Page (Agency)",DataSimple!Y2:Y1000,"Europe")+COUNTIFS(DataSimple!J2:J1000,"&gt;=11/1/2018",DataSimple!J2:J1000,"&lt;=11/30/2018",DataSimple!M2:M1000,"Page (Agency)",DataSimple!Y2:Y1000,"Europe")</f>
        <v>0</v>
      </c>
      <c r="N4">
        <f>COUNTIFS(DataSimple!J2:J1000,"&gt;=12/1/2017",DataSimple!J2:J1000,"&lt;=12/31/2017",DataSimple!M2:M1000,"Page (Agency)",DataSimple!Y2:Y1000,"Europe")+COUNTIFS(DataSimple!J2:J1000,"&gt;=12/1/2018",DataSimple!J2:J1000,"&lt;=12/31/2018",DataSimple!M2:M1000,"Page (Agency)",DataSimple!Y2:Y1000,"Europe")</f>
        <v>0</v>
      </c>
      <c r="O4" s="22">
        <f t="shared" si="0"/>
        <v>13</v>
      </c>
      <c r="Q4">
        <v>2365</v>
      </c>
      <c r="R4" s="1">
        <f t="shared" si="1"/>
        <v>25620.833333333332</v>
      </c>
    </row>
    <row r="5" spans="1:18" x14ac:dyDescent="0.5">
      <c r="A5" t="s">
        <v>8559</v>
      </c>
      <c r="B5">
        <f>COUNTIFS(DataSimple!J2:J1000,"&gt;=1/1/1980",DataSimple!J2:J1000,"&lt;=6/30/2017",DataSimple!M2:M1000,"Page (Agency)",DataSimple!Y2:Y1000,"Middle East/Africa")</f>
        <v>1</v>
      </c>
      <c r="C5">
        <f>COUNTIFS(DataSimple!J2:J1000,"&gt;=1/1/2018",DataSimple!J2:J1000,"&lt;=1/31/2018",DataSimple!M2:M1000,"Page (Agency)",DataSimple!Y2:Y1000,"Middle East/Africa")</f>
        <v>0</v>
      </c>
      <c r="D5">
        <f>COUNTIFS(DataSimple!J2:J1000,"&gt;=2/1/2018",DataSimple!J2:J1000,"&lt;=2/28/2018",DataSimple!M2:M1000,"Page (Agency)",DataSimple!Y2:Y1000,"Middle East/Africa")</f>
        <v>0</v>
      </c>
      <c r="E5">
        <f>COUNTIFS(DataSimple!J2:J1000,"&gt;=3/1/2018",DataSimple!J2:J1000,"&lt;=3/31/2018",DataSimple!M2:M1000,"Page (Agency)",DataSimple!Y2:Y1000,"Middle East/Africa")</f>
        <v>0</v>
      </c>
      <c r="F5">
        <f>COUNTIFS(DataSimple!J2:J1000,"&gt;=4/1/2018",DataSimple!J2:J1000,"&lt;=4/30/2018",DataSimple!M2:M1000,"Page (Agency)",DataSimple!Y2:Y1000,"Middle East/Africa")</f>
        <v>0</v>
      </c>
      <c r="G5">
        <f>COUNTIFS(DataSimple!J2:J1000,"&gt;=5/1/2018",DataSimple!J2:J1000,"&lt;=5/31/2018",DataSimple!M2:M1000,"Page (Agency)",DataSimple!Y2:Y1000,"Middle East/Africa")</f>
        <v>0</v>
      </c>
      <c r="H5">
        <f>COUNTIFS(DataSimple!J2:J1000,"&gt;=6/1/2018",DataSimple!J2:J1000,"&lt;=6/30/2018",DataSimple!M2:M1000,"Page (Agency)",DataSimple!Y2:Y1000,"Middle East/Africa")</f>
        <v>0</v>
      </c>
      <c r="I5">
        <f>COUNTIFS(DataSimple!J2:J1000,"&gt;=7/1/2017",DataSimple!J2:J1000,"&lt;=7/31/2017",DataSimple!M2:M1000,"Page (Agency)",DataSimple!Y2:Y1000,"Middle East/Africa")+COUNTIFS(DataSimple!J2:J1000,"&gt;=7/1/2018",DataSimple!J2:J1000,"&lt;=7/31/2018",DataSimple!M2:M1000,"Page (Agency)",DataSimple!Y2:Y1000,"Middle East/Africa")</f>
        <v>1</v>
      </c>
      <c r="J5">
        <f>COUNTIFS(DataSimple!J2:J1000,"&gt;=8/1/2017",DataSimple!J2:J1000,"&lt;=8/31/2017",DataSimple!M2:M1000,"Page (Agency)",DataSimple!Y2:Y1000,"Middle East/Africa")+COUNTIFS(DataSimple!J2:J1000,"&gt;=8/1/2018",DataSimple!J2:J1000,"&lt;=8/31/2018",DataSimple!M2:M1000,"Page (Agency)",DataSimple!Y2:Y1000,"Middle East/Africa")</f>
        <v>0</v>
      </c>
      <c r="K5">
        <f>COUNTIFS(DataSimple!J2:J1000,"&gt;=9/1/2017",DataSimple!J2:J1000,"&lt;=9/30/2017",DataSimple!M2:M1000,"Page (Agency)",DataSimple!Y2:Y1000,"Middle East/Africa")+COUNTIFS(DataSimple!J2:J1000,"&gt;=9/1/2018",DataSimple!J2:J1000,"&lt;=9/30/2018",DataSimple!M2:M1000,"Page (Agency)",DataSimple!Y2:Y1000,"Middle East/Africa")</f>
        <v>0</v>
      </c>
      <c r="L5">
        <f>COUNTIFS(DataSimple!J2:J1000,"&gt;=10/1/2017",DataSimple!J2:J1000,"&lt;=10/31/2017",DataSimple!M2:M1000,"Page (Agency)",DataSimple!Y2:Y1000,"Middle East/Africa")+COUNTIFS(DataSimple!J2:J1000,"&gt;=10/1/2018",DataSimple!J2:J1000,"&lt;=10/31/2018",DataSimple!M2:M1000,"Page (Agency)",DataSimple!Y2:Y1000,"Middle East/Africa")</f>
        <v>0</v>
      </c>
      <c r="M5">
        <f>COUNTIFS(DataSimple!J2:J1000,"&gt;=11/1/2017",DataSimple!J2:J1000,"&lt;=11/30/2017",DataSimple!M2:M1000,"Page (Agency)",DataSimple!Y2:Y1000,"Middle East/Africa")+COUNTIFS(DataSimple!J2:J1000,"&gt;=11/1/2018",DataSimple!J2:J1000,"&lt;=11/30/2018",DataSimple!M2:M1000,"Page (Agency)",DataSimple!Y2:Y1000,"Middle East/Africa")</f>
        <v>0</v>
      </c>
      <c r="N5">
        <f>COUNTIFS(DataSimple!J2:J1000,"&gt;=12/1/2017",DataSimple!J2:J1000,"&lt;=12/31/2017",DataSimple!M2:M1000,"Page (Agency)",DataSimple!Y2:Y1000,"Middle East/Africa")+COUNTIFS(DataSimple!J2:J1000,"&gt;=12/1/2018",DataSimple!J2:J1000,"&lt;=12/31/2018",DataSimple!M2:M1000,"Page (Agency)",DataSimple!Y2:Y1000,"Middle East/Africa")</f>
        <v>0</v>
      </c>
      <c r="O5" s="22">
        <f t="shared" si="0"/>
        <v>2</v>
      </c>
      <c r="Q5">
        <v>1890</v>
      </c>
      <c r="R5" s="1">
        <f t="shared" si="1"/>
        <v>2835</v>
      </c>
    </row>
    <row r="6" spans="1:18" x14ac:dyDescent="0.5">
      <c r="A6" t="s">
        <v>8560</v>
      </c>
      <c r="B6">
        <f>COUNTIFS(DataSimple!J2:J1000,"&gt;=1/1/1980",DataSimple!J2:J1000,"&lt;=6/30/2017",DataSimple!M2:M1000,"Page (Agency)",DataSimple!Y2:Y1000,"Asia:Other")</f>
        <v>0</v>
      </c>
      <c r="C6">
        <f>COUNTIFS(DataSimple!J2:J1000,"&gt;=1/1/2018",DataSimple!J2:J1000,"&lt;=1/31/2018",DataSimple!M2:M1000,"Page (Agency)",DataSimple!Y2:Y1000,"Asia:Other")</f>
        <v>0</v>
      </c>
      <c r="D6">
        <f>COUNTIFS(DataSimple!J2:J1000,"&gt;=2/1/2018",DataSimple!J2:J1000,"&lt;=2/28/2018",DataSimple!M2:M1000,"Page (Agency)",DataSimple!Y2:Y1000,"Asia:Other")</f>
        <v>0</v>
      </c>
      <c r="E6">
        <f>COUNTIFS(DataSimple!J2:J1000,"&gt;=3/1/2018",DataSimple!J2:J1000,"&lt;=3/31/2018",DataSimple!M2:M1000,"Page (Agency)",DataSimple!Y2:Y1000,"Asia:Other")</f>
        <v>0</v>
      </c>
      <c r="F6">
        <f>COUNTIFS(DataSimple!J2:J1000,"&gt;=4/1/2018",DataSimple!J2:J1000,"&lt;=4/30/2018",DataSimple!M2:M1000,"Page (Agency)",DataSimple!Y2:Y1000,"Asia:Other")</f>
        <v>0</v>
      </c>
      <c r="G6">
        <f>COUNTIFS(DataSimple!J2:J1000,"&gt;=5/1/2018",DataSimple!J2:J1000,"&lt;=5/31/2018",DataSimple!M2:M1000,"Page (Agency)",DataSimple!Y2:Y1000,"Asia:Other")</f>
        <v>0</v>
      </c>
      <c r="H6">
        <f>COUNTIFS(DataSimple!J2:J1000,"&gt;=6/1/2018",DataSimple!J2:J1000,"&lt;=6/30/2018",DataSimple!M2:M1000,"Page (Agency)",DataSimple!Y2:Y1000,"Asia:Other")</f>
        <v>0</v>
      </c>
      <c r="I6">
        <f>COUNTIFS(DataSimple!J2:J1000,"&gt;=7/1/2017",DataSimple!J2:J1000,"&lt;=7/31/2017",DataSimple!M2:M1000,"Page (Agency)",DataSimple!Y2:Y1000,"Asia:Other")+COUNTIFS(DataSimple!J2:J1000,"&gt;=7/1/2018",DataSimple!J2:J1000,"&lt;=7/31/2018",DataSimple!M2:M1000,"Page (Agency)",DataSimple!Y2:Y1000,"Asia:Other")</f>
        <v>0</v>
      </c>
      <c r="J6">
        <f>COUNTIFS(DataSimple!J2:J1000,"&gt;=8/1/2017",DataSimple!J2:J1000,"&lt;=8/31/2017",DataSimple!M2:M1000,"Page (Agency)",DataSimple!Y2:Y1000,"Asia:Other")+COUNTIFS(DataSimple!J2:J1000,"&gt;=8/1/2018",DataSimple!J2:J1000,"&lt;=8/31/2018",DataSimple!M2:M1000,"Page (Agency)",DataSimple!Y2:Y1000,"Asia:Other")</f>
        <v>0</v>
      </c>
      <c r="K6">
        <f>COUNTIFS(DataSimple!J2:J1000,"&gt;=9/1/2017",DataSimple!J2:J1000,"&lt;=9/30/2017",DataSimple!M2:M1000,"Page (Agency)",DataSimple!Y2:Y1000,"Asia:Other")+COUNTIFS(DataSimple!J2:J1000,"&gt;=9/1/2018",DataSimple!J2:J1000,"&lt;=9/30/2018",DataSimple!M2:M1000,"Page (Agency)",DataSimple!Y2:Y1000,"Asia:Other")</f>
        <v>0</v>
      </c>
      <c r="L6">
        <f>COUNTIFS(DataSimple!J2:J1000,"&gt;=10/1/2017",DataSimple!J2:J1000,"&lt;=10/31/2017",DataSimple!M2:M1000,"Page (Agency)",DataSimple!Y2:Y1000,"Asia:Other")+COUNTIFS(DataSimple!J2:J1000,"&gt;=10/1/2018",DataSimple!J2:J1000,"&lt;=10/31/2018",DataSimple!M2:M1000,"Page (Agency)",DataSimple!Y2:Y1000,"Asia:Other")</f>
        <v>0</v>
      </c>
      <c r="M6">
        <f>COUNTIFS(DataSimple!J2:J1000,"&gt;=11/1/2017",DataSimple!J2:J1000,"&lt;=11/30/2017",DataSimple!M2:M1000,"Page (Agency)",DataSimple!Y2:Y1000,"Asia:Other")+COUNTIFS(DataSimple!J2:J1000,"&gt;=11/1/2018",DataSimple!J2:J1000,"&lt;=11/30/2018",DataSimple!M2:M1000,"Page (Agency)",DataSimple!Y2:Y1000,"Asia:Other")</f>
        <v>0</v>
      </c>
      <c r="N6">
        <f>COUNTIFS(DataSimple!J2:J1000,"&gt;=12/1/2017",DataSimple!J2:J1000,"&lt;=12/31/2017",DataSimple!M2:M1000,"Page (Agency)",DataSimple!Y2:Y1000,"Asia:Other")+COUNTIFS(DataSimple!J2:J1000,"&gt;=12/1/2018",DataSimple!J2:J1000,"&lt;=12/31/2018",DataSimple!M2:M1000,"Page (Agency)",DataSimple!Y2:Y1000,"Asia:Other")</f>
        <v>0</v>
      </c>
      <c r="O6" s="22">
        <f t="shared" si="0"/>
        <v>0</v>
      </c>
      <c r="Q6">
        <v>1575</v>
      </c>
      <c r="R6" s="1">
        <f t="shared" si="1"/>
        <v>0</v>
      </c>
    </row>
    <row r="7" spans="1:18" x14ac:dyDescent="0.5">
      <c r="A7" t="s">
        <v>4147</v>
      </c>
      <c r="B7">
        <f>COUNTIFS(DataSimple!J2:J1000,"&gt;=1/1/1980",DataSimple!J2:J1000,"&lt;=6/30/2017",DataSimple!M2:M1000,"Page (Agency)",DataSimple!Y2:Y1000,"Australia/NZ")</f>
        <v>0</v>
      </c>
      <c r="C7">
        <f>COUNTIFS(DataSimple!J2:J1000,"&gt;=1/1/2018",DataSimple!J2:J1000,"&lt;=1/31/2018",DataSimple!M2:M1000,"Page (Agency)",DataSimple!Y2:Y1000,"Australia/NZ")</f>
        <v>0</v>
      </c>
      <c r="D7">
        <f>COUNTIFS(DataSimple!J2:J1000,"&gt;=2/1/2018",DataSimple!J2:J1000,"&lt;=2/28/2018",DataSimple!M2:M1000,"Page (Agency)",DataSimple!Y2:Y1000,"Australia/NZ")</f>
        <v>0</v>
      </c>
      <c r="E7">
        <f>COUNTIFS(DataSimple!J2:J1000,"&gt;=3/1/2018",DataSimple!J2:J1000,"&lt;=3/31/2018",DataSimple!M2:M1000,"Page (Agency)",DataSimple!Y2:Y1000,"Australia/NZ")</f>
        <v>0</v>
      </c>
      <c r="F7">
        <f>COUNTIFS(DataSimple!J2:J1000,"&gt;=4/1/2018",DataSimple!J2:J1000,"&lt;=4/30/2018",DataSimple!M2:M1000,"Page (Agency)",DataSimple!Y2:Y1000,"Australia/NZ")</f>
        <v>0</v>
      </c>
      <c r="G7">
        <f>COUNTIFS(DataSimple!J2:J1000,"&gt;=5/1/2018",DataSimple!J2:J1000,"&lt;=5/31/2018",DataSimple!M2:M1000,"Page (Agency)",DataSimple!Y2:Y1000,"Australia/NZ")</f>
        <v>0</v>
      </c>
      <c r="H7">
        <f>COUNTIFS(DataSimple!J2:J1000,"&gt;=6/1/2018",DataSimple!J2:J1000,"&lt;=6/30/2018",DataSimple!M2:M1000,"Page (Agency)",DataSimple!Y2:Y1000,"Australia/NZ")</f>
        <v>0</v>
      </c>
      <c r="I7">
        <f>COUNTIFS(DataSimple!J2:J1000,"&gt;=7/1/2017",DataSimple!J2:J1000,"&lt;=7/31/2017",DataSimple!M2:M1000,"Page (Agency)",DataSimple!Y2:Y1000,"Australia/NZ")+COUNTIFS(DataSimple!J2:J1000,"&gt;=7/1/2018",DataSimple!J2:J1000,"&lt;=7/31/2018",DataSimple!M2:M1000,"Page (Agency)",DataSimple!Y2:Y1000,"Australia/NZ")</f>
        <v>0</v>
      </c>
      <c r="J7">
        <f>COUNTIFS(DataSimple!J2:J1000,"&gt;=8/1/2017",DataSimple!J2:J1000,"&lt;=8/31/2017",DataSimple!M2:M1000,"Page (Agency)",DataSimple!Y2:Y1000,"Australia/NZ")+COUNTIFS(DataSimple!J2:J1000,"&gt;=8/1/2018",DataSimple!J2:J1000,"&lt;=8/31/2018",DataSimple!M2:M1000,"Page (Agency)",DataSimple!Y2:Y1000,"Australia/NZ")</f>
        <v>0</v>
      </c>
      <c r="K7">
        <f>COUNTIFS(DataSimple!J2:J1000,"&gt;=9/1/2017",DataSimple!J2:J1000,"&lt;=9/30/2017",DataSimple!M2:M1000,"Page (Agency)",DataSimple!Y2:Y1000,"Australia/NZ")+COUNTIFS(DataSimple!J2:J1000,"&gt;=9/1/2018",DataSimple!J2:J1000,"&lt;=9/30/2018",DataSimple!M2:M1000,"Page (Agency)",DataSimple!Y2:Y1000,"Australia/NZ")</f>
        <v>0</v>
      </c>
      <c r="L7">
        <f>COUNTIFS(DataSimple!J2:J1000,"&gt;=10/1/2017",DataSimple!J2:J1000,"&lt;=10/31/2017",DataSimple!M2:M1000,"Page (Agency)",DataSimple!Y2:Y1000,"Australia/NZ")+COUNTIFS(DataSimple!J2:J1000,"&gt;=10/1/2018",DataSimple!J2:J1000,"&lt;=10/31/2018",DataSimple!M2:M1000,"Page (Agency)",DataSimple!Y2:Y1000,"Australia/NZ")</f>
        <v>0</v>
      </c>
      <c r="M7">
        <f>COUNTIFS(DataSimple!J2:J1000,"&gt;=11/1/2017",DataSimple!J2:J1000,"&lt;=11/30/2017",DataSimple!M2:M1000,"Page (Agency)",DataSimple!Y2:Y1000,"Australia/NZ")+COUNTIFS(DataSimple!J2:J1000,"&gt;=11/1/2018",DataSimple!J2:J1000,"&lt;=11/30/2018",DataSimple!M2:M1000,"Page (Agency)",DataSimple!Y2:Y1000,"Australia/NZ")</f>
        <v>0</v>
      </c>
      <c r="N7">
        <f>COUNTIFS(DataSimple!J2:J1000,"&gt;=12/1/2017",DataSimple!J2:J1000,"&lt;=12/31/2017",DataSimple!M2:M1000,"Page (Agency)",DataSimple!Y2:Y1000,"Australia/NZ")+COUNTIFS(DataSimple!J2:J1000,"&gt;=12/1/2018",DataSimple!J2:J1000,"&lt;=12/31/2018",DataSimple!M2:M1000,"Page (Agency)",DataSimple!Y2:Y1000,"Australia/NZ")</f>
        <v>0</v>
      </c>
      <c r="O7" s="22">
        <f>SUM(B7:N7)</f>
        <v>0</v>
      </c>
      <c r="Q7">
        <v>1890</v>
      </c>
      <c r="R7" s="1">
        <f t="shared" si="1"/>
        <v>0</v>
      </c>
    </row>
    <row r="8" spans="1:18" x14ac:dyDescent="0.5">
      <c r="A8" t="s">
        <v>2512</v>
      </c>
      <c r="B8">
        <f>COUNTIFS(DataSimple!J2:J1000,"&gt;=1/1/1980",DataSimple!J2:J1000,"&lt;=6/30/2017",DataSimple!M2:M1000,"Page (Agency)",DataSimple!Y2:Y1000,"Asia:India")</f>
        <v>1</v>
      </c>
      <c r="C8">
        <f>COUNTIFS(DataSimple!J2:J1000,"&gt;=1/1/2018",DataSimple!J2:J1000,"&lt;=1/31/2018",DataSimple!M2:M1000,"Page (Agency)",DataSimple!Y2:Y1000,"Asia:India")</f>
        <v>0</v>
      </c>
      <c r="D8">
        <f>COUNTIFS(DataSimple!J2:J1000,"&gt;=2/1/2018",DataSimple!J2:J1000,"&lt;=2/28/2018",DataSimple!M2:M1000,"Page (Agency)",DataSimple!Y2:Y1000,"Asia:India")</f>
        <v>0</v>
      </c>
      <c r="E8">
        <f>COUNTIFS(DataSimple!J2:J1000,"&gt;=3/1/2018",DataSimple!J2:J1000,"&lt;=3/31/2018",DataSimple!M2:M1000,"Page (Agency)",DataSimple!Y2:Y1000,"Asia:India")</f>
        <v>0</v>
      </c>
      <c r="F8">
        <f>COUNTIFS(DataSimple!J2:J1000,"&gt;=4/1/2018",DataSimple!J2:J1000,"&lt;=4/30/2018",DataSimple!M2:M1000,"Page (Agency)",DataSimple!Y2:Y1000,"Asia:India")</f>
        <v>0</v>
      </c>
      <c r="G8">
        <f>COUNTIFS(DataSimple!J2:J1000,"&gt;=5/1/2018",DataSimple!J2:J1000,"&lt;=5/31/2018",DataSimple!M2:M1000,"Page (Agency)",DataSimple!Y2:Y1000,"Asia:India")</f>
        <v>0</v>
      </c>
      <c r="H8">
        <f>COUNTIFS(DataSimple!J2:J1000,"&gt;=6/1/2018",DataSimple!J2:J1000,"&lt;=6/30/2018",DataSimple!M2:M1000,"Page (Agency)",DataSimple!Y2:Y1000,"Asia:India")</f>
        <v>0</v>
      </c>
      <c r="I8">
        <f>COUNTIFS(DataSimple!J2:J1000,"&gt;=7/1/2017",DataSimple!J2:J1000,"&lt;=7/31/2017",DataSimple!M2:M1000,"Page (Agency)",DataSimple!Y2:Y1000,"Asia:India")+COUNTIFS(DataSimple!J2:J1000,"&gt;=7/1/2018",DataSimple!J2:J1000,"&lt;=7/31/2018",DataSimple!M2:M1000,"Page (Agency)",DataSimple!Y2:Y1000,"Asia:India")</f>
        <v>0</v>
      </c>
      <c r="J8">
        <f>COUNTIFS(DataSimple!J2:J1000,"&gt;=8/1/2017",DataSimple!J2:J1000,"&lt;=8/31/2017",DataSimple!M2:M1000,"Page (Agency)",DataSimple!Y2:Y1000,"Asia:India")+COUNTIFS(DataSimple!J2:J1000,"&gt;=8/1/2018",DataSimple!J2:J1000,"&lt;=8/31/2018",DataSimple!M2:M1000,"Page (Agency)",DataSimple!Y2:Y1000,"Asia:India")</f>
        <v>0</v>
      </c>
      <c r="K8">
        <f>COUNTIFS(DataSimple!J2:J1000,"&gt;=9/1/2017",DataSimple!J2:J1000,"&lt;=9/30/2017",DataSimple!M2:M1000,"Page (Agency)",DataSimple!Y2:Y1000,"Asia:India")+COUNTIFS(DataSimple!J2:J1000,"&gt;=9/1/2018",DataSimple!J2:J1000,"&lt;=9/30/2018",DataSimple!M2:M1000,"Page (Agency)",DataSimple!Y2:Y1000,"Asia:India")</f>
        <v>0</v>
      </c>
      <c r="L8">
        <f>COUNTIFS(DataSimple!J2:J1000,"&gt;=10/1/2017",DataSimple!J2:J1000,"&lt;=10/31/2017",DataSimple!M2:M1000,"Page (Agency)",DataSimple!Y2:Y1000,"Asia:India")+COUNTIFS(DataSimple!J2:J1000,"&gt;=10/1/2018",DataSimple!J2:J1000,"&lt;=10/31/2018",DataSimple!M2:M1000,"Page (Agency)",DataSimple!Y2:Y1000,"Asia:India")</f>
        <v>0</v>
      </c>
      <c r="M8">
        <f>COUNTIFS(DataSimple!J2:J1000,"&gt;=11/1/2017",DataSimple!J2:J1000,"&lt;=11/30/2017",DataSimple!M2:M1000,"Page (Agency)",DataSimple!Y2:Y1000,"Asia:India")+COUNTIFS(DataSimple!J2:J1000,"&gt;=11/1/2018",DataSimple!J2:J1000,"&lt;=11/30/2018",DataSimple!M2:M1000,"Page (Agency)",DataSimple!Y2:Y1000,"Asia:India")</f>
        <v>0</v>
      </c>
      <c r="N8">
        <f>COUNTIFS(DataSimple!J2:J1000,"&gt;=12/1/2017",DataSimple!J2:J1000,"&lt;=12/31/2017",DataSimple!M2:M1000,"Page (Agency)",DataSimple!Y2:Y1000,"Asia:India")+COUNTIFS(DataSimple!J2:J1000,"&gt;=12/1/2018",DataSimple!J2:J1000,"&lt;=12/31/2018",DataSimple!M2:M1000,"Page (Agency)",DataSimple!Y2:Y1000,"Asia:India")</f>
        <v>0</v>
      </c>
      <c r="O8" s="22">
        <f t="shared" si="0"/>
        <v>1</v>
      </c>
      <c r="Q8">
        <v>1315</v>
      </c>
      <c r="R8" s="1">
        <f t="shared" si="1"/>
        <v>1315</v>
      </c>
    </row>
    <row r="9" spans="1:18" x14ac:dyDescent="0.5">
      <c r="A9" t="s">
        <v>8561</v>
      </c>
      <c r="B9">
        <f>COUNTIFS(DataSimple!J2:J1000,"&gt;=1/1/1980",DataSimple!J2:J1000,"&lt;=6/30/2017",DataSimple!M2:M1000,"Page (Agency)",DataSimple!Y2:Y1000,"Latin America")</f>
        <v>0</v>
      </c>
      <c r="C9">
        <f>COUNTIFS(DataSimple!J2:J1000,"&gt;=1/1/2018",DataSimple!J2:J1000,"&lt;=1/31/2018",DataSimple!M2:M1000,"Page (Agency)",DataSimple!Y2:Y1000,"Latin America")</f>
        <v>0</v>
      </c>
      <c r="D9">
        <f>COUNTIFS(DataSimple!J2:J1000,"&gt;=2/1/2018",DataSimple!J2:J1000,"&lt;=2/28/2018",DataSimple!M2:M1000,"Page (Agency)",DataSimple!Y2:Y1000,"Latin America")</f>
        <v>0</v>
      </c>
      <c r="E9">
        <f>COUNTIFS(DataSimple!J2:J1000,"&gt;=3/1/2018",DataSimple!J2:J1000,"&lt;=3/31/2018",DataSimple!M2:M1000,"Page (Agency)",DataSimple!Y2:Y1000,"Latin America")</f>
        <v>0</v>
      </c>
      <c r="F9">
        <f>COUNTIFS(DataSimple!J2:J1000,"&gt;=4/1/2018",DataSimple!J2:J1000,"&lt;=4/30/2018",DataSimple!M2:M1000,"Page (Agency)",DataSimple!Y2:Y1000,"Latin America")</f>
        <v>0</v>
      </c>
      <c r="G9">
        <f>COUNTIFS(DataSimple!J2:J1000,"&gt;=5/1/2018",DataSimple!J2:J1000,"&lt;=5/31/2018",DataSimple!M2:M1000,"Page (Agency)",DataSimple!Y2:Y1000,"Latin America")</f>
        <v>0</v>
      </c>
      <c r="H9">
        <f>COUNTIFS(DataSimple!J2:J1000,"&gt;=6/1/2018",DataSimple!J2:J1000,"&lt;=6/30/2018",DataSimple!M2:M1000,"Page (Agency)",DataSimple!Y2:Y1000,"Latin America")</f>
        <v>0</v>
      </c>
      <c r="I9">
        <f>COUNTIFS(DataSimple!J2:J1000,"&gt;=7/1/2017",DataSimple!J2:J1000,"&lt;=7/31/2017",DataSimple!M2:M1000,"Page (Agency)",DataSimple!Y2:Y1000,"Latin America")+COUNTIFS(DataSimple!J2:J1000,"&gt;=7/1/2018",DataSimple!J2:J1000,"&lt;=7/31/2018",DataSimple!M2:M1000,"Page (Agency)",DataSimple!Y2:Y1000,"Latin America")</f>
        <v>0</v>
      </c>
      <c r="J9">
        <f>COUNTIFS(DataSimple!J2:J1000,"&gt;=8/1/2017",DataSimple!J2:J1000,"&lt;=8/31/2017",DataSimple!M2:M1000,"Page (Agency)",DataSimple!Y2:Y1000,"Latin America")+COUNTIFS(DataSimple!J2:J1000,"&gt;=8/1/2018",DataSimple!J2:J1000,"&lt;=8/31/2018",DataSimple!M2:M1000,"Page (Agency)",DataSimple!Y2:Y1000,"Latin America")</f>
        <v>0</v>
      </c>
      <c r="K9">
        <f>COUNTIFS(DataSimple!J2:J1000,"&gt;=9/1/2017",DataSimple!J2:J1000,"&lt;=9/30/2017",DataSimple!M2:M1000,"Page (Agency)",DataSimple!Y2:Y1000,"Latin America")+COUNTIFS(DataSimple!J2:J1000,"&gt;=9/1/2018",DataSimple!J2:J1000,"&lt;=9/30/2018",DataSimple!M2:M1000,"Page (Agency)",DataSimple!Y2:Y1000,"Latin America")</f>
        <v>0</v>
      </c>
      <c r="L9">
        <f>COUNTIFS(DataSimple!J2:J1000,"&gt;=10/1/2017",DataSimple!J2:J1000,"&lt;=10/31/2017",DataSimple!M2:M1000,"Page (Agency)",DataSimple!Y2:Y1000,"Latin America")+COUNTIFS(DataSimple!J2:J1000,"&gt;=10/1/2018",DataSimple!J2:J1000,"&lt;=10/31/2018",DataSimple!M2:M1000,"Page (Agency)",DataSimple!Y2:Y1000,"Latin America")</f>
        <v>0</v>
      </c>
      <c r="M9">
        <f>COUNTIFS(DataSimple!J2:J1000,"&gt;=11/1/2017",DataSimple!J2:J1000,"&lt;=11/30/2017",DataSimple!M2:M1000,"Page (Agency)",DataSimple!Y2:Y1000,"Latin America")+COUNTIFS(DataSimple!J2:J1000,"&gt;=11/1/2018",DataSimple!J2:J1000,"&lt;=11/30/2018",DataSimple!M2:M1000,"Page (Agency)",DataSimple!Y2:Y1000,"Latin America")</f>
        <v>0</v>
      </c>
      <c r="N9">
        <f>COUNTIFS(DataSimple!J2:J1000,"&gt;=12/1/2017",DataSimple!J2:J1000,"&lt;=12/31/2017",DataSimple!M2:M1000,"Page (Agency)",DataSimple!Y2:Y1000,"Latin America")+COUNTIFS(DataSimple!J2:J1000,"&gt;=12/1/2018",DataSimple!J2:J1000,"&lt;=12/31/2018",DataSimple!M2:M1000,"Page (Agency)",DataSimple!Y2:Y1000,"Latin America")</f>
        <v>0</v>
      </c>
      <c r="O9" s="22">
        <f t="shared" si="0"/>
        <v>0</v>
      </c>
      <c r="Q9">
        <v>1785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88</v>
      </c>
      <c r="C11" s="4">
        <f>SUM(C2:C9)</f>
        <v>0</v>
      </c>
      <c r="D11" s="4">
        <f t="shared" ref="D11:N11" si="2">SUM(D2:D9)</f>
        <v>1</v>
      </c>
      <c r="E11" s="4">
        <f t="shared" si="2"/>
        <v>0</v>
      </c>
      <c r="F11" s="4">
        <f t="shared" si="2"/>
        <v>5</v>
      </c>
      <c r="G11" s="4">
        <f t="shared" si="2"/>
        <v>0</v>
      </c>
      <c r="H11" s="4">
        <f t="shared" si="2"/>
        <v>0</v>
      </c>
      <c r="I11" s="4">
        <f t="shared" si="2"/>
        <v>6</v>
      </c>
      <c r="J11" s="4">
        <f t="shared" si="2"/>
        <v>6</v>
      </c>
      <c r="K11" s="4">
        <f t="shared" si="2"/>
        <v>3</v>
      </c>
      <c r="L11" s="4">
        <f t="shared" si="2"/>
        <v>0</v>
      </c>
      <c r="M11" s="4">
        <f t="shared" si="2"/>
        <v>0</v>
      </c>
      <c r="N11" s="4">
        <f t="shared" si="2"/>
        <v>1</v>
      </c>
      <c r="O11" s="22">
        <f>SUM(B11:N11)</f>
        <v>110</v>
      </c>
      <c r="R11" s="26">
        <f>SUM(R2:R9)</f>
        <v>255197.08333333334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9D89-52AF-4318-B4C5-5AEBA9515D48}">
  <dimension ref="A1:R11"/>
  <sheetViews>
    <sheetView workbookViewId="0">
      <selection sqref="A1:R11"/>
    </sheetView>
  </sheetViews>
  <sheetFormatPr defaultRowHeight="14.35" x14ac:dyDescent="0.5"/>
  <sheetData>
    <row r="1" spans="1:18" x14ac:dyDescent="0.5">
      <c r="A1" s="3" t="s">
        <v>91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(Educator)",DataSimple!Y2:Y1000,"United States")</f>
        <v>36</v>
      </c>
      <c r="C2">
        <f>COUNTIFS(DataSimple!J2:J1000,"&gt;=1/1/2018",DataSimple!J2:J1000,"&lt;=1/31/2018",DataSimple!M2:M1000,"Page (Educator)",DataSimple!Y2:Y1000,"United States")</f>
        <v>0</v>
      </c>
      <c r="D2">
        <f>COUNTIFS(DataSimple!J2:J1000,"&gt;=2/1/2018",DataSimple!J2:J1000,"&lt;=2/28/2018",DataSimple!M2:M1000,"Page (Educator)",DataSimple!Y2:Y1000,"United States")</f>
        <v>0</v>
      </c>
      <c r="E2">
        <f>COUNTIFS(DataSimple!J2:J1000,"&gt;=3/1/2018",DataSimple!J2:J1000,"&lt;=3/31/2018",DataSimple!M2:M1000,"Page (Educator)",DataSimple!Y2:Y1000,"United States")</f>
        <v>1</v>
      </c>
      <c r="F2">
        <f>COUNTIFS(DataSimple!J2:J1000,"&gt;=4/1/2018",DataSimple!J2:J1000,"&lt;=4/30/2018",DataSimple!M2:M1000,"Page (Educator)",DataSimple!Y2:Y1000,"United States")</f>
        <v>2</v>
      </c>
      <c r="G2">
        <f>COUNTIFS(DataSimple!J2:J1000,"&gt;=5/1/2018",DataSimple!J2:J1000,"&lt;=5/31/2018",DataSimple!M2:M1000,"Page (Educator)",DataSimple!Y2:Y1000,"United States")</f>
        <v>0</v>
      </c>
      <c r="H2">
        <f>COUNTIFS(DataSimple!J2:J1000,"&gt;=6/1/2018",DataSimple!J2:J1000,"&lt;=6/30/2018",DataSimple!M2:M1000,"Page (Educator)",DataSimple!Y2:Y1000,"United States")</f>
        <v>0</v>
      </c>
      <c r="I2">
        <f>COUNTIFS(DataSimple!J2:J1000,"&gt;=7/1/2017",DataSimple!J2:J1000,"&lt;=7/31/2017",DataSimple!M2:M1000,"Page (Educator)",DataSimple!Y2:Y1000,"United States")+COUNTIFS(DataSimple!J2:J1000,"&gt;=7/1/2018",DataSimple!J2:J1000,"&lt;=7/31/2018",DataSimple!M2:M1000,"Page (Educator)",DataSimple!Y2:Y1000,"United States")</f>
        <v>2</v>
      </c>
      <c r="J2">
        <f>COUNTIFS(DataSimple!J2:J1000,"&gt;=8/1/2017",DataSimple!J2:J1000,"&lt;=8/31/2017",DataSimple!M2:M1000,"Page (Educator)",DataSimple!Y2:Y1000,"United States")+COUNTIFS(DataSimple!J2:J1000,"&gt;=8/1/2018",DataSimple!J2:J1000,"&lt;=8/31/2018",DataSimple!M2:M1000,"Page (Educator)",DataSimple!Y2:Y1000,"United States")</f>
        <v>2</v>
      </c>
      <c r="K2">
        <f>COUNTIFS(DataSimple!J2:J1000,"&gt;=9/1/2017",DataSimple!J2:J1000,"&lt;=9/30/2017",DataSimple!M2:M1000,"Page (Educator)",DataSimple!Y2:Y1000,"United States")+COUNTIFS(DataSimple!J2:J1000,"&gt;=9/1/2018",DataSimple!J2:J1000,"&lt;=9/30/2018",DataSimple!M2:M1000,"Page (Educator)",DataSimple!Y2:Y1000,"United States")</f>
        <v>2</v>
      </c>
      <c r="L2">
        <f>COUNTIFS(DataSimple!J2:J1000,"&gt;=10/1/2017",DataSimple!J2:J1000,"&lt;=10/31/2017",DataSimple!M2:M1000,"Page (Educator)",DataSimple!Y2:Y1000,"United States")+COUNTIFS(DataSimple!J2:J1000,"&gt;=10/1/2018",DataSimple!J2:J1000,"&lt;=10/31/2018",DataSimple!M2:M1000,"Page (Educator)",DataSimple!Y2:Y1000,"United States")</f>
        <v>0</v>
      </c>
      <c r="M2">
        <f>COUNTIFS(DataSimple!J2:J1000,"&gt;=11/1/2017",DataSimple!J2:J1000,"&lt;=11/30/2017",DataSimple!M2:M1000,"Page (Educator)",DataSimple!Y2:Y1000,"United States")+COUNTIFS(DataSimple!J2:J1000,"&gt;=11/1/2018",DataSimple!J2:J1000,"&lt;=11/30/2018",DataSimple!M2:M1000,"Page (Educator)",DataSimple!Y2:Y1000,"United States")</f>
        <v>0</v>
      </c>
      <c r="N2">
        <f>COUNTIFS(DataSimple!J2:J1000,"&gt;=12/1/2017",DataSimple!J2:J1000,"&lt;=12/31/2017",DataSimple!M2:M1000,"Page (Educator)",DataSimple!Y2:Y1000,"United States")+COUNTIFS(DataSimple!J2:J1000,"&gt;=12/1/2018",DataSimple!J2:J1000,"&lt;=12/31/2018",DataSimple!M2:M1000,"Page (Educator)",DataSimple!Y2:Y1000,"United States")</f>
        <v>2</v>
      </c>
      <c r="O2" s="22">
        <f t="shared" ref="O2:O9" si="0">SUM(B2:N2)</f>
        <v>47</v>
      </c>
      <c r="Q2">
        <v>625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25625</v>
      </c>
    </row>
    <row r="3" spans="1:18" x14ac:dyDescent="0.5">
      <c r="A3" t="s">
        <v>1633</v>
      </c>
      <c r="B3">
        <f>COUNTIFS(DataSimple!J2:J1000,"&gt;=1/1/1980",DataSimple!J2:J1000,"&lt;=6/30/2017",DataSimple!M2:M1000,"Page (Educator)",DataSimple!Y2:Y1000,"Canada")</f>
        <v>2</v>
      </c>
      <c r="C3">
        <f>COUNTIFS(DataSimple!J2:J1000,"&gt;=1/1/2018",DataSimple!J2:J1000,"&lt;=1/31/2018",DataSimple!M2:M1000,"Page (Educator)",DataSimple!Y2:Y1000,"Canada")</f>
        <v>0</v>
      </c>
      <c r="D3">
        <f>COUNTIFS(DataSimple!J2:J1000,"&gt;=2/1/2018",DataSimple!J2:J1000,"&lt;=2/28/2018",DataSimple!M2:M1000,"Page (Educator)",DataSimple!Y2:Y1000,"Canada")</f>
        <v>0</v>
      </c>
      <c r="E3">
        <f>COUNTIFS(DataSimple!J2:J1000,"&gt;=3/1/2018",DataSimple!J2:J1000,"&lt;=3/31/2018",DataSimple!M2:M1000,"Page (Educator)",DataSimple!Y2:Y1000,"Canada")</f>
        <v>0</v>
      </c>
      <c r="F3">
        <f>COUNTIFS(DataSimple!J2:J1000,"&gt;=4/1/2018",DataSimple!J2:J1000,"&lt;=4/30/2018",DataSimple!M2:M1000,"Page (Educator)",DataSimple!Y2:Y1000,"Canada")</f>
        <v>0</v>
      </c>
      <c r="G3">
        <f>COUNTIFS(DataSimple!J2:J1000,"&gt;=5/1/2018",DataSimple!J2:J1000,"&lt;=5/31/2018",DataSimple!M2:M1000,"Page (Educator)",DataSimple!Y2:Y1000,"Canada")</f>
        <v>0</v>
      </c>
      <c r="H3">
        <f>COUNTIFS(DataSimple!J2:J1000,"&gt;=6/1/2018",DataSimple!J2:J1000,"&lt;=6/30/2018",DataSimple!M2:M1000,"Page (Educator)",DataSimple!Y2:Y1000,"Canada")</f>
        <v>0</v>
      </c>
      <c r="I3">
        <f>COUNTIFS(DataSimple!J2:J1000,"&gt;=7/1/2017",DataSimple!J2:J1000,"&lt;=7/31/2017",DataSimple!M2:M1000,"Page (Educator)",DataSimple!Y2:Y1000,"Canada")+COUNTIFS(DataSimple!J2:J1000,"&gt;=7/1/2018",DataSimple!J2:J1000,"&lt;=7/31/2018",DataSimple!M2:M1000,"Page (Educator)",DataSimple!Y2:Y1000,"Canada")</f>
        <v>0</v>
      </c>
      <c r="J3">
        <f>COUNTIFS(DataSimple!J2:J1000,"&gt;=8/1/2017",DataSimple!J2:J1000,"&lt;=8/31/2017",DataSimple!M2:M1000,"Page (Educator)",DataSimple!Y2:Y1000,"Canada")+COUNTIFS(DataSimple!J2:J1000,"&gt;=8/1/2018",DataSimple!J2:J1000,"&lt;=8/31/2018",DataSimple!M2:M1000,"Page (Educator)",DataSimple!Y2:Y1000,"Canada")</f>
        <v>0</v>
      </c>
      <c r="K3">
        <f>COUNTIFS(DataSimple!J2:J1000,"&gt;=9/1/2017",DataSimple!J2:J1000,"&lt;=9/30/2017",DataSimple!M2:M1000,"Page (Educator)",DataSimple!Y2:Y1000,"Canada")+COUNTIFS(DataSimple!J2:J1000,"&gt;=9/1/2018",DataSimple!J2:J1000,"&lt;=9/30/2018",DataSimple!M2:M1000,"Page (Educator)",DataSimple!Y2:Y1000,"Canada")</f>
        <v>0</v>
      </c>
      <c r="L3">
        <f>COUNTIFS(DataSimple!J2:J1000,"&gt;=10/1/2017",DataSimple!J2:J1000,"&lt;=10/31/2017",DataSimple!M2:M1000,"Page (Educator)",DataSimple!Y2:Y1000,"Canada")+COUNTIFS(DataSimple!J2:J1000,"&gt;=10/1/2018",DataSimple!J2:J1000,"&lt;=10/31/2018",DataSimple!M2:M1000,"Page (Educator)",DataSimple!Y2:Y1000,"Canada")</f>
        <v>0</v>
      </c>
      <c r="M3">
        <f>COUNTIFS(DataSimple!J2:J1000,"&gt;=11/1/2017",DataSimple!J2:J1000,"&lt;=11/30/2017",DataSimple!M2:M1000,"Page (Educator)",DataSimple!Y2:Y1000,"Canada")+COUNTIFS(DataSimple!J2:J1000,"&gt;=11/1/2018",DataSimple!J2:J1000,"&lt;=11/30/2018",DataSimple!M2:M1000,"Page (Educator)",DataSimple!Y2:Y1000,"Canada")</f>
        <v>0</v>
      </c>
      <c r="N3">
        <f>COUNTIFS(DataSimple!J2:J1000,"&gt;=12/1/2017",DataSimple!J2:J1000,"&lt;=12/31/2017",DataSimple!M2:M1000,"Page (Educator)",DataSimple!Y2:Y1000,"Canada")+COUNTIFS(DataSimple!J2:J1000,"&gt;=12/1/2018",DataSimple!J2:J1000,"&lt;=12/31/2018",DataSimple!M2:M1000,"Page (Educator)",DataSimple!Y2:Y1000,"Canada")</f>
        <v>0</v>
      </c>
      <c r="O3" s="22">
        <f t="shared" si="0"/>
        <v>2</v>
      </c>
      <c r="Q3">
        <v>625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1250</v>
      </c>
    </row>
    <row r="4" spans="1:18" x14ac:dyDescent="0.5">
      <c r="A4" t="s">
        <v>744</v>
      </c>
      <c r="B4">
        <f>COUNTIFS(DataSimple!J2:J1000,"&gt;=1/1/1980",DataSimple!J2:J1000,"&lt;=6/30/2017",DataSimple!M2:M1000,"Page (Educator)",DataSimple!Y2:Y1000,"Europe")</f>
        <v>8</v>
      </c>
      <c r="C4">
        <f>COUNTIFS(DataSimple!J2:J1000,"&gt;=1/1/2018",DataSimple!J2:J1000,"&lt;=1/31/2018",DataSimple!M2:M1000,"Page (Educator)",DataSimple!Y2:Y1000,"Europe")</f>
        <v>0</v>
      </c>
      <c r="D4">
        <f>COUNTIFS(DataSimple!J2:J1000,"&gt;=2/1/2018",DataSimple!J2:J1000,"&lt;=2/28/2018",DataSimple!M2:M1000,"Page (Educator)",DataSimple!Y2:Y1000,"Europe")</f>
        <v>0</v>
      </c>
      <c r="E4">
        <f>COUNTIFS(DataSimple!J2:J1000,"&gt;=3/1/2018",DataSimple!J2:J1000,"&lt;=3/31/2018",DataSimple!M2:M1000,"Page (Educator)",DataSimple!Y2:Y1000,"Europe")</f>
        <v>0</v>
      </c>
      <c r="F4">
        <f>COUNTIFS(DataSimple!J2:J1000,"&gt;=4/1/2018",DataSimple!J2:J1000,"&lt;=4/30/2018",DataSimple!M2:M1000,"Page (Educator)",DataSimple!Y2:Y1000,"Europe")</f>
        <v>1</v>
      </c>
      <c r="G4">
        <f>COUNTIFS(DataSimple!J2:J1000,"&gt;=5/1/2018",DataSimple!J2:J1000,"&lt;=5/31/2018",DataSimple!M2:M1000,"Page (Educator)",DataSimple!Y2:Y1000,"Europe")</f>
        <v>0</v>
      </c>
      <c r="H4">
        <f>COUNTIFS(DataSimple!J2:J1000,"&gt;=6/1/2018",DataSimple!J2:J1000,"&lt;=6/30/2018",DataSimple!M2:M1000,"Page (Educator)",DataSimple!Y2:Y1000,"Europe")</f>
        <v>0</v>
      </c>
      <c r="I4">
        <f>COUNTIFS(DataSimple!J2:J1000,"&gt;=7/1/2017",DataSimple!J2:J1000,"&lt;=7/31/2017",DataSimple!M2:M1000,"Page (Educator)",DataSimple!Y2:Y1000,"Europe")+COUNTIFS(DataSimple!J2:J1000,"&gt;=7/1/2018",DataSimple!J2:J1000,"&lt;=7/31/2018",DataSimple!M2:M1000,"Page (Educator)",DataSimple!Y2:Y1000,"Europe")</f>
        <v>0</v>
      </c>
      <c r="J4">
        <f>COUNTIFS(DataSimple!J2:J1000,"&gt;=8/1/2017",DataSimple!J2:J1000,"&lt;=8/31/2017",DataSimple!M2:M1000,"Page (Educator)",DataSimple!Y2:Y1000,"Europe")+COUNTIFS(DataSimple!J2:J1000,"&gt;=8/1/2018",DataSimple!J2:J1000,"&lt;=8/31/2018",DataSimple!M2:M1000,"Page (Educator)",DataSimple!Y2:Y1000,"Europe")</f>
        <v>0</v>
      </c>
      <c r="K4">
        <f>COUNTIFS(DataSimple!J2:J1000,"&gt;=9/1/2017",DataSimple!J2:J1000,"&lt;=9/30/2017",DataSimple!M2:M1000,"Page (Educator)",DataSimple!Y2:Y1000,"Europe")+COUNTIFS(DataSimple!J2:J1000,"&gt;=9/1/2018",DataSimple!J2:J1000,"&lt;=9/30/2018",DataSimple!M2:M1000,"Page (Educator)",DataSimple!Y2:Y1000,"Europe")</f>
        <v>0</v>
      </c>
      <c r="L4">
        <f>COUNTIFS(DataSimple!J2:J1000,"&gt;=10/1/2017",DataSimple!J2:J1000,"&lt;=10/31/2017",DataSimple!M2:M1000,"Page (Educator)",DataSimple!Y2:Y1000,"Europe")+COUNTIFS(DataSimple!J2:J1000,"&gt;=10/1/2018",DataSimple!J2:J1000,"&lt;=10/31/2018",DataSimple!M2:M1000,"Page (Educator)",DataSimple!Y2:Y1000,"Europe")</f>
        <v>0</v>
      </c>
      <c r="M4">
        <f>COUNTIFS(DataSimple!J2:J1000,"&gt;=11/1/2017",DataSimple!J2:J1000,"&lt;=11/30/2017",DataSimple!M2:M1000,"Page (Educator)",DataSimple!Y2:Y1000,"Europe")+COUNTIFS(DataSimple!J2:J1000,"&gt;=11/1/2018",DataSimple!J2:J1000,"&lt;=11/30/2018",DataSimple!M2:M1000,"Page (Educator)",DataSimple!Y2:Y1000,"Europe")</f>
        <v>0</v>
      </c>
      <c r="N4">
        <f>COUNTIFS(DataSimple!J2:J1000,"&gt;=12/1/2017",DataSimple!J2:J1000,"&lt;=12/31/2017",DataSimple!M2:M1000,"Page (Educator)",DataSimple!Y2:Y1000,"Europe")+COUNTIFS(DataSimple!J2:J1000,"&gt;=12/1/2018",DataSimple!J2:J1000,"&lt;=12/31/2018",DataSimple!M2:M1000,"Page (Educator)",DataSimple!Y2:Y1000,"Europe")</f>
        <v>0</v>
      </c>
      <c r="O4" s="22">
        <f t="shared" si="0"/>
        <v>9</v>
      </c>
      <c r="Q4">
        <v>625</v>
      </c>
      <c r="R4" s="1">
        <f t="shared" si="1"/>
        <v>5468.75</v>
      </c>
    </row>
    <row r="5" spans="1:18" x14ac:dyDescent="0.5">
      <c r="A5" t="s">
        <v>8559</v>
      </c>
      <c r="B5">
        <f>COUNTIFS(DataSimple!J2:J1000,"&gt;=1/1/1980",DataSimple!J2:J1000,"&lt;=6/30/2017",DataSimple!M2:M1000,"Page (Educator)",DataSimple!Y2:Y1000,"Middle East/Africa")</f>
        <v>0</v>
      </c>
      <c r="C5">
        <f>COUNTIFS(DataSimple!J2:J1000,"&gt;=1/1/2018",DataSimple!J2:J1000,"&lt;=1/31/2018",DataSimple!M2:M1000,"Page (Educator)",DataSimple!Y2:Y1000,"Middle East/Africa")</f>
        <v>0</v>
      </c>
      <c r="D5">
        <f>COUNTIFS(DataSimple!J2:J1000,"&gt;=2/1/2018",DataSimple!J2:J1000,"&lt;=2/28/2018",DataSimple!M2:M1000,"Page (Educator)",DataSimple!Y2:Y1000,"Middle East/Africa")</f>
        <v>0</v>
      </c>
      <c r="E5">
        <f>COUNTIFS(DataSimple!J2:J1000,"&gt;=3/1/2018",DataSimple!J2:J1000,"&lt;=3/31/2018",DataSimple!M2:M1000,"Page (Educator)",DataSimple!Y2:Y1000,"Middle East/Africa")</f>
        <v>0</v>
      </c>
      <c r="F5">
        <f>COUNTIFS(DataSimple!J2:J1000,"&gt;=4/1/2018",DataSimple!J2:J1000,"&lt;=4/30/2018",DataSimple!M2:M1000,"Page (Educator)",DataSimple!Y2:Y1000,"Middle East/Africa")</f>
        <v>0</v>
      </c>
      <c r="G5">
        <f>COUNTIFS(DataSimple!J2:J1000,"&gt;=5/1/2018",DataSimple!J2:J1000,"&lt;=5/31/2018",DataSimple!M2:M1000,"Page (Educator)",DataSimple!Y2:Y1000,"Middle East/Africa")</f>
        <v>0</v>
      </c>
      <c r="H5">
        <f>COUNTIFS(DataSimple!J2:J1000,"&gt;=6/1/2018",DataSimple!J2:J1000,"&lt;=6/30/2018",DataSimple!M2:M1000,"Page (Educator)",DataSimple!Y2:Y1000,"Middle East/Africa")</f>
        <v>0</v>
      </c>
      <c r="I5">
        <f>COUNTIFS(DataSimple!J2:J1000,"&gt;=7/1/2017",DataSimple!J2:J1000,"&lt;=7/31/2017",DataSimple!M2:M1000,"Page (Educator)",DataSimple!Y2:Y1000,"Middle East/Africa")+COUNTIFS(DataSimple!J2:J1000,"&gt;=7/1/2018",DataSimple!J2:J1000,"&lt;=7/31/2018",DataSimple!M2:M1000,"Page (Educator)",DataSimple!Y2:Y1000,"Middle East/Africa")</f>
        <v>0</v>
      </c>
      <c r="J5">
        <f>COUNTIFS(DataSimple!J2:J1000,"&gt;=8/1/2017",DataSimple!J2:J1000,"&lt;=8/31/2017",DataSimple!M2:M1000,"Page (Educator)",DataSimple!Y2:Y1000,"Middle East/Africa")+COUNTIFS(DataSimple!J2:J1000,"&gt;=8/1/2018",DataSimple!J2:J1000,"&lt;=8/31/2018",DataSimple!M2:M1000,"Page (Educator)",DataSimple!Y2:Y1000,"Middle East/Africa")</f>
        <v>0</v>
      </c>
      <c r="K5">
        <f>COUNTIFS(DataSimple!J2:J1000,"&gt;=9/1/2017",DataSimple!J2:J1000,"&lt;=9/30/2017",DataSimple!M2:M1000,"Page (Educator)",DataSimple!Y2:Y1000,"Middle East/Africa")+COUNTIFS(DataSimple!J2:J1000,"&gt;=9/1/2018",DataSimple!J2:J1000,"&lt;=9/30/2018",DataSimple!M2:M1000,"Page (Educator)",DataSimple!Y2:Y1000,"Middle East/Africa")</f>
        <v>0</v>
      </c>
      <c r="L5">
        <f>COUNTIFS(DataSimple!J2:J1000,"&gt;=10/1/2017",DataSimple!J2:J1000,"&lt;=10/31/2017",DataSimple!M2:M1000,"Page (Educator)",DataSimple!Y2:Y1000,"Middle East/Africa")+COUNTIFS(DataSimple!J2:J1000,"&gt;=10/1/2018",DataSimple!J2:J1000,"&lt;=10/31/2018",DataSimple!M2:M1000,"Page (Educator)",DataSimple!Y2:Y1000,"Middle East/Africa")</f>
        <v>0</v>
      </c>
      <c r="M5">
        <f>COUNTIFS(DataSimple!J2:J1000,"&gt;=11/1/2017",DataSimple!J2:J1000,"&lt;=11/30/2017",DataSimple!M2:M1000,"Page (Educator)",DataSimple!Y2:Y1000,"Middle East/Africa")+COUNTIFS(DataSimple!J2:J1000,"&gt;=11/1/2018",DataSimple!J2:J1000,"&lt;=11/30/2018",DataSimple!M2:M1000,"Page (Educator)",DataSimple!Y2:Y1000,"Middle East/Africa")</f>
        <v>0</v>
      </c>
      <c r="N5">
        <f>COUNTIFS(DataSimple!J2:J1000,"&gt;=12/1/2017",DataSimple!J2:J1000,"&lt;=12/31/2017",DataSimple!M2:M1000,"Page (Educator)",DataSimple!Y2:Y1000,"Middle East/Africa")+COUNTIFS(DataSimple!J2:J1000,"&gt;=12/1/2018",DataSimple!J2:J1000,"&lt;=12/31/2018",DataSimple!M2:M1000,"Page (Educator)",DataSimple!Y2:Y1000,"Middle East/Africa")</f>
        <v>0</v>
      </c>
      <c r="O5" s="22">
        <f t="shared" si="0"/>
        <v>0</v>
      </c>
      <c r="Q5">
        <v>625</v>
      </c>
      <c r="R5" s="1">
        <f t="shared" si="1"/>
        <v>0</v>
      </c>
    </row>
    <row r="6" spans="1:18" x14ac:dyDescent="0.5">
      <c r="A6" t="s">
        <v>8560</v>
      </c>
      <c r="B6">
        <f>COUNTIFS(DataSimple!J2:J1000,"&gt;=1/1/1980",DataSimple!J2:J1000,"&lt;=6/30/2017",DataSimple!M2:M1000,"Page (Educator)",DataSimple!Y2:Y1000,"Asia:Other")</f>
        <v>1</v>
      </c>
      <c r="C6">
        <f>COUNTIFS(DataSimple!J2:J1000,"&gt;=1/1/2018",DataSimple!J2:J1000,"&lt;=1/31/2018",DataSimple!M2:M1000,"Page (Educator)",DataSimple!Y2:Y1000,"Asia:Other")</f>
        <v>0</v>
      </c>
      <c r="D6">
        <f>COUNTIFS(DataSimple!J2:J1000,"&gt;=2/1/2018",DataSimple!J2:J1000,"&lt;=2/28/2018",DataSimple!M2:M1000,"Page (Educator)",DataSimple!Y2:Y1000,"Asia:Other")</f>
        <v>0</v>
      </c>
      <c r="E6">
        <f>COUNTIFS(DataSimple!J2:J1000,"&gt;=3/1/2018",DataSimple!J2:J1000,"&lt;=3/31/2018",DataSimple!M2:M1000,"Page (Educator)",DataSimple!Y2:Y1000,"Asia:Other")</f>
        <v>0</v>
      </c>
      <c r="F6">
        <f>COUNTIFS(DataSimple!J2:J1000,"&gt;=4/1/2018",DataSimple!J2:J1000,"&lt;=4/30/2018",DataSimple!M2:M1000,"Page (Educator)",DataSimple!Y2:Y1000,"Asia:Other")</f>
        <v>0</v>
      </c>
      <c r="G6">
        <f>COUNTIFS(DataSimple!J2:J1000,"&gt;=5/1/2018",DataSimple!J2:J1000,"&lt;=5/31/2018",DataSimple!M2:M1000,"Page (Educator)",DataSimple!Y2:Y1000,"Asia:Other")</f>
        <v>0</v>
      </c>
      <c r="H6">
        <f>COUNTIFS(DataSimple!J2:J1000,"&gt;=6/1/2018",DataSimple!J2:J1000,"&lt;=6/30/2018",DataSimple!M2:M1000,"Page (Educator)",DataSimple!Y2:Y1000,"Asia:Other")</f>
        <v>0</v>
      </c>
      <c r="I6">
        <f>COUNTIFS(DataSimple!J2:J1000,"&gt;=7/1/2017",DataSimple!J2:J1000,"&lt;=7/31/2017",DataSimple!M2:M1000,"Page (Educator)",DataSimple!Y2:Y1000,"Asia:Other")+COUNTIFS(DataSimple!J2:J1000,"&gt;=7/1/2018",DataSimple!J2:J1000,"&lt;=7/31/2018",DataSimple!M2:M1000,"Page (Educator)",DataSimple!Y2:Y1000,"Asia:Other")</f>
        <v>0</v>
      </c>
      <c r="J6">
        <f>COUNTIFS(DataSimple!J2:J1000,"&gt;=8/1/2017",DataSimple!J2:J1000,"&lt;=8/31/2017",DataSimple!M2:M1000,"Page (Educator)",DataSimple!Y2:Y1000,"Asia:Other")+COUNTIFS(DataSimple!J2:J1000,"&gt;=8/1/2018",DataSimple!J2:J1000,"&lt;=8/31/2018",DataSimple!M2:M1000,"Page (Educator)",DataSimple!Y2:Y1000,"Asia:Other")</f>
        <v>0</v>
      </c>
      <c r="K6">
        <f>COUNTIFS(DataSimple!J2:J1000,"&gt;=9/1/2017",DataSimple!J2:J1000,"&lt;=9/30/2017",DataSimple!M2:M1000,"Page (Educator)",DataSimple!Y2:Y1000,"Asia:Other")+COUNTIFS(DataSimple!J2:J1000,"&gt;=9/1/2018",DataSimple!J2:J1000,"&lt;=9/30/2018",DataSimple!M2:M1000,"Page (Educator)",DataSimple!Y2:Y1000,"Asia:Other")</f>
        <v>0</v>
      </c>
      <c r="L6">
        <f>COUNTIFS(DataSimple!J2:J1000,"&gt;=10/1/2017",DataSimple!J2:J1000,"&lt;=10/31/2017",DataSimple!M2:M1000,"Page (Educator)",DataSimple!Y2:Y1000,"Asia:Other")+COUNTIFS(DataSimple!J2:J1000,"&gt;=10/1/2018",DataSimple!J2:J1000,"&lt;=10/31/2018",DataSimple!M2:M1000,"Page (Educator)",DataSimple!Y2:Y1000,"Asia:Other")</f>
        <v>0</v>
      </c>
      <c r="M6">
        <f>COUNTIFS(DataSimple!J2:J1000,"&gt;=11/1/2017",DataSimple!J2:J1000,"&lt;=11/30/2017",DataSimple!M2:M1000,"Page (Educator)",DataSimple!Y2:Y1000,"Asia:Other")+COUNTIFS(DataSimple!J2:J1000,"&gt;=11/1/2018",DataSimple!J2:J1000,"&lt;=11/30/2018",DataSimple!M2:M1000,"Page (Educator)",DataSimple!Y2:Y1000,"Asia:Other")</f>
        <v>0</v>
      </c>
      <c r="N6">
        <f>COUNTIFS(DataSimple!J2:J1000,"&gt;=12/1/2017",DataSimple!J2:J1000,"&lt;=12/31/2017",DataSimple!M2:M1000,"Page (Educator)",DataSimple!Y2:Y1000,"Asia:Other")+COUNTIFS(DataSimple!J2:J1000,"&gt;=12/1/2018",DataSimple!J2:J1000,"&lt;=12/31/2018",DataSimple!M2:M1000,"Page (Educator)",DataSimple!Y2:Y1000,"Asia:Other")</f>
        <v>0</v>
      </c>
      <c r="O6" s="22">
        <f t="shared" si="0"/>
        <v>1</v>
      </c>
      <c r="Q6">
        <v>625</v>
      </c>
      <c r="R6" s="1">
        <f t="shared" si="1"/>
        <v>625</v>
      </c>
    </row>
    <row r="7" spans="1:18" x14ac:dyDescent="0.5">
      <c r="A7" t="s">
        <v>4147</v>
      </c>
      <c r="B7">
        <f>COUNTIFS(DataSimple!J2:J1000,"&gt;=1/1/1980",DataSimple!J2:J1000,"&lt;=6/30/2017",DataSimple!M2:M1000,"Page (Educator)",DataSimple!Y2:Y1000,"Australia/NZ")</f>
        <v>1</v>
      </c>
      <c r="C7">
        <f>COUNTIFS(DataSimple!J2:J1000,"&gt;=1/1/2018",DataSimple!J2:J1000,"&lt;=1/31/2018",DataSimple!M2:M1000,"Page (Educator)",DataSimple!Y2:Y1000,"Australia/NZ")</f>
        <v>0</v>
      </c>
      <c r="D7">
        <f>COUNTIFS(DataSimple!J2:J1000,"&gt;=2/1/2018",DataSimple!J2:J1000,"&lt;=2/28/2018",DataSimple!M2:M1000,"Page (Educator)",DataSimple!Y2:Y1000,"Australia/NZ")</f>
        <v>0</v>
      </c>
      <c r="E7">
        <f>COUNTIFS(DataSimple!J2:J1000,"&gt;=3/1/2018",DataSimple!J2:J1000,"&lt;=3/31/2018",DataSimple!M2:M1000,"Page (Educator)",DataSimple!Y2:Y1000,"Australia/NZ")</f>
        <v>0</v>
      </c>
      <c r="F7">
        <f>COUNTIFS(DataSimple!J2:J1000,"&gt;=4/1/2018",DataSimple!J2:J1000,"&lt;=4/30/2018",DataSimple!M2:M1000,"Page (Educator)",DataSimple!Y2:Y1000,"Australia/NZ")</f>
        <v>0</v>
      </c>
      <c r="G7">
        <f>COUNTIFS(DataSimple!J2:J1000,"&gt;=5/1/2018",DataSimple!J2:J1000,"&lt;=5/31/2018",DataSimple!M2:M1000,"Page (Educator)",DataSimple!Y2:Y1000,"Australia/NZ")</f>
        <v>0</v>
      </c>
      <c r="H7">
        <f>COUNTIFS(DataSimple!J2:J1000,"&gt;=6/1/2018",DataSimple!J2:J1000,"&lt;=6/30/2018",DataSimple!M2:M1000,"Page (Educator)",DataSimple!Y2:Y1000,"Australia/NZ")</f>
        <v>0</v>
      </c>
      <c r="I7">
        <f>COUNTIFS(DataSimple!J2:J1000,"&gt;=7/1/2017",DataSimple!J2:J1000,"&lt;=7/31/2017",DataSimple!M2:M1000,"Page (Educator)",DataSimple!Y2:Y1000,"Australia/NZ")+COUNTIFS(DataSimple!J2:J1000,"&gt;=7/1/2018",DataSimple!J2:J1000,"&lt;=7/31/2018",DataSimple!M2:M1000,"Page (Educator)",DataSimple!Y2:Y1000,"Australia/NZ")</f>
        <v>0</v>
      </c>
      <c r="J7">
        <f>COUNTIFS(DataSimple!J2:J1000,"&gt;=8/1/2017",DataSimple!J2:J1000,"&lt;=8/31/2017",DataSimple!M2:M1000,"Page (Educator)",DataSimple!Y2:Y1000,"Australia/NZ")+COUNTIFS(DataSimple!J2:J1000,"&gt;=8/1/2018",DataSimple!J2:J1000,"&lt;=8/31/2018",DataSimple!M2:M1000,"Page (Educator)",DataSimple!Y2:Y1000,"Australia/NZ")</f>
        <v>0</v>
      </c>
      <c r="K7">
        <f>COUNTIFS(DataSimple!J2:J1000,"&gt;=9/1/2017",DataSimple!J2:J1000,"&lt;=9/30/2017",DataSimple!M2:M1000,"Page (Educator)",DataSimple!Y2:Y1000,"Australia/NZ")+COUNTIFS(DataSimple!J2:J1000,"&gt;=9/1/2018",DataSimple!J2:J1000,"&lt;=9/30/2018",DataSimple!M2:M1000,"Page (Educator)",DataSimple!Y2:Y1000,"Australia/NZ")</f>
        <v>0</v>
      </c>
      <c r="L7">
        <f>COUNTIFS(DataSimple!J2:J1000,"&gt;=10/1/2017",DataSimple!J2:J1000,"&lt;=10/31/2017",DataSimple!M2:M1000,"Page (Educator)",DataSimple!Y2:Y1000,"Australia/NZ")+COUNTIFS(DataSimple!J2:J1000,"&gt;=10/1/2018",DataSimple!J2:J1000,"&lt;=10/31/2018",DataSimple!M2:M1000,"Page (Educator)",DataSimple!Y2:Y1000,"Australia/NZ")</f>
        <v>0</v>
      </c>
      <c r="M7">
        <f>COUNTIFS(DataSimple!J2:J1000,"&gt;=11/1/2017",DataSimple!J2:J1000,"&lt;=11/30/2017",DataSimple!M2:M1000,"Page (Educator)",DataSimple!Y2:Y1000,"Australia/NZ")+COUNTIFS(DataSimple!J2:J1000,"&gt;=11/1/2018",DataSimple!J2:J1000,"&lt;=11/30/2018",DataSimple!M2:M1000,"Page (Educator)",DataSimple!Y2:Y1000,"Australia/NZ")</f>
        <v>0</v>
      </c>
      <c r="N7">
        <f>COUNTIFS(DataSimple!J2:J1000,"&gt;=12/1/2017",DataSimple!J2:J1000,"&lt;=12/31/2017",DataSimple!M2:M1000,"Page (Educator)",DataSimple!Y2:Y1000,"Australia/NZ")+COUNTIFS(DataSimple!J2:J1000,"&gt;=12/1/2018",DataSimple!J2:J1000,"&lt;=12/31/2018",DataSimple!M2:M1000,"Page (Educator)",DataSimple!Y2:Y1000,"Australia/NZ")</f>
        <v>0</v>
      </c>
      <c r="O7" s="22">
        <f>SUM(B7:N7)</f>
        <v>1</v>
      </c>
      <c r="Q7">
        <v>625</v>
      </c>
      <c r="R7" s="1">
        <f t="shared" si="1"/>
        <v>625</v>
      </c>
    </row>
    <row r="8" spans="1:18" x14ac:dyDescent="0.5">
      <c r="A8" t="s">
        <v>2512</v>
      </c>
      <c r="B8">
        <f>COUNTIFS(DataSimple!J2:J1000,"&gt;=1/1/1980",DataSimple!J2:J1000,"&lt;=6/30/2017",DataSimple!M2:M1000,"Page (Educator)",DataSimple!Y2:Y1000,"Asia:India")</f>
        <v>0</v>
      </c>
      <c r="C8">
        <f>COUNTIFS(DataSimple!J2:J1000,"&gt;=1/1/2018",DataSimple!J2:J1000,"&lt;=1/31/2018",DataSimple!M2:M1000,"Page (Educator)",DataSimple!Y2:Y1000,"Asia:India")</f>
        <v>0</v>
      </c>
      <c r="D8">
        <f>COUNTIFS(DataSimple!J2:J1000,"&gt;=2/1/2018",DataSimple!J2:J1000,"&lt;=2/28/2018",DataSimple!M2:M1000,"Page (Educator)",DataSimple!Y2:Y1000,"Asia:India")</f>
        <v>0</v>
      </c>
      <c r="E8">
        <f>COUNTIFS(DataSimple!J2:J1000,"&gt;=3/1/2018",DataSimple!J2:J1000,"&lt;=3/31/2018",DataSimple!M2:M1000,"Page (Educator)",DataSimple!Y2:Y1000,"Asia:India")</f>
        <v>0</v>
      </c>
      <c r="F8">
        <f>COUNTIFS(DataSimple!J2:J1000,"&gt;=4/1/2018",DataSimple!J2:J1000,"&lt;=4/30/2018",DataSimple!M2:M1000,"Page (Educator)",DataSimple!Y2:Y1000,"Asia:India")</f>
        <v>0</v>
      </c>
      <c r="G8">
        <f>COUNTIFS(DataSimple!J2:J1000,"&gt;=5/1/2018",DataSimple!J2:J1000,"&lt;=5/31/2018",DataSimple!M2:M1000,"Page (Educator)",DataSimple!Y2:Y1000,"Asia:India")</f>
        <v>0</v>
      </c>
      <c r="H8">
        <f>COUNTIFS(DataSimple!J2:J1000,"&gt;=6/1/2018",DataSimple!J2:J1000,"&lt;=6/30/2018",DataSimple!M2:M1000,"Page (Educator)",DataSimple!Y2:Y1000,"Asia:India")</f>
        <v>0</v>
      </c>
      <c r="I8">
        <f>COUNTIFS(DataSimple!J2:J1000,"&gt;=7/1/2017",DataSimple!J2:J1000,"&lt;=7/31/2017",DataSimple!M2:M1000,"Page (Educator)",DataSimple!Y2:Y1000,"Asia:India")+COUNTIFS(DataSimple!J2:J1000,"&gt;=7/1/2018",DataSimple!J2:J1000,"&lt;=7/31/2018",DataSimple!M2:M1000,"Page (Educator)",DataSimple!Y2:Y1000,"Asia:India")</f>
        <v>0</v>
      </c>
      <c r="J8">
        <f>COUNTIFS(DataSimple!J2:J1000,"&gt;=8/1/2017",DataSimple!J2:J1000,"&lt;=8/31/2017",DataSimple!M2:M1000,"Page (Educator)",DataSimple!Y2:Y1000,"Asia:India")+COUNTIFS(DataSimple!J2:J1000,"&gt;=8/1/2018",DataSimple!J2:J1000,"&lt;=8/31/2018",DataSimple!M2:M1000,"Page (Educator)",DataSimple!Y2:Y1000,"Asia:India")</f>
        <v>0</v>
      </c>
      <c r="K8">
        <f>COUNTIFS(DataSimple!J2:J1000,"&gt;=9/1/2017",DataSimple!J2:J1000,"&lt;=9/30/2017",DataSimple!M2:M1000,"Page (Educator)",DataSimple!Y2:Y1000,"Asia:India")+COUNTIFS(DataSimple!J2:J1000,"&gt;=9/1/2018",DataSimple!J2:J1000,"&lt;=9/30/2018",DataSimple!M2:M1000,"Page (Educator)",DataSimple!Y2:Y1000,"Asia:India")</f>
        <v>0</v>
      </c>
      <c r="L8">
        <f>COUNTIFS(DataSimple!J2:J1000,"&gt;=10/1/2017",DataSimple!J2:J1000,"&lt;=10/31/2017",DataSimple!M2:M1000,"Page (Educator)",DataSimple!Y2:Y1000,"Asia:India")+COUNTIFS(DataSimple!J2:J1000,"&gt;=10/1/2018",DataSimple!J2:J1000,"&lt;=10/31/2018",DataSimple!M2:M1000,"Page (Educator)",DataSimple!Y2:Y1000,"Asia:India")</f>
        <v>0</v>
      </c>
      <c r="M8">
        <f>COUNTIFS(DataSimple!J2:J1000,"&gt;=11/1/2017",DataSimple!J2:J1000,"&lt;=11/30/2017",DataSimple!M2:M1000,"Page (Educator)",DataSimple!Y2:Y1000,"Asia:India")+COUNTIFS(DataSimple!J2:J1000,"&gt;=11/1/2018",DataSimple!J2:J1000,"&lt;=11/30/2018",DataSimple!M2:M1000,"Page (Educator)",DataSimple!Y2:Y1000,"Asia:India")</f>
        <v>0</v>
      </c>
      <c r="N8">
        <f>COUNTIFS(DataSimple!J2:J1000,"&gt;=12/1/2017",DataSimple!J2:J1000,"&lt;=12/31/2017",DataSimple!M2:M1000,"Page (Educator)",DataSimple!Y2:Y1000,"Asia:India")+COUNTIFS(DataSimple!J2:J1000,"&gt;=12/1/2018",DataSimple!J2:J1000,"&lt;=12/31/2018",DataSimple!M2:M1000,"Page (Educator)",DataSimple!Y2:Y1000,"Asia:India")</f>
        <v>0</v>
      </c>
      <c r="O8" s="22">
        <f t="shared" si="0"/>
        <v>0</v>
      </c>
      <c r="Q8">
        <v>625</v>
      </c>
      <c r="R8" s="1">
        <f t="shared" si="1"/>
        <v>0</v>
      </c>
    </row>
    <row r="9" spans="1:18" x14ac:dyDescent="0.5">
      <c r="A9" t="s">
        <v>8561</v>
      </c>
      <c r="B9">
        <f>COUNTIFS(DataSimple!J2:J1000,"&gt;=1/1/1980",DataSimple!J2:J1000,"&lt;=6/30/2017",DataSimple!M2:M1000,"Page (Educator)",DataSimple!Y2:Y1000,"Latin America")</f>
        <v>1</v>
      </c>
      <c r="C9">
        <f>COUNTIFS(DataSimple!J2:J1000,"&gt;=1/1/2018",DataSimple!J2:J1000,"&lt;=1/31/2018",DataSimple!M2:M1000,"Page (Educator)",DataSimple!Y2:Y1000,"Latin America")</f>
        <v>0</v>
      </c>
      <c r="D9">
        <f>COUNTIFS(DataSimple!J2:J1000,"&gt;=2/1/2018",DataSimple!J2:J1000,"&lt;=2/28/2018",DataSimple!M2:M1000,"Page (Educator)",DataSimple!Y2:Y1000,"Latin America")</f>
        <v>0</v>
      </c>
      <c r="E9">
        <f>COUNTIFS(DataSimple!J2:J1000,"&gt;=3/1/2018",DataSimple!J2:J1000,"&lt;=3/31/2018",DataSimple!M2:M1000,"Page (Educator)",DataSimple!Y2:Y1000,"Latin America")</f>
        <v>0</v>
      </c>
      <c r="F9">
        <f>COUNTIFS(DataSimple!J2:J1000,"&gt;=4/1/2018",DataSimple!J2:J1000,"&lt;=4/30/2018",DataSimple!M2:M1000,"Page (Educator)",DataSimple!Y2:Y1000,"Latin America")</f>
        <v>0</v>
      </c>
      <c r="G9">
        <f>COUNTIFS(DataSimple!J2:J1000,"&gt;=5/1/2018",DataSimple!J2:J1000,"&lt;=5/31/2018",DataSimple!M2:M1000,"Page (Educator)",DataSimple!Y2:Y1000,"Latin America")</f>
        <v>0</v>
      </c>
      <c r="H9">
        <f>COUNTIFS(DataSimple!J2:J1000,"&gt;=6/1/2018",DataSimple!J2:J1000,"&lt;=6/30/2018",DataSimple!M2:M1000,"Page (Educator)",DataSimple!Y2:Y1000,"Latin America")</f>
        <v>0</v>
      </c>
      <c r="I9">
        <f>COUNTIFS(DataSimple!J2:J1000,"&gt;=7/1/2017",DataSimple!J2:J1000,"&lt;=7/31/2017",DataSimple!M2:M1000,"Page (Educator)",DataSimple!Y2:Y1000,"Latin America")+COUNTIFS(DataSimple!J2:J1000,"&gt;=7/1/2018",DataSimple!J2:J1000,"&lt;=7/31/2018",DataSimple!M2:M1000,"Page (Educator)",DataSimple!Y2:Y1000,"Latin America")</f>
        <v>0</v>
      </c>
      <c r="J9">
        <f>COUNTIFS(DataSimple!J2:J1000,"&gt;=8/1/2017",DataSimple!J2:J1000,"&lt;=8/31/2017",DataSimple!M2:M1000,"Page (Educator)",DataSimple!Y2:Y1000,"Latin America")+COUNTIFS(DataSimple!J2:J1000,"&gt;=8/1/2018",DataSimple!J2:J1000,"&lt;=8/31/2018",DataSimple!M2:M1000,"Page (Educator)",DataSimple!Y2:Y1000,"Latin America")</f>
        <v>0</v>
      </c>
      <c r="K9">
        <f>COUNTIFS(DataSimple!J2:J1000,"&gt;=9/1/2017",DataSimple!J2:J1000,"&lt;=9/30/2017",DataSimple!M2:M1000,"Page (Educator)",DataSimple!Y2:Y1000,"Latin America")+COUNTIFS(DataSimple!J2:J1000,"&gt;=9/1/2018",DataSimple!J2:J1000,"&lt;=9/30/2018",DataSimple!M2:M1000,"Page (Educator)",DataSimple!Y2:Y1000,"Latin America")</f>
        <v>0</v>
      </c>
      <c r="L9">
        <f>COUNTIFS(DataSimple!J2:J1000,"&gt;=10/1/2017",DataSimple!J2:J1000,"&lt;=10/31/2017",DataSimple!M2:M1000,"Page (Educator)",DataSimple!Y2:Y1000,"Latin America")+COUNTIFS(DataSimple!J2:J1000,"&gt;=10/1/2018",DataSimple!J2:J1000,"&lt;=10/31/2018",DataSimple!M2:M1000,"Page (Educator)",DataSimple!Y2:Y1000,"Latin America")</f>
        <v>0</v>
      </c>
      <c r="M9">
        <f>COUNTIFS(DataSimple!J2:J1000,"&gt;=11/1/2017",DataSimple!J2:J1000,"&lt;=11/30/2017",DataSimple!M2:M1000,"Page (Educator)",DataSimple!Y2:Y1000,"Latin America")+COUNTIFS(DataSimple!J2:J1000,"&gt;=11/1/2018",DataSimple!J2:J1000,"&lt;=11/30/2018",DataSimple!M2:M1000,"Page (Educator)",DataSimple!Y2:Y1000,"Latin America")</f>
        <v>0</v>
      </c>
      <c r="N9">
        <f>COUNTIFS(DataSimple!J2:J1000,"&gt;=12/1/2017",DataSimple!J2:J1000,"&lt;=12/31/2017",DataSimple!M2:M1000,"Page (Educator)",DataSimple!Y2:Y1000,"Latin America")+COUNTIFS(DataSimple!J2:J1000,"&gt;=12/1/2018",DataSimple!J2:J1000,"&lt;=12/31/2018",DataSimple!M2:M1000,"Page (Educator)",DataSimple!Y2:Y1000,"Latin America")</f>
        <v>0</v>
      </c>
      <c r="O9" s="22">
        <f t="shared" si="0"/>
        <v>1</v>
      </c>
      <c r="Q9">
        <v>625</v>
      </c>
      <c r="R9" s="1">
        <f t="shared" si="1"/>
        <v>625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49</v>
      </c>
      <c r="C11" s="4">
        <f>SUM(C2:C9)</f>
        <v>0</v>
      </c>
      <c r="D11" s="4">
        <f t="shared" ref="D11:N11" si="2">SUM(D2:D9)</f>
        <v>0</v>
      </c>
      <c r="E11" s="4">
        <f t="shared" si="2"/>
        <v>1</v>
      </c>
      <c r="F11" s="4">
        <f t="shared" si="2"/>
        <v>3</v>
      </c>
      <c r="G11" s="4">
        <f t="shared" si="2"/>
        <v>0</v>
      </c>
      <c r="H11" s="4">
        <f t="shared" si="2"/>
        <v>0</v>
      </c>
      <c r="I11" s="4">
        <f t="shared" si="2"/>
        <v>2</v>
      </c>
      <c r="J11" s="4">
        <f t="shared" si="2"/>
        <v>2</v>
      </c>
      <c r="K11" s="4">
        <f t="shared" si="2"/>
        <v>2</v>
      </c>
      <c r="L11" s="4">
        <f t="shared" si="2"/>
        <v>0</v>
      </c>
      <c r="M11" s="4">
        <f t="shared" si="2"/>
        <v>0</v>
      </c>
      <c r="N11" s="4">
        <f t="shared" si="2"/>
        <v>2</v>
      </c>
      <c r="O11" s="22">
        <f>SUM(B11:N11)</f>
        <v>61</v>
      </c>
      <c r="R11" s="26">
        <f>SUM(R2:R9)</f>
        <v>34218.75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9EE8-D5C2-4D8F-BDDE-E8C78D5D9A9B}">
  <dimension ref="A1:R11"/>
  <sheetViews>
    <sheetView workbookViewId="0">
      <selection activeCell="C3" sqref="C3"/>
    </sheetView>
  </sheetViews>
  <sheetFormatPr defaultRowHeight="14.35" x14ac:dyDescent="0.5"/>
  <sheetData>
    <row r="1" spans="1:18" x14ac:dyDescent="0.5">
      <c r="A1" s="3" t="s">
        <v>8574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(Non-Profit)",DataSimple!Y2:Y1000,"United States")</f>
        <v>37</v>
      </c>
      <c r="C2">
        <f>COUNTIFS(DataSimple!J2:J1000,"&gt;=1/1/2018",DataSimple!J2:J1000,"&lt;=1/31/2018",DataSimple!M2:M1000,"Page (Non-Profit)",DataSimple!Y2:Y1000,"United States")</f>
        <v>1</v>
      </c>
      <c r="D2">
        <f>COUNTIFS(DataSimple!J2:J1000,"&gt;=2/1/2018",DataSimple!J2:J1000,"&lt;=2/28/2018",DataSimple!M2:M1000,"Page (Non-Profit)",DataSimple!Y2:Y1000,"United States")</f>
        <v>1</v>
      </c>
      <c r="E2">
        <f>COUNTIFS(DataSimple!J2:J1000,"&gt;=3/1/2018",DataSimple!J2:J1000,"&lt;=3/31/2018",DataSimple!M2:M1000,"Page (Non-Profit)",DataSimple!Y2:Y1000,"United States")</f>
        <v>0</v>
      </c>
      <c r="F2">
        <f>COUNTIFS(DataSimple!J2:J1000,"&gt;=4/1/2018",DataSimple!J2:J1000,"&lt;=4/30/2018",DataSimple!M2:M1000,"Page (Non-Profit)",DataSimple!Y2:Y1000,"United States")</f>
        <v>2</v>
      </c>
      <c r="G2">
        <f>COUNTIFS(DataSimple!J2:J1000,"&gt;=5/1/2018",DataSimple!J2:J1000,"&lt;=5/31/2018",DataSimple!M2:M1000,"Page (Non-Profit)",DataSimple!Y2:Y1000,"United States")</f>
        <v>1</v>
      </c>
      <c r="H2">
        <f>COUNTIFS(DataSimple!J2:J1000,"&gt;=6/1/2018",DataSimple!J2:J1000,"&lt;=6/30/2018",DataSimple!M2:M1000,"Page (Non-Profit)",DataSimple!Y2:Y1000,"United States")</f>
        <v>0</v>
      </c>
      <c r="I2">
        <f>COUNTIFS(DataSimple!J2:J1000,"&gt;=7/1/2017",DataSimple!J2:J1000,"&lt;=7/31/2017",DataSimple!M2:M1000,"Page (Non-Profit)",DataSimple!Y2:Y1000,"United States")+COUNTIFS(DataSimple!J2:J1000,"&gt;=7/1/2018",DataSimple!J2:J1000,"&lt;=7/31/2018",DataSimple!M2:M1000,"Page (Non-Profit)",DataSimple!Y2:Y1000,"United States")</f>
        <v>3</v>
      </c>
      <c r="J2">
        <f>COUNTIFS(DataSimple!J2:J1000,"&gt;=8/1/2017",DataSimple!J2:J1000,"&lt;=8/31/2017",DataSimple!M2:M1000,"Page (Non-Profit)",DataSimple!Y2:Y1000,"United States")+COUNTIFS(DataSimple!J2:J1000,"&gt;=8/1/2018",DataSimple!J2:J1000,"&lt;=8/31/2018",DataSimple!M2:M1000,"Page (Non-Profit)",DataSimple!Y2:Y1000,"United States")</f>
        <v>8</v>
      </c>
      <c r="K2">
        <f>COUNTIFS(DataSimple!J2:J1000,"&gt;=9/1/2017",DataSimple!J2:J1000,"&lt;=9/30/2017",DataSimple!M2:M1000,"Page (Non-Profit)",DataSimple!Y2:Y1000,"United States")+COUNTIFS(DataSimple!J2:J1000,"&gt;=9/1/2018",DataSimple!J2:J1000,"&lt;=9/30/2018",DataSimple!M2:M1000,"Page (Non-Profit)",DataSimple!Y2:Y1000,"United States")</f>
        <v>2</v>
      </c>
      <c r="L2">
        <f>COUNTIFS(DataSimple!J2:J1000,"&gt;=10/1/2017",DataSimple!J2:J1000,"&lt;=10/31/2017",DataSimple!M2:M1000,"Page (Non-Profit)",DataSimple!Y2:Y1000,"United States")+COUNTIFS(DataSimple!J2:J1000,"&gt;=10/1/2018",DataSimple!J2:J1000,"&lt;=10/31/2018",DataSimple!M2:M1000,"Page (Non-Profit)",DataSimple!Y2:Y1000,"United States")</f>
        <v>0</v>
      </c>
      <c r="M2">
        <f>COUNTIFS(DataSimple!J2:J1000,"&gt;=11/1/2017",DataSimple!J2:J1000,"&lt;=11/30/2017",DataSimple!M2:M1000,"Page (Non-Profit)",DataSimple!Y2:Y1000,"United States")+COUNTIFS(DataSimple!J2:J1000,"&gt;=11/1/2018",DataSimple!J2:J1000,"&lt;=11/30/2018",DataSimple!M2:M1000,"Page (Non-Profit)",DataSimple!Y2:Y1000,"United States")</f>
        <v>0</v>
      </c>
      <c r="N2">
        <f>COUNTIFS(DataSimple!J2:J1000,"&gt;=12/1/2017",DataSimple!J2:J1000,"&lt;=12/31/2017",DataSimple!M2:M1000,"Page (Non-Profit)",DataSimple!Y2:Y1000,"United States")+COUNTIFS(DataSimple!J2:J1000,"&gt;=12/1/2018",DataSimple!J2:J1000,"&lt;=12/31/2018",DataSimple!M2:M1000,"Page (Non-Profit)",DataSimple!Y2:Y1000,"United States")</f>
        <v>0</v>
      </c>
      <c r="O2" s="22">
        <f t="shared" ref="O2:O9" si="0">SUM(B2:N2)</f>
        <v>55</v>
      </c>
      <c r="Q2">
        <v>1045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48679.583333333328</v>
      </c>
    </row>
    <row r="3" spans="1:18" x14ac:dyDescent="0.5">
      <c r="A3" t="s">
        <v>1633</v>
      </c>
      <c r="B3">
        <f>COUNTIFS(DataSimple!J2:J1000,"&gt;=1/1/1980",DataSimple!J2:J1000,"&lt;=6/30/2017",DataSimple!M2:M1000,"Page (Non-Profit)",DataSimple!Y2:Y1000,"Canada")</f>
        <v>0</v>
      </c>
      <c r="C3">
        <f>COUNTIFS(DataSimple!J2:J1000,"&gt;=1/1/2018",DataSimple!J2:J1000,"&lt;=1/31/2018",DataSimple!M2:M1000,"Page (Non-Profit)",DataSimple!Y2:Y1000,"Canada")</f>
        <v>0</v>
      </c>
      <c r="D3">
        <f>COUNTIFS(DataSimple!J2:J1000,"&gt;=2/1/2018",DataSimple!J2:J1000,"&lt;=2/28/2018",DataSimple!M2:M1000,"Page (Non-Profit)",DataSimple!Y2:Y1000,"Canada")</f>
        <v>0</v>
      </c>
      <c r="E3">
        <f>COUNTIFS(DataSimple!J2:J1000,"&gt;=3/1/2018",DataSimple!J2:J1000,"&lt;=3/31/2018",DataSimple!M2:M1000,"Page (Non-Profit)",DataSimple!Y2:Y1000,"Canada")</f>
        <v>0</v>
      </c>
      <c r="F3">
        <f>COUNTIFS(DataSimple!J2:J1000,"&gt;=4/1/2018",DataSimple!J2:J1000,"&lt;=4/30/2018",DataSimple!M2:M1000,"Page (Non-Profit)",DataSimple!Y2:Y1000,"Canada")</f>
        <v>0</v>
      </c>
      <c r="G3">
        <f>COUNTIFS(DataSimple!J2:J1000,"&gt;=5/1/2018",DataSimple!J2:J1000,"&lt;=5/31/2018",DataSimple!M2:M1000,"Page (Non-Profit)",DataSimple!Y2:Y1000,"Canada")</f>
        <v>0</v>
      </c>
      <c r="H3">
        <f>COUNTIFS(DataSimple!J2:J1000,"&gt;=6/1/2018",DataSimple!J2:J1000,"&lt;=6/30/2018",DataSimple!M2:M1000,"Page (Non-Profit)",DataSimple!Y2:Y1000,"Canada")</f>
        <v>0</v>
      </c>
      <c r="I3">
        <f>COUNTIFS(DataSimple!J2:J1000,"&gt;=7/1/2017",DataSimple!J2:J1000,"&lt;=7/31/2017",DataSimple!M2:M1000,"Page (Non-Profit)",DataSimple!Y2:Y1000,"Canada")+COUNTIFS(DataSimple!J2:J1000,"&gt;=7/1/2018",DataSimple!J2:J1000,"&lt;=7/31/2018",DataSimple!M2:M1000,"Page (Non-Profit)",DataSimple!Y2:Y1000,"Canada")</f>
        <v>1</v>
      </c>
      <c r="J3">
        <f>COUNTIFS(DataSimple!J2:J1000,"&gt;=8/1/2017",DataSimple!J2:J1000,"&lt;=8/31/2017",DataSimple!M2:M1000,"Page (Non-Profit)",DataSimple!Y2:Y1000,"Canada")+COUNTIFS(DataSimple!J2:J1000,"&gt;=8/1/2018",DataSimple!J2:J1000,"&lt;=8/31/2018",DataSimple!M2:M1000,"Page (Non-Profit)",DataSimple!Y2:Y1000,"Canada")</f>
        <v>0</v>
      </c>
      <c r="K3">
        <f>COUNTIFS(DataSimple!J2:J1000,"&gt;=9/1/2017",DataSimple!J2:J1000,"&lt;=9/30/2017",DataSimple!M2:M1000,"Page (Non-Profit)",DataSimple!Y2:Y1000,"Canada")+COUNTIFS(DataSimple!J2:J1000,"&gt;=9/1/2018",DataSimple!J2:J1000,"&lt;=9/30/2018",DataSimple!M2:M1000,"Page (Non-Profit)",DataSimple!Y2:Y1000,"Canada")</f>
        <v>0</v>
      </c>
      <c r="L3">
        <f>COUNTIFS(DataSimple!J2:J1000,"&gt;=10/1/2017",DataSimple!J2:J1000,"&lt;=10/31/2017",DataSimple!M2:M1000,"Page (Non-Profit)",DataSimple!Y2:Y1000,"Canada")+COUNTIFS(DataSimple!J2:J1000,"&gt;=10/1/2018",DataSimple!J2:J1000,"&lt;=10/31/2018",DataSimple!M2:M1000,"Page (Non-Profit)",DataSimple!Y2:Y1000,"Canada")</f>
        <v>0</v>
      </c>
      <c r="M3">
        <f>COUNTIFS(DataSimple!J2:J1000,"&gt;=11/1/2017",DataSimple!J2:J1000,"&lt;=11/30/2017",DataSimple!M2:M1000,"Page (Non-Profit)",DataSimple!Y2:Y1000,"Canada")+COUNTIFS(DataSimple!J2:J1000,"&gt;=11/1/2018",DataSimple!J2:J1000,"&lt;=11/30/2018",DataSimple!M2:M1000,"Page (Non-Profit)",DataSimple!Y2:Y1000,"Canada")</f>
        <v>0</v>
      </c>
      <c r="N3">
        <f>COUNTIFS(DataSimple!J2:J1000,"&gt;=12/1/2017",DataSimple!J2:J1000,"&lt;=12/31/2017",DataSimple!M2:M1000,"Page (Non-Profit)",DataSimple!Y2:Y1000,"Canada")+COUNTIFS(DataSimple!J2:J1000,"&gt;=12/1/2018",DataSimple!J2:J1000,"&lt;=12/31/2018",DataSimple!M2:M1000,"Page (Non-Profit)",DataSimple!Y2:Y1000,"Canada")</f>
        <v>0</v>
      </c>
      <c r="O3" s="22">
        <f t="shared" si="0"/>
        <v>1</v>
      </c>
      <c r="Q3">
        <v>1045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522.5</v>
      </c>
    </row>
    <row r="4" spans="1:18" x14ac:dyDescent="0.5">
      <c r="A4" t="s">
        <v>744</v>
      </c>
      <c r="B4">
        <f>COUNTIFS(DataSimple!J2:J1000,"&gt;=1/1/1980",DataSimple!J2:J1000,"&lt;=6/30/2017",DataSimple!M2:M1000,"Page (Non-Profit)",DataSimple!Y2:Y1000,"Europe")</f>
        <v>5</v>
      </c>
      <c r="C4">
        <f>COUNTIFS(DataSimple!J2:J1000,"&gt;=1/1/2018",DataSimple!J2:J1000,"&lt;=1/31/2018",DataSimple!M2:M1000,"Page (Non-Profit)",DataSimple!Y2:Y1000,"Europe")</f>
        <v>0</v>
      </c>
      <c r="D4">
        <f>COUNTIFS(DataSimple!J2:J1000,"&gt;=2/1/2018",DataSimple!J2:J1000,"&lt;=2/28/2018",DataSimple!M2:M1000,"Page (Non-Profit)",DataSimple!Y2:Y1000,"Europe")</f>
        <v>1</v>
      </c>
      <c r="E4">
        <f>COUNTIFS(DataSimple!J2:J1000,"&gt;=3/1/2018",DataSimple!J2:J1000,"&lt;=3/31/2018",DataSimple!M2:M1000,"Page (Non-Profit)",DataSimple!Y2:Y1000,"Europe")</f>
        <v>0</v>
      </c>
      <c r="F4">
        <f>COUNTIFS(DataSimple!J2:J1000,"&gt;=4/1/2018",DataSimple!J2:J1000,"&lt;=4/30/2018",DataSimple!M2:M1000,"Page (Non-Profit)",DataSimple!Y2:Y1000,"Europe")</f>
        <v>0</v>
      </c>
      <c r="G4">
        <f>COUNTIFS(DataSimple!J2:J1000,"&gt;=5/1/2018",DataSimple!J2:J1000,"&lt;=5/31/2018",DataSimple!M2:M1000,"Page (Non-Profit)",DataSimple!Y2:Y1000,"Europe")</f>
        <v>0</v>
      </c>
      <c r="H4">
        <f>COUNTIFS(DataSimple!J2:J1000,"&gt;=6/1/2018",DataSimple!J2:J1000,"&lt;=6/30/2018",DataSimple!M2:M1000,"Page (Non-Profit)",DataSimple!Y2:Y1000,"Europe")</f>
        <v>0</v>
      </c>
      <c r="I4">
        <f>COUNTIFS(DataSimple!J2:J1000,"&gt;=7/1/2017",DataSimple!J2:J1000,"&lt;=7/31/2017",DataSimple!M2:M1000,"Page (Non-Profit)",DataSimple!Y2:Y1000,"Europe")+COUNTIFS(DataSimple!J2:J1000,"&gt;=7/1/2018",DataSimple!J2:J1000,"&lt;=7/31/2018",DataSimple!M2:M1000,"Page (Non-Profit)",DataSimple!Y2:Y1000,"Europe")</f>
        <v>0</v>
      </c>
      <c r="J4">
        <f>COUNTIFS(DataSimple!J2:J1000,"&gt;=8/1/2017",DataSimple!J2:J1000,"&lt;=8/31/2017",DataSimple!M2:M1000,"Page (Non-Profit)",DataSimple!Y2:Y1000,"Europe")+COUNTIFS(DataSimple!J2:J1000,"&gt;=8/1/2018",DataSimple!J2:J1000,"&lt;=8/31/2018",DataSimple!M2:M1000,"Page (Non-Profit)",DataSimple!Y2:Y1000,"Europe")</f>
        <v>1</v>
      </c>
      <c r="K4">
        <f>COUNTIFS(DataSimple!J2:J1000,"&gt;=9/1/2017",DataSimple!J2:J1000,"&lt;=9/30/2017",DataSimple!M2:M1000,"Page (Non-Profit)",DataSimple!Y2:Y1000,"Europe")+COUNTIFS(DataSimple!J2:J1000,"&gt;=9/1/2018",DataSimple!J2:J1000,"&lt;=9/30/2018",DataSimple!M2:M1000,"Page (Non-Profit)",DataSimple!Y2:Y1000,"Europe")</f>
        <v>2</v>
      </c>
      <c r="L4">
        <f>COUNTIFS(DataSimple!J2:J1000,"&gt;=10/1/2017",DataSimple!J2:J1000,"&lt;=10/31/2017",DataSimple!M2:M1000,"Page (Non-Profit)",DataSimple!Y2:Y1000,"Europe")+COUNTIFS(DataSimple!J2:J1000,"&gt;=10/1/2018",DataSimple!J2:J1000,"&lt;=10/31/2018",DataSimple!M2:M1000,"Page (Non-Profit)",DataSimple!Y2:Y1000,"Europe")</f>
        <v>0</v>
      </c>
      <c r="M4">
        <f>COUNTIFS(DataSimple!J2:J1000,"&gt;=11/1/2017",DataSimple!J2:J1000,"&lt;=11/30/2017",DataSimple!M2:M1000,"Page (Non-Profit)",DataSimple!Y2:Y1000,"Europe")+COUNTIFS(DataSimple!J2:J1000,"&gt;=11/1/2018",DataSimple!J2:J1000,"&lt;=11/30/2018",DataSimple!M2:M1000,"Page (Non-Profit)",DataSimple!Y2:Y1000,"Europe")</f>
        <v>0</v>
      </c>
      <c r="N4">
        <f>COUNTIFS(DataSimple!J2:J1000,"&gt;=12/1/2017",DataSimple!J2:J1000,"&lt;=12/31/2017",DataSimple!M2:M1000,"Page (Non-Profit)",DataSimple!Y2:Y1000,"Europe")+COUNTIFS(DataSimple!J2:J1000,"&gt;=12/1/2018",DataSimple!J2:J1000,"&lt;=12/31/2018",DataSimple!M2:M1000,"Page (Non-Profit)",DataSimple!Y2:Y1000,"Europe")</f>
        <v>1</v>
      </c>
      <c r="O4" s="22">
        <f t="shared" si="0"/>
        <v>10</v>
      </c>
      <c r="Q4">
        <v>1045</v>
      </c>
      <c r="R4" s="1">
        <f t="shared" si="1"/>
        <v>7402.0833333333339</v>
      </c>
    </row>
    <row r="5" spans="1:18" x14ac:dyDescent="0.5">
      <c r="A5" t="s">
        <v>8559</v>
      </c>
      <c r="B5">
        <f>COUNTIFS(DataSimple!J2:J1000,"&gt;=1/1/1980",DataSimple!J2:J1000,"&lt;=6/30/2017",DataSimple!M2:M1000,"Page (Non-Profit)",DataSimple!Y2:Y1000,"Middle East/Africa")</f>
        <v>0</v>
      </c>
      <c r="C5">
        <f>COUNTIFS(DataSimple!J2:J1000,"&gt;=1/1/2018",DataSimple!J2:J1000,"&lt;=1/31/2018",DataSimple!M2:M1000,"Page (Non-Profit)",DataSimple!Y2:Y1000,"Middle East/Africa")</f>
        <v>0</v>
      </c>
      <c r="D5">
        <f>COUNTIFS(DataSimple!J2:J1000,"&gt;=2/1/2018",DataSimple!J2:J1000,"&lt;=2/28/2018",DataSimple!M2:M1000,"Page (Non-Profit)",DataSimple!Y2:Y1000,"Middle East/Africa")</f>
        <v>0</v>
      </c>
      <c r="E5">
        <f>COUNTIFS(DataSimple!J2:J1000,"&gt;=3/1/2018",DataSimple!J2:J1000,"&lt;=3/31/2018",DataSimple!M2:M1000,"Page (Non-Profit)",DataSimple!Y2:Y1000,"Middle East/Africa")</f>
        <v>0</v>
      </c>
      <c r="F5">
        <f>COUNTIFS(DataSimple!J2:J1000,"&gt;=4/1/2018",DataSimple!J2:J1000,"&lt;=4/30/2018",DataSimple!M2:M1000,"Page (Non-Profit)",DataSimple!Y2:Y1000,"Middle East/Africa")</f>
        <v>0</v>
      </c>
      <c r="G5">
        <f>COUNTIFS(DataSimple!J2:J1000,"&gt;=5/1/2018",DataSimple!J2:J1000,"&lt;=5/31/2018",DataSimple!M2:M1000,"Page (Non-Profit)",DataSimple!Y2:Y1000,"Middle East/Africa")</f>
        <v>0</v>
      </c>
      <c r="H5">
        <f>COUNTIFS(DataSimple!J2:J1000,"&gt;=6/1/2018",DataSimple!J2:J1000,"&lt;=6/30/2018",DataSimple!M2:M1000,"Page (Non-Profit)",DataSimple!Y2:Y1000,"Middle East/Africa")</f>
        <v>0</v>
      </c>
      <c r="I5">
        <f>COUNTIFS(DataSimple!J2:J1000,"&gt;=7/1/2017",DataSimple!J2:J1000,"&lt;=7/31/2017",DataSimple!M2:M1000,"Page (Non-Profit)",DataSimple!Y2:Y1000,"Middle East/Africa")+COUNTIFS(DataSimple!J2:J1000,"&gt;=7/1/2018",DataSimple!J2:J1000,"&lt;=7/31/2018",DataSimple!M2:M1000,"Page (Non-Profit)",DataSimple!Y2:Y1000,"Middle East/Africa")</f>
        <v>0</v>
      </c>
      <c r="J5">
        <f>COUNTIFS(DataSimple!J2:J1000,"&gt;=8/1/2017",DataSimple!J2:J1000,"&lt;=8/31/2017",DataSimple!M2:M1000,"Page (Non-Profit)",DataSimple!Y2:Y1000,"Middle East/Africa")+COUNTIFS(DataSimple!J2:J1000,"&gt;=8/1/2018",DataSimple!J2:J1000,"&lt;=8/31/2018",DataSimple!M2:M1000,"Page (Non-Profit)",DataSimple!Y2:Y1000,"Middle East/Africa")</f>
        <v>0</v>
      </c>
      <c r="K5">
        <f>COUNTIFS(DataSimple!J2:J1000,"&gt;=9/1/2017",DataSimple!J2:J1000,"&lt;=9/30/2017",DataSimple!M2:M1000,"Page (Non-Profit)",DataSimple!Y2:Y1000,"Middle East/Africa")+COUNTIFS(DataSimple!J2:J1000,"&gt;=9/1/2018",DataSimple!J2:J1000,"&lt;=9/30/2018",DataSimple!M2:M1000,"Page (Non-Profit)",DataSimple!Y2:Y1000,"Middle East/Africa")</f>
        <v>0</v>
      </c>
      <c r="L5">
        <f>COUNTIFS(DataSimple!J2:J1000,"&gt;=10/1/2017",DataSimple!J2:J1000,"&lt;=10/31/2017",DataSimple!M2:M1000,"Page (Non-Profit)",DataSimple!Y2:Y1000,"Middle East/Africa")+COUNTIFS(DataSimple!J2:J1000,"&gt;=10/1/2018",DataSimple!J2:J1000,"&lt;=10/31/2018",DataSimple!M2:M1000,"Page (Non-Profit)",DataSimple!Y2:Y1000,"Middle East/Africa")</f>
        <v>0</v>
      </c>
      <c r="M5">
        <f>COUNTIFS(DataSimple!J2:J1000,"&gt;=11/1/2017",DataSimple!J2:J1000,"&lt;=11/30/2017",DataSimple!M2:M1000,"Page (Non-Profit)",DataSimple!Y2:Y1000,"Middle East/Africa")+COUNTIFS(DataSimple!J2:J1000,"&gt;=11/1/2018",DataSimple!J2:J1000,"&lt;=11/30/2018",DataSimple!M2:M1000,"Page (Non-Profit)",DataSimple!Y2:Y1000,"Middle East/Africa")</f>
        <v>0</v>
      </c>
      <c r="N5">
        <f>COUNTIFS(DataSimple!J2:J1000,"&gt;=12/1/2017",DataSimple!J2:J1000,"&lt;=12/31/2017",DataSimple!M2:M1000,"Page (Non-Profit)",DataSimple!Y2:Y1000,"Middle East/Africa")+COUNTIFS(DataSimple!J2:J1000,"&gt;=12/1/2018",DataSimple!J2:J1000,"&lt;=12/31/2018",DataSimple!M2:M1000,"Page (Non-Profit)",DataSimple!Y2:Y1000,"Middle East/Africa")</f>
        <v>0</v>
      </c>
      <c r="O5" s="22">
        <f t="shared" si="0"/>
        <v>0</v>
      </c>
      <c r="Q5">
        <v>1045</v>
      </c>
      <c r="R5" s="1">
        <f t="shared" si="1"/>
        <v>0</v>
      </c>
    </row>
    <row r="6" spans="1:18" x14ac:dyDescent="0.5">
      <c r="A6" t="s">
        <v>8560</v>
      </c>
      <c r="B6">
        <f>COUNTIFS(DataSimple!J2:J1000,"&gt;=1/1/1980",DataSimple!J2:J1000,"&lt;=6/30/2017",DataSimple!M2:M1000,"Page (Non-Profit)",DataSimple!Y2:Y1000,"Asia:Other")</f>
        <v>0</v>
      </c>
      <c r="C6">
        <f>COUNTIFS(DataSimple!J2:J1000,"&gt;=1/1/2018",DataSimple!J2:J1000,"&lt;=1/31/2018",DataSimple!M2:M1000,"Page (Non-Profit)",DataSimple!Y2:Y1000,"Asia:Other")</f>
        <v>0</v>
      </c>
      <c r="D6">
        <f>COUNTIFS(DataSimple!J2:J1000,"&gt;=2/1/2018",DataSimple!J2:J1000,"&lt;=2/28/2018",DataSimple!M2:M1000,"Page (Non-Profit)",DataSimple!Y2:Y1000,"Asia:Other")</f>
        <v>0</v>
      </c>
      <c r="E6">
        <f>COUNTIFS(DataSimple!J2:J1000,"&gt;=3/1/2018",DataSimple!J2:J1000,"&lt;=3/31/2018",DataSimple!M2:M1000,"Page (Non-Profit)",DataSimple!Y2:Y1000,"Asia:Other")</f>
        <v>0</v>
      </c>
      <c r="F6">
        <f>COUNTIFS(DataSimple!J2:J1000,"&gt;=4/1/2018",DataSimple!J2:J1000,"&lt;=4/30/2018",DataSimple!M2:M1000,"Page (Non-Profit)",DataSimple!Y2:Y1000,"Asia:Other")</f>
        <v>0</v>
      </c>
      <c r="G6">
        <f>COUNTIFS(DataSimple!J2:J1000,"&gt;=5/1/2018",DataSimple!J2:J1000,"&lt;=5/31/2018",DataSimple!M2:M1000,"Page (Non-Profit)",DataSimple!Y2:Y1000,"Asia:Other")</f>
        <v>0</v>
      </c>
      <c r="H6">
        <f>COUNTIFS(DataSimple!J2:J1000,"&gt;=6/1/2018",DataSimple!J2:J1000,"&lt;=6/30/2018",DataSimple!M2:M1000,"Page (Non-Profit)",DataSimple!Y2:Y1000,"Asia:Other")</f>
        <v>0</v>
      </c>
      <c r="I6">
        <f>COUNTIFS(DataSimple!J2:J1000,"&gt;=7/1/2017",DataSimple!J2:J1000,"&lt;=7/31/2017",DataSimple!M2:M1000,"Page (Non-Profit)",DataSimple!Y2:Y1000,"Asia:Other")+COUNTIFS(DataSimple!J2:J1000,"&gt;=7/1/2018",DataSimple!J2:J1000,"&lt;=7/31/2018",DataSimple!M2:M1000,"Page (Non-Profit)",DataSimple!Y2:Y1000,"Asia:Other")</f>
        <v>0</v>
      </c>
      <c r="J6">
        <f>COUNTIFS(DataSimple!J2:J1000,"&gt;=8/1/2017",DataSimple!J2:J1000,"&lt;=8/31/2017",DataSimple!M2:M1000,"Page (Non-Profit)",DataSimple!Y2:Y1000,"Asia:Other")+COUNTIFS(DataSimple!J2:J1000,"&gt;=8/1/2018",DataSimple!J2:J1000,"&lt;=8/31/2018",DataSimple!M2:M1000,"Page (Non-Profit)",DataSimple!Y2:Y1000,"Asia:Other")</f>
        <v>0</v>
      </c>
      <c r="K6">
        <f>COUNTIFS(DataSimple!J2:J1000,"&gt;=9/1/2017",DataSimple!J2:J1000,"&lt;=9/30/2017",DataSimple!M2:M1000,"Page (Non-Profit)",DataSimple!Y2:Y1000,"Asia:Other")+COUNTIFS(DataSimple!J2:J1000,"&gt;=9/1/2018",DataSimple!J2:J1000,"&lt;=9/30/2018",DataSimple!M2:M1000,"Page (Non-Profit)",DataSimple!Y2:Y1000,"Asia:Other")</f>
        <v>0</v>
      </c>
      <c r="L6">
        <f>COUNTIFS(DataSimple!J2:J1000,"&gt;=10/1/2017",DataSimple!J2:J1000,"&lt;=10/31/2017",DataSimple!M2:M1000,"Page (Non-Profit)",DataSimple!Y2:Y1000,"Asia:Other")+COUNTIFS(DataSimple!J2:J1000,"&gt;=10/1/2018",DataSimple!J2:J1000,"&lt;=10/31/2018",DataSimple!M2:M1000,"Page (Non-Profit)",DataSimple!Y2:Y1000,"Asia:Other")</f>
        <v>0</v>
      </c>
      <c r="M6">
        <f>COUNTIFS(DataSimple!J2:J1000,"&gt;=11/1/2017",DataSimple!J2:J1000,"&lt;=11/30/2017",DataSimple!M2:M1000,"Page (Non-Profit)",DataSimple!Y2:Y1000,"Asia:Other")+COUNTIFS(DataSimple!J2:J1000,"&gt;=11/1/2018",DataSimple!J2:J1000,"&lt;=11/30/2018",DataSimple!M2:M1000,"Page (Non-Profit)",DataSimple!Y2:Y1000,"Asia:Other")</f>
        <v>0</v>
      </c>
      <c r="N6">
        <f>COUNTIFS(DataSimple!J2:J1000,"&gt;=12/1/2017",DataSimple!J2:J1000,"&lt;=12/31/2017",DataSimple!M2:M1000,"Page (Non-Profit)",DataSimple!Y2:Y1000,"Asia:Other")+COUNTIFS(DataSimple!J2:J1000,"&gt;=12/1/2018",DataSimple!J2:J1000,"&lt;=12/31/2018",DataSimple!M2:M1000,"Page (Non-Profit)",DataSimple!Y2:Y1000,"Asia:Other")</f>
        <v>0</v>
      </c>
      <c r="O6" s="22">
        <f t="shared" si="0"/>
        <v>0</v>
      </c>
      <c r="Q6">
        <v>1045</v>
      </c>
      <c r="R6" s="1">
        <f t="shared" si="1"/>
        <v>0</v>
      </c>
    </row>
    <row r="7" spans="1:18" x14ac:dyDescent="0.5">
      <c r="A7" t="s">
        <v>4147</v>
      </c>
      <c r="B7">
        <f>COUNTIFS(DataSimple!J2:J1000,"&gt;=1/1/1980",DataSimple!J2:J1000,"&lt;=6/30/2017",DataSimple!M2:M1000,"Page (Non-Profit)",DataSimple!Y2:Y1000,"Australia/NZ")</f>
        <v>0</v>
      </c>
      <c r="C7">
        <f>COUNTIFS(DataSimple!J2:J1000,"&gt;=1/1/2018",DataSimple!J2:J1000,"&lt;=1/31/2018",DataSimple!M2:M1000,"Page (Non-Profit)",DataSimple!Y2:Y1000,"Australia/NZ")</f>
        <v>0</v>
      </c>
      <c r="D7">
        <f>COUNTIFS(DataSimple!J2:J1000,"&gt;=2/1/2018",DataSimple!J2:J1000,"&lt;=2/28/2018",DataSimple!M2:M1000,"Page (Non-Profit)",DataSimple!Y2:Y1000,"Australia/NZ")</f>
        <v>0</v>
      </c>
      <c r="E7">
        <f>COUNTIFS(DataSimple!J2:J1000,"&gt;=3/1/2018",DataSimple!J2:J1000,"&lt;=3/31/2018",DataSimple!M2:M1000,"Page (Non-Profit)",DataSimple!Y2:Y1000,"Australia/NZ")</f>
        <v>0</v>
      </c>
      <c r="F7">
        <f>COUNTIFS(DataSimple!J2:J1000,"&gt;=4/1/2018",DataSimple!J2:J1000,"&lt;=4/30/2018",DataSimple!M2:M1000,"Page (Non-Profit)",DataSimple!Y2:Y1000,"Australia/NZ")</f>
        <v>0</v>
      </c>
      <c r="G7">
        <f>COUNTIFS(DataSimple!J2:J1000,"&gt;=5/1/2018",DataSimple!J2:J1000,"&lt;=5/31/2018",DataSimple!M2:M1000,"Page (Non-Profit)",DataSimple!Y2:Y1000,"Australia/NZ")</f>
        <v>0</v>
      </c>
      <c r="H7">
        <f>COUNTIFS(DataSimple!J2:J1000,"&gt;=6/1/2018",DataSimple!J2:J1000,"&lt;=6/30/2018",DataSimple!M2:M1000,"Page (Non-Profit)",DataSimple!Y2:Y1000,"Australia/NZ")</f>
        <v>0</v>
      </c>
      <c r="I7">
        <f>COUNTIFS(DataSimple!J2:J1000,"&gt;=7/1/2017",DataSimple!J2:J1000,"&lt;=7/31/2017",DataSimple!M2:M1000,"Page (Non-Profit)",DataSimple!Y2:Y1000,"Australia/NZ")+COUNTIFS(DataSimple!J2:J1000,"&gt;=7/1/2018",DataSimple!J2:J1000,"&lt;=7/31/2018",DataSimple!M2:M1000,"Page (Non-Profit)",DataSimple!Y2:Y1000,"Australia/NZ")</f>
        <v>0</v>
      </c>
      <c r="J7">
        <f>COUNTIFS(DataSimple!J2:J1000,"&gt;=8/1/2017",DataSimple!J2:J1000,"&lt;=8/31/2017",DataSimple!M2:M1000,"Page (Non-Profit)",DataSimple!Y2:Y1000,"Australia/NZ")+COUNTIFS(DataSimple!J2:J1000,"&gt;=8/1/2018",DataSimple!J2:J1000,"&lt;=8/31/2018",DataSimple!M2:M1000,"Page (Non-Profit)",DataSimple!Y2:Y1000,"Australia/NZ")</f>
        <v>0</v>
      </c>
      <c r="K7">
        <f>COUNTIFS(DataSimple!J2:J1000,"&gt;=9/1/2017",DataSimple!J2:J1000,"&lt;=9/30/2017",DataSimple!M2:M1000,"Page (Non-Profit)",DataSimple!Y2:Y1000,"Australia/NZ")+COUNTIFS(DataSimple!J2:J1000,"&gt;=9/1/2018",DataSimple!J2:J1000,"&lt;=9/30/2018",DataSimple!M2:M1000,"Page (Non-Profit)",DataSimple!Y2:Y1000,"Australia/NZ")</f>
        <v>0</v>
      </c>
      <c r="L7">
        <f>COUNTIFS(DataSimple!J2:J1000,"&gt;=10/1/2017",DataSimple!J2:J1000,"&lt;=10/31/2017",DataSimple!M2:M1000,"Page (Non-Profit)",DataSimple!Y2:Y1000,"Australia/NZ")+COUNTIFS(DataSimple!J2:J1000,"&gt;=10/1/2018",DataSimple!J2:J1000,"&lt;=10/31/2018",DataSimple!M2:M1000,"Page (Non-Profit)",DataSimple!Y2:Y1000,"Australia/NZ")</f>
        <v>0</v>
      </c>
      <c r="M7">
        <f>COUNTIFS(DataSimple!J2:J1000,"&gt;=11/1/2017",DataSimple!J2:J1000,"&lt;=11/30/2017",DataSimple!M2:M1000,"Page (Non-Profit)",DataSimple!Y2:Y1000,"Australia/NZ")+COUNTIFS(DataSimple!J2:J1000,"&gt;=11/1/2018",DataSimple!J2:J1000,"&lt;=11/30/2018",DataSimple!M2:M1000,"Page (Non-Profit)",DataSimple!Y2:Y1000,"Australia/NZ")</f>
        <v>0</v>
      </c>
      <c r="N7">
        <f>COUNTIFS(DataSimple!J2:J1000,"&gt;=12/1/2017",DataSimple!J2:J1000,"&lt;=12/31/2017",DataSimple!M2:M1000,"Page (Non-Profit)",DataSimple!Y2:Y1000,"Australia/NZ")+COUNTIFS(DataSimple!J2:J1000,"&gt;=12/1/2018",DataSimple!J2:J1000,"&lt;=12/31/2018",DataSimple!M2:M1000,"Page (Non-Profit)",DataSimple!Y2:Y1000,"Australia/NZ")</f>
        <v>0</v>
      </c>
      <c r="O7" s="22">
        <f>SUM(B7:N7)</f>
        <v>0</v>
      </c>
      <c r="Q7">
        <v>1045</v>
      </c>
      <c r="R7" s="1">
        <f t="shared" si="1"/>
        <v>0</v>
      </c>
    </row>
    <row r="8" spans="1:18" x14ac:dyDescent="0.5">
      <c r="A8" t="s">
        <v>2512</v>
      </c>
      <c r="B8">
        <f>COUNTIFS(DataSimple!J2:J1000,"&gt;=1/1/1980",DataSimple!J2:J1000,"&lt;=6/30/2017",DataSimple!M2:M1000,"Page (Non-Profit)",DataSimple!Y2:Y1000,"Asia:India")</f>
        <v>0</v>
      </c>
      <c r="C8">
        <f>COUNTIFS(DataSimple!J2:J1000,"&gt;=1/1/2018",DataSimple!J2:J1000,"&lt;=1/31/2018",DataSimple!M2:M1000,"Page (Non-Profit)",DataSimple!Y2:Y1000,"Asia:India")</f>
        <v>0</v>
      </c>
      <c r="D8">
        <f>COUNTIFS(DataSimple!J2:J1000,"&gt;=2/1/2018",DataSimple!J2:J1000,"&lt;=2/28/2018",DataSimple!M2:M1000,"Page (Non-Profit)",DataSimple!Y2:Y1000,"Asia:India")</f>
        <v>0</v>
      </c>
      <c r="E8">
        <f>COUNTIFS(DataSimple!J2:J1000,"&gt;=3/1/2018",DataSimple!J2:J1000,"&lt;=3/31/2018",DataSimple!M2:M1000,"Page (Non-Profit)",DataSimple!Y2:Y1000,"Asia:India")</f>
        <v>0</v>
      </c>
      <c r="F8">
        <f>COUNTIFS(DataSimple!J2:J1000,"&gt;=4/1/2018",DataSimple!J2:J1000,"&lt;=4/30/2018",DataSimple!M2:M1000,"Page (Non-Profit)",DataSimple!Y2:Y1000,"Asia:India")</f>
        <v>0</v>
      </c>
      <c r="G8">
        <f>COUNTIFS(DataSimple!J2:J1000,"&gt;=5/1/2018",DataSimple!J2:J1000,"&lt;=5/31/2018",DataSimple!M2:M1000,"Page (Non-Profit)",DataSimple!Y2:Y1000,"Asia:India")</f>
        <v>0</v>
      </c>
      <c r="H8">
        <f>COUNTIFS(DataSimple!J2:J1000,"&gt;=6/1/2018",DataSimple!J2:J1000,"&lt;=6/30/2018",DataSimple!M2:M1000,"Page (Non-Profit)",DataSimple!Y2:Y1000,"Asia:India")</f>
        <v>0</v>
      </c>
      <c r="I8">
        <f>COUNTIFS(DataSimple!J2:J1000,"&gt;=7/1/2017",DataSimple!J2:J1000,"&lt;=7/31/2017",DataSimple!M2:M1000,"Page (Non-Profit)",DataSimple!Y2:Y1000,"Asia:India")+COUNTIFS(DataSimple!J2:J1000,"&gt;=7/1/2018",DataSimple!J2:J1000,"&lt;=7/31/2018",DataSimple!M2:M1000,"Page (Non-Profit)",DataSimple!Y2:Y1000,"Asia:India")</f>
        <v>0</v>
      </c>
      <c r="J8">
        <f>COUNTIFS(DataSimple!J2:J1000,"&gt;=8/1/2017",DataSimple!J2:J1000,"&lt;=8/31/2017",DataSimple!M2:M1000,"Page (Non-Profit)",DataSimple!Y2:Y1000,"Asia:India")+COUNTIFS(DataSimple!J2:J1000,"&gt;=8/1/2018",DataSimple!J2:J1000,"&lt;=8/31/2018",DataSimple!M2:M1000,"Page (Non-Profit)",DataSimple!Y2:Y1000,"Asia:India")</f>
        <v>0</v>
      </c>
      <c r="K8">
        <f>COUNTIFS(DataSimple!J2:J1000,"&gt;=9/1/2017",DataSimple!J2:J1000,"&lt;=9/30/2017",DataSimple!M2:M1000,"Page (Non-Profit)",DataSimple!Y2:Y1000,"Asia:India")+COUNTIFS(DataSimple!J2:J1000,"&gt;=9/1/2018",DataSimple!J2:J1000,"&lt;=9/30/2018",DataSimple!M2:M1000,"Page (Non-Profit)",DataSimple!Y2:Y1000,"Asia:India")</f>
        <v>0</v>
      </c>
      <c r="L8">
        <f>COUNTIFS(DataSimple!J2:J1000,"&gt;=10/1/2017",DataSimple!J2:J1000,"&lt;=10/31/2017",DataSimple!M2:M1000,"Page (Non-Profit)",DataSimple!Y2:Y1000,"Asia:India")+COUNTIFS(DataSimple!J2:J1000,"&gt;=10/1/2018",DataSimple!J2:J1000,"&lt;=10/31/2018",DataSimple!M2:M1000,"Page (Non-Profit)",DataSimple!Y2:Y1000,"Asia:India")</f>
        <v>0</v>
      </c>
      <c r="M8">
        <f>COUNTIFS(DataSimple!J2:J1000,"&gt;=11/1/2017",DataSimple!J2:J1000,"&lt;=11/30/2017",DataSimple!M2:M1000,"Page (Non-Profit)",DataSimple!Y2:Y1000,"Asia:India")+COUNTIFS(DataSimple!J2:J1000,"&gt;=11/1/2018",DataSimple!J2:J1000,"&lt;=11/30/2018",DataSimple!M2:M1000,"Page (Non-Profit)",DataSimple!Y2:Y1000,"Asia:India")</f>
        <v>0</v>
      </c>
      <c r="N8">
        <f>COUNTIFS(DataSimple!J2:J1000,"&gt;=12/1/2017",DataSimple!J2:J1000,"&lt;=12/31/2017",DataSimple!M2:M1000,"Page (Non-Profit)",DataSimple!Y2:Y1000,"Asia:India")+COUNTIFS(DataSimple!J2:J1000,"&gt;=12/1/2018",DataSimple!J2:J1000,"&lt;=12/31/2018",DataSimple!M2:M1000,"Page (Non-Profit)",DataSimple!Y2:Y1000,"Asia:India")</f>
        <v>0</v>
      </c>
      <c r="O8" s="22">
        <f t="shared" si="0"/>
        <v>0</v>
      </c>
      <c r="Q8">
        <v>1045</v>
      </c>
      <c r="R8" s="1">
        <f t="shared" si="1"/>
        <v>0</v>
      </c>
    </row>
    <row r="9" spans="1:18" x14ac:dyDescent="0.5">
      <c r="A9" t="s">
        <v>8561</v>
      </c>
      <c r="B9">
        <f>COUNTIFS(DataSimple!J2:J1000,"&gt;=1/1/1980",DataSimple!J2:J1000,"&lt;=6/30/2017",DataSimple!M2:M1000,"Page (Non-Profit)",DataSimple!Y2:Y1000,"Latin America")</f>
        <v>0</v>
      </c>
      <c r="C9">
        <f>COUNTIFS(DataSimple!J2:J1000,"&gt;=1/1/2018",DataSimple!J2:J1000,"&lt;=1/31/2018",DataSimple!M2:M1000,"Page (Non-Profit)",DataSimple!Y2:Y1000,"Latin America")</f>
        <v>0</v>
      </c>
      <c r="D9">
        <f>COUNTIFS(DataSimple!J2:J1000,"&gt;=2/1/2018",DataSimple!J2:J1000,"&lt;=2/28/2018",DataSimple!M2:M1000,"Page (Non-Profit)",DataSimple!Y2:Y1000,"Latin America")</f>
        <v>0</v>
      </c>
      <c r="E9">
        <f>COUNTIFS(DataSimple!J2:J1000,"&gt;=3/1/2018",DataSimple!J2:J1000,"&lt;=3/31/2018",DataSimple!M2:M1000,"Page (Non-Profit)",DataSimple!Y2:Y1000,"Latin America")</f>
        <v>0</v>
      </c>
      <c r="F9">
        <f>COUNTIFS(DataSimple!J2:J1000,"&gt;=4/1/2018",DataSimple!J2:J1000,"&lt;=4/30/2018",DataSimple!M2:M1000,"Page (Non-Profit)",DataSimple!Y2:Y1000,"Latin America")</f>
        <v>0</v>
      </c>
      <c r="G9">
        <f>COUNTIFS(DataSimple!J2:J1000,"&gt;=5/1/2018",DataSimple!J2:J1000,"&lt;=5/31/2018",DataSimple!M2:M1000,"Page (Non-Profit)",DataSimple!Y2:Y1000,"Latin America")</f>
        <v>0</v>
      </c>
      <c r="H9">
        <f>COUNTIFS(DataSimple!J2:J1000,"&gt;=6/1/2018",DataSimple!J2:J1000,"&lt;=6/30/2018",DataSimple!M2:M1000,"Page (Non-Profit)",DataSimple!Y2:Y1000,"Latin America")</f>
        <v>0</v>
      </c>
      <c r="I9">
        <f>COUNTIFS(DataSimple!J2:J1000,"&gt;=7/1/2017",DataSimple!J2:J1000,"&lt;=7/31/2017",DataSimple!M2:M1000,"Page (Non-Profit)",DataSimple!Y2:Y1000,"Latin America")+COUNTIFS(DataSimple!J2:J1000,"&gt;=7/1/2018",DataSimple!J2:J1000,"&lt;=7/31/2018",DataSimple!M2:M1000,"Page (Non-Profit)",DataSimple!Y2:Y1000,"Latin America")</f>
        <v>0</v>
      </c>
      <c r="J9">
        <f>COUNTIFS(DataSimple!J2:J1000,"&gt;=8/1/2017",DataSimple!J2:J1000,"&lt;=8/31/2017",DataSimple!M2:M1000,"Page (Non-Profit)",DataSimple!Y2:Y1000,"Latin America")+COUNTIFS(DataSimple!J2:J1000,"&gt;=8/1/2018",DataSimple!J2:J1000,"&lt;=8/31/2018",DataSimple!M2:M1000,"Page (Non-Profit)",DataSimple!Y2:Y1000,"Latin America")</f>
        <v>0</v>
      </c>
      <c r="K9">
        <f>COUNTIFS(DataSimple!J2:J1000,"&gt;=9/1/2017",DataSimple!J2:J1000,"&lt;=9/30/2017",DataSimple!M2:M1000,"Page (Non-Profit)",DataSimple!Y2:Y1000,"Latin America")+COUNTIFS(DataSimple!J2:J1000,"&gt;=9/1/2018",DataSimple!J2:J1000,"&lt;=9/30/2018",DataSimple!M2:M1000,"Page (Non-Profit)",DataSimple!Y2:Y1000,"Latin America")</f>
        <v>0</v>
      </c>
      <c r="L9">
        <f>COUNTIFS(DataSimple!J2:J1000,"&gt;=10/1/2017",DataSimple!J2:J1000,"&lt;=10/31/2017",DataSimple!M2:M1000,"Page (Non-Profit)",DataSimple!Y2:Y1000,"Latin America")+COUNTIFS(DataSimple!J2:J1000,"&gt;=10/1/2018",DataSimple!J2:J1000,"&lt;=10/31/2018",DataSimple!M2:M1000,"Page (Non-Profit)",DataSimple!Y2:Y1000,"Latin America")</f>
        <v>0</v>
      </c>
      <c r="M9">
        <f>COUNTIFS(DataSimple!J2:J1000,"&gt;=11/1/2017",DataSimple!J2:J1000,"&lt;=11/30/2017",DataSimple!M2:M1000,"Page (Non-Profit)",DataSimple!Y2:Y1000,"Latin America")+COUNTIFS(DataSimple!J2:J1000,"&gt;=11/1/2018",DataSimple!J2:J1000,"&lt;=11/30/2018",DataSimple!M2:M1000,"Page (Non-Profit)",DataSimple!Y2:Y1000,"Latin America")</f>
        <v>0</v>
      </c>
      <c r="N9">
        <f>COUNTIFS(DataSimple!J2:J1000,"&gt;=12/1/2017",DataSimple!J2:J1000,"&lt;=12/31/2017",DataSimple!M2:M1000,"Page (Non-Profit)",DataSimple!Y2:Y1000,"Latin America")+COUNTIFS(DataSimple!J2:J1000,"&gt;=12/1/2018",DataSimple!J2:J1000,"&lt;=12/31/2018",DataSimple!M2:M1000,"Page (Non-Profit)",DataSimple!Y2:Y1000,"Latin America")</f>
        <v>0</v>
      </c>
      <c r="O9" s="22">
        <f t="shared" si="0"/>
        <v>0</v>
      </c>
      <c r="Q9">
        <v>1045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42</v>
      </c>
      <c r="C11" s="4">
        <f>SUM(C2:C9)</f>
        <v>1</v>
      </c>
      <c r="D11" s="4">
        <f t="shared" ref="D11:N11" si="2">SUM(D2:D9)</f>
        <v>2</v>
      </c>
      <c r="E11" s="4">
        <f t="shared" si="2"/>
        <v>0</v>
      </c>
      <c r="F11" s="4">
        <f t="shared" si="2"/>
        <v>2</v>
      </c>
      <c r="G11" s="4">
        <f t="shared" si="2"/>
        <v>1</v>
      </c>
      <c r="H11" s="4">
        <f t="shared" si="2"/>
        <v>0</v>
      </c>
      <c r="I11" s="4">
        <f t="shared" si="2"/>
        <v>4</v>
      </c>
      <c r="J11" s="4">
        <f t="shared" si="2"/>
        <v>9</v>
      </c>
      <c r="K11" s="4">
        <f t="shared" si="2"/>
        <v>4</v>
      </c>
      <c r="L11" s="4">
        <f t="shared" si="2"/>
        <v>0</v>
      </c>
      <c r="M11" s="4">
        <f t="shared" si="2"/>
        <v>0</v>
      </c>
      <c r="N11" s="4">
        <f t="shared" si="2"/>
        <v>1</v>
      </c>
      <c r="O11" s="22">
        <f>SUM(B11:N11)</f>
        <v>66</v>
      </c>
      <c r="R11" s="26">
        <f>SUM(R2:R9)</f>
        <v>56604.166666666664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6F02-6BC9-4B6B-A5E7-65E641B0E581}">
  <dimension ref="A1:R11"/>
  <sheetViews>
    <sheetView workbookViewId="0">
      <selection activeCell="A9" sqref="A3:A9"/>
    </sheetView>
  </sheetViews>
  <sheetFormatPr defaultRowHeight="14.35" x14ac:dyDescent="0.5"/>
  <sheetData>
    <row r="1" spans="1:18" x14ac:dyDescent="0.5">
      <c r="A1" s="3" t="s">
        <v>8575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(Government)",DataSimple!Y2:Y1000,"United States")</f>
        <v>1</v>
      </c>
      <c r="C2">
        <f>COUNTIFS(DataSimple!J2:J1000,"&gt;=1/1/2018",DataSimple!J2:J1000,"&lt;=1/31/2018",DataSimple!M2:M1000,"Page (Government)",DataSimple!Y2:Y1000,"United States")</f>
        <v>0</v>
      </c>
      <c r="D2">
        <f>COUNTIFS(DataSimple!J2:J1000,"&gt;=2/1/2018",DataSimple!J2:J1000,"&lt;=2/28/2018",DataSimple!M2:M1000,"Page (Government)",DataSimple!Y2:Y1000,"United States")</f>
        <v>0</v>
      </c>
      <c r="E2">
        <f>COUNTIFS(DataSimple!J2:J1000,"&gt;=3/1/2018",DataSimple!J2:J1000,"&lt;=3/31/2018",DataSimple!M2:M1000,"Page (Government)",DataSimple!Y2:Y1000,"United States")</f>
        <v>0</v>
      </c>
      <c r="F2">
        <f>COUNTIFS(DataSimple!J2:J1000,"&gt;=4/1/2018",DataSimple!J2:J1000,"&lt;=4/30/2018",DataSimple!M2:M1000,"Page (Government)",DataSimple!Y2:Y1000,"United States")</f>
        <v>0</v>
      </c>
      <c r="G2">
        <f>COUNTIFS(DataSimple!J2:J1000,"&gt;=5/1/2018",DataSimple!J2:J1000,"&lt;=5/31/2018",DataSimple!M2:M1000,"Page (Government)",DataSimple!Y2:Y1000,"United States")</f>
        <v>0</v>
      </c>
      <c r="H2">
        <f>COUNTIFS(DataSimple!J2:J1000,"&gt;=6/1/2018",DataSimple!J2:J1000,"&lt;=6/30/2018",DataSimple!M2:M1000,"Page (Government)",DataSimple!Y2:Y1000,"United States")</f>
        <v>0</v>
      </c>
      <c r="I2">
        <f>COUNTIFS(DataSimple!J2:J1000,"&gt;=7/1/2017",DataSimple!J2:J1000,"&lt;=7/31/2017",DataSimple!M2:M1000,"Page (Government)",DataSimple!Y2:Y1000,"United States")+COUNTIFS(DataSimple!J2:J1000,"&gt;=7/1/2018",DataSimple!J2:J1000,"&lt;=7/31/2018",DataSimple!M2:M1000,"Page (Government)",DataSimple!Y2:Y1000,"United States")</f>
        <v>0</v>
      </c>
      <c r="J2">
        <f>COUNTIFS(DataSimple!J2:J1000,"&gt;=8/1/2017",DataSimple!J2:J1000,"&lt;=8/31/2017",DataSimple!M2:M1000,"Page (Government)",DataSimple!Y2:Y1000,"United States")+COUNTIFS(DataSimple!J2:J1000,"&gt;=8/1/2018",DataSimple!J2:J1000,"&lt;=8/31/2018",DataSimple!M2:M1000,"Page (Government)",DataSimple!Y2:Y1000,"United States")</f>
        <v>0</v>
      </c>
      <c r="K2">
        <f>COUNTIFS(DataSimple!J2:J1000,"&gt;=9/1/2017",DataSimple!J2:J1000,"&lt;=9/30/2017",DataSimple!M2:M1000,"Page (Government)",DataSimple!Y2:Y1000,"United States")+COUNTIFS(DataSimple!J2:J1000,"&gt;=9/1/2018",DataSimple!J2:J1000,"&lt;=9/30/2018",DataSimple!M2:M1000,"Page (Government)",DataSimple!Y2:Y1000,"United States")</f>
        <v>0</v>
      </c>
      <c r="L2">
        <f>COUNTIFS(DataSimple!J2:J1000,"&gt;=10/1/2017",DataSimple!J2:J1000,"&lt;=10/31/2017",DataSimple!M2:M1000,"Page (Government)",DataSimple!Y2:Y1000,"United States")+COUNTIFS(DataSimple!J2:J1000,"&gt;=10/1/2018",DataSimple!J2:J1000,"&lt;=10/31/2018",DataSimple!M2:M1000,"Page (Government)",DataSimple!Y2:Y1000,"United States")</f>
        <v>0</v>
      </c>
      <c r="M2">
        <f>COUNTIFS(DataSimple!J2:J1000,"&gt;=11/1/2017",DataSimple!J2:J1000,"&lt;=11/30/2017",DataSimple!M2:M1000,"Page (Government)",DataSimple!Y2:Y1000,"United States")+COUNTIFS(DataSimple!J2:J1000,"&gt;=11/1/2018",DataSimple!J2:J1000,"&lt;=11/30/2018",DataSimple!M2:M1000,"Page (Government)",DataSimple!Y2:Y1000,"United States")</f>
        <v>0</v>
      </c>
      <c r="N2">
        <f>COUNTIFS(DataSimple!J2:J1000,"&gt;=12/1/2017",DataSimple!J2:J1000,"&lt;=12/31/2017",DataSimple!M2:M1000,"Page (Government)",DataSimple!Y2:Y1000,"United States")+COUNTIFS(DataSimple!J2:J1000,"&gt;=12/1/2018",DataSimple!J2:J1000,"&lt;=12/31/2018",DataSimple!M2:M1000,"Page (Government)",DataSimple!Y2:Y1000,"United States")</f>
        <v>0</v>
      </c>
      <c r="O2" s="22">
        <f t="shared" ref="O2:O9" si="0">SUM(B2:N2)</f>
        <v>1</v>
      </c>
      <c r="Q2">
        <v>1045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1045</v>
      </c>
    </row>
    <row r="3" spans="1:18" x14ac:dyDescent="0.5">
      <c r="A3" t="s">
        <v>1633</v>
      </c>
      <c r="B3">
        <f>COUNTIFS(DataSimple!J2:J1000,"&gt;=1/1/1980",DataSimple!J2:J1000,"&lt;=6/30/2017",DataSimple!M2:M1000,"Page (Government)",DataSimple!Y2:Y1000,"Canada")</f>
        <v>0</v>
      </c>
      <c r="C3">
        <f>COUNTIFS(DataSimple!J2:J1000,"&gt;=1/1/2018",DataSimple!J2:J1000,"&lt;=1/31/2018",DataSimple!M2:M1000,"Page (Government)",DataSimple!Y2:Y1000,"Canada")</f>
        <v>0</v>
      </c>
      <c r="D3">
        <f>COUNTIFS(DataSimple!J2:J1000,"&gt;=2/1/2018",DataSimple!J2:J1000,"&lt;=2/28/2018",DataSimple!M2:M1000,"Page (Government)",DataSimple!Y2:Y1000,"Canada")</f>
        <v>0</v>
      </c>
      <c r="E3">
        <f>COUNTIFS(DataSimple!J2:J1000,"&gt;=3/1/2018",DataSimple!J2:J1000,"&lt;=3/31/2018",DataSimple!M2:M1000,"Page (Government)",DataSimple!Y2:Y1000,"Canada")</f>
        <v>0</v>
      </c>
      <c r="F3">
        <f>COUNTIFS(DataSimple!J2:J1000,"&gt;=4/1/2018",DataSimple!J2:J1000,"&lt;=4/30/2018",DataSimple!M2:M1000,"Page (Government)",DataSimple!Y2:Y1000,"Canada")</f>
        <v>0</v>
      </c>
      <c r="G3">
        <f>COUNTIFS(DataSimple!J2:J1000,"&gt;=5/1/2018",DataSimple!J2:J1000,"&lt;=5/31/2018",DataSimple!M2:M1000,"Page (Government)",DataSimple!Y2:Y1000,"Canada")</f>
        <v>0</v>
      </c>
      <c r="H3">
        <f>COUNTIFS(DataSimple!J2:J1000,"&gt;=6/1/2018",DataSimple!J2:J1000,"&lt;=6/30/2018",DataSimple!M2:M1000,"Page (Government)",DataSimple!Y2:Y1000,"Canada")</f>
        <v>0</v>
      </c>
      <c r="I3">
        <f>COUNTIFS(DataSimple!J2:J1000,"&gt;=7/1/2017",DataSimple!J2:J1000,"&lt;=7/31/2017",DataSimple!M2:M1000,"Page (Government)",DataSimple!Y2:Y1000,"Canada")+COUNTIFS(DataSimple!J2:J1000,"&gt;=7/1/2018",DataSimple!J2:J1000,"&lt;=7/31/2018",DataSimple!M2:M1000,"Page (Government)",DataSimple!Y2:Y1000,"Canada")</f>
        <v>0</v>
      </c>
      <c r="J3">
        <f>COUNTIFS(DataSimple!J2:J1000,"&gt;=8/1/2017",DataSimple!J2:J1000,"&lt;=8/31/2017",DataSimple!M2:M1000,"Page (Government)",DataSimple!Y2:Y1000,"Canada")+COUNTIFS(DataSimple!J2:J1000,"&gt;=8/1/2018",DataSimple!J2:J1000,"&lt;=8/31/2018",DataSimple!M2:M1000,"Page (Government)",DataSimple!Y2:Y1000,"Canada")</f>
        <v>0</v>
      </c>
      <c r="K3">
        <f>COUNTIFS(DataSimple!J2:J1000,"&gt;=9/1/2017",DataSimple!J2:J1000,"&lt;=9/30/2017",DataSimple!M2:M1000,"Page (Government)",DataSimple!Y2:Y1000,"Canada")+COUNTIFS(DataSimple!J2:J1000,"&gt;=9/1/2018",DataSimple!J2:J1000,"&lt;=9/30/2018",DataSimple!M2:M1000,"Page (Government)",DataSimple!Y2:Y1000,"Canada")</f>
        <v>0</v>
      </c>
      <c r="L3">
        <f>COUNTIFS(DataSimple!J2:J1000,"&gt;=10/1/2017",DataSimple!J2:J1000,"&lt;=10/31/2017",DataSimple!M2:M1000,"Page (Government)",DataSimple!Y2:Y1000,"Canada")+COUNTIFS(DataSimple!J2:J1000,"&gt;=10/1/2018",DataSimple!J2:J1000,"&lt;=10/31/2018",DataSimple!M2:M1000,"Page (Government)",DataSimple!Y2:Y1000,"Canada")</f>
        <v>0</v>
      </c>
      <c r="M3">
        <f>COUNTIFS(DataSimple!J2:J1000,"&gt;=11/1/2017",DataSimple!J2:J1000,"&lt;=11/30/2017",DataSimple!M2:M1000,"Page (Government)",DataSimple!Y2:Y1000,"Canada")+COUNTIFS(DataSimple!J2:J1000,"&gt;=11/1/2018",DataSimple!J2:J1000,"&lt;=11/30/2018",DataSimple!M2:M1000,"Page (Government)",DataSimple!Y2:Y1000,"Canada")</f>
        <v>0</v>
      </c>
      <c r="N3">
        <f>COUNTIFS(DataSimple!J2:J1000,"&gt;=12/1/2017",DataSimple!J2:J1000,"&lt;=12/31/2017",DataSimple!M2:M1000,"Page (Government)",DataSimple!Y2:Y1000,"Canada")+COUNTIFS(DataSimple!J2:J1000,"&gt;=12/1/2018",DataSimple!J2:J1000,"&lt;=12/31/2018",DataSimple!M2:M1000,"Page (Government)",DataSimple!Y2:Y1000,"Canada")</f>
        <v>0</v>
      </c>
      <c r="O3" s="22">
        <f t="shared" si="0"/>
        <v>0</v>
      </c>
      <c r="Q3">
        <v>1045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0</v>
      </c>
    </row>
    <row r="4" spans="1:18" x14ac:dyDescent="0.5">
      <c r="A4" t="s">
        <v>744</v>
      </c>
      <c r="B4">
        <f>COUNTIFS(DataSimple!J2:J1000,"&gt;=1/1/1980",DataSimple!J2:J1000,"&lt;=6/30/2017",DataSimple!M2:M1000,"Page (Government)",DataSimple!Y2:Y1000,"Europe")</f>
        <v>2</v>
      </c>
      <c r="C4">
        <f>COUNTIFS(DataSimple!J2:J1000,"&gt;=1/1/2018",DataSimple!J2:J1000,"&lt;=1/31/2018",DataSimple!M2:M1000,"Page (Government)",DataSimple!Y2:Y1000,"Europe")</f>
        <v>0</v>
      </c>
      <c r="D4">
        <f>COUNTIFS(DataSimple!J2:J1000,"&gt;=2/1/2018",DataSimple!J2:J1000,"&lt;=2/28/2018",DataSimple!M2:M1000,"Page (Government)",DataSimple!Y2:Y1000,"Europe")</f>
        <v>0</v>
      </c>
      <c r="E4">
        <f>COUNTIFS(DataSimple!J2:J1000,"&gt;=3/1/2018",DataSimple!J2:J1000,"&lt;=3/31/2018",DataSimple!M2:M1000,"Page (Government)",DataSimple!Y2:Y1000,"Europe")</f>
        <v>0</v>
      </c>
      <c r="F4">
        <f>COUNTIFS(DataSimple!J2:J1000,"&gt;=4/1/2018",DataSimple!J2:J1000,"&lt;=4/30/2018",DataSimple!M2:M1000,"Page (Government)",DataSimple!Y2:Y1000,"Europe")</f>
        <v>0</v>
      </c>
      <c r="G4">
        <f>COUNTIFS(DataSimple!J2:J1000,"&gt;=5/1/2018",DataSimple!J2:J1000,"&lt;=5/31/2018",DataSimple!M2:M1000,"Page (Government)",DataSimple!Y2:Y1000,"Europe")</f>
        <v>0</v>
      </c>
      <c r="H4">
        <f>COUNTIFS(DataSimple!J2:J1000,"&gt;=6/1/2018",DataSimple!J2:J1000,"&lt;=6/30/2018",DataSimple!M2:M1000,"Page (Government)",DataSimple!Y2:Y1000,"Europe")</f>
        <v>0</v>
      </c>
      <c r="I4">
        <f>COUNTIFS(DataSimple!J2:J1000,"&gt;=7/1/2017",DataSimple!J2:J1000,"&lt;=7/31/2017",DataSimple!M2:M1000,"Page (Government)",DataSimple!Y2:Y1000,"Europe")+COUNTIFS(DataSimple!J2:J1000,"&gt;=7/1/2018",DataSimple!J2:J1000,"&lt;=7/31/2018",DataSimple!M2:M1000,"Page (Government)",DataSimple!Y2:Y1000,"Europe")</f>
        <v>0</v>
      </c>
      <c r="J4">
        <f>COUNTIFS(DataSimple!J2:J1000,"&gt;=8/1/2017",DataSimple!J2:J1000,"&lt;=8/31/2017",DataSimple!M2:M1000,"Page (Government)",DataSimple!Y2:Y1000,"Europe")+COUNTIFS(DataSimple!J2:J1000,"&gt;=8/1/2018",DataSimple!J2:J1000,"&lt;=8/31/2018",DataSimple!M2:M1000,"Page (Government)",DataSimple!Y2:Y1000,"Europe")</f>
        <v>0</v>
      </c>
      <c r="K4">
        <f>COUNTIFS(DataSimple!J2:J1000,"&gt;=9/1/2017",DataSimple!J2:J1000,"&lt;=9/30/2017",DataSimple!M2:M1000,"Page (Government)",DataSimple!Y2:Y1000,"Europe")+COUNTIFS(DataSimple!J2:J1000,"&gt;=9/1/2018",DataSimple!J2:J1000,"&lt;=9/30/2018",DataSimple!M2:M1000,"Page (Government)",DataSimple!Y2:Y1000,"Europe")</f>
        <v>0</v>
      </c>
      <c r="L4">
        <f>COUNTIFS(DataSimple!J2:J1000,"&gt;=10/1/2017",DataSimple!J2:J1000,"&lt;=10/31/2017",DataSimple!M2:M1000,"Page (Government)",DataSimple!Y2:Y1000,"Europe")+COUNTIFS(DataSimple!J2:J1000,"&gt;=10/1/2018",DataSimple!J2:J1000,"&lt;=10/31/2018",DataSimple!M2:M1000,"Page (Government)",DataSimple!Y2:Y1000,"Europe")</f>
        <v>0</v>
      </c>
      <c r="M4">
        <f>COUNTIFS(DataSimple!J2:J1000,"&gt;=11/1/2017",DataSimple!J2:J1000,"&lt;=11/30/2017",DataSimple!M2:M1000,"Page (Government)",DataSimple!Y2:Y1000,"Europe")+COUNTIFS(DataSimple!J2:J1000,"&gt;=11/1/2018",DataSimple!J2:J1000,"&lt;=11/30/2018",DataSimple!M2:M1000,"Page (Government)",DataSimple!Y2:Y1000,"Europe")</f>
        <v>0</v>
      </c>
      <c r="N4">
        <f>COUNTIFS(DataSimple!J2:J1000,"&gt;=12/1/2017",DataSimple!J2:J1000,"&lt;=12/31/2017",DataSimple!M2:M1000,"Page (Government)",DataSimple!Y2:Y1000,"Europe")+COUNTIFS(DataSimple!J2:J1000,"&gt;=12/1/2018",DataSimple!J2:J1000,"&lt;=12/31/2018",DataSimple!M2:M1000,"Page (Government)",DataSimple!Y2:Y1000,"Europe")</f>
        <v>0</v>
      </c>
      <c r="O4" s="22">
        <f t="shared" si="0"/>
        <v>2</v>
      </c>
      <c r="Q4">
        <v>1045</v>
      </c>
      <c r="R4" s="1">
        <f t="shared" si="1"/>
        <v>2090</v>
      </c>
    </row>
    <row r="5" spans="1:18" x14ac:dyDescent="0.5">
      <c r="A5" t="s">
        <v>8559</v>
      </c>
      <c r="B5">
        <f>COUNTIFS(DataSimple!J2:J1000,"&gt;=1/1/1980",DataSimple!J2:J1000,"&lt;=6/30/2017",DataSimple!M2:M1000,"Page (Government)",DataSimple!Y2:Y1000,"Middle East/Africa")</f>
        <v>0</v>
      </c>
      <c r="C5">
        <f>COUNTIFS(DataSimple!J2:J1000,"&gt;=1/1/2018",DataSimple!J2:J1000,"&lt;=1/31/2018",DataSimple!M2:M1000,"Page (Government)",DataSimple!Y2:Y1000,"Middle East/Africa")</f>
        <v>0</v>
      </c>
      <c r="D5">
        <f>COUNTIFS(DataSimple!J2:J1000,"&gt;=2/1/2018",DataSimple!J2:J1000,"&lt;=2/28/2018",DataSimple!M2:M1000,"Page (Government)",DataSimple!Y2:Y1000,"Middle East/Africa")</f>
        <v>0</v>
      </c>
      <c r="E5">
        <f>COUNTIFS(DataSimple!J2:J1000,"&gt;=3/1/2018",DataSimple!J2:J1000,"&lt;=3/31/2018",DataSimple!M2:M1000,"Page (Government)",DataSimple!Y2:Y1000,"Middle East/Africa")</f>
        <v>0</v>
      </c>
      <c r="F5">
        <f>COUNTIFS(DataSimple!J2:J1000,"&gt;=4/1/2018",DataSimple!J2:J1000,"&lt;=4/30/2018",DataSimple!M2:M1000,"Page (Government)",DataSimple!Y2:Y1000,"Middle East/Africa")</f>
        <v>0</v>
      </c>
      <c r="G5">
        <f>COUNTIFS(DataSimple!J2:J1000,"&gt;=5/1/2018",DataSimple!J2:J1000,"&lt;=5/31/2018",DataSimple!M2:M1000,"Page (Government)",DataSimple!Y2:Y1000,"Middle East/Africa")</f>
        <v>0</v>
      </c>
      <c r="H5">
        <f>COUNTIFS(DataSimple!J2:J1000,"&gt;=6/1/2018",DataSimple!J2:J1000,"&lt;=6/30/2018",DataSimple!M2:M1000,"Page (Government)",DataSimple!Y2:Y1000,"Middle East/Africa")</f>
        <v>0</v>
      </c>
      <c r="I5">
        <f>COUNTIFS(DataSimple!J2:J1000,"&gt;=7/1/2017",DataSimple!J2:J1000,"&lt;=7/31/2017",DataSimple!M2:M1000,"Page (Government)",DataSimple!Y2:Y1000,"Middle East/Africa")+COUNTIFS(DataSimple!J2:J1000,"&gt;=7/1/2018",DataSimple!J2:J1000,"&lt;=7/31/2018",DataSimple!M2:M1000,"Page (Government)",DataSimple!Y2:Y1000,"Middle East/Africa")</f>
        <v>0</v>
      </c>
      <c r="J5">
        <f>COUNTIFS(DataSimple!J2:J1000,"&gt;=8/1/2017",DataSimple!J2:J1000,"&lt;=8/31/2017",DataSimple!M2:M1000,"Page (Government)",DataSimple!Y2:Y1000,"Middle East/Africa")+COUNTIFS(DataSimple!J2:J1000,"&gt;=8/1/2018",DataSimple!J2:J1000,"&lt;=8/31/2018",DataSimple!M2:M1000,"Page (Government)",DataSimple!Y2:Y1000,"Middle East/Africa")</f>
        <v>0</v>
      </c>
      <c r="K5">
        <f>COUNTIFS(DataSimple!J2:J1000,"&gt;=9/1/2017",DataSimple!J2:J1000,"&lt;=9/30/2017",DataSimple!M2:M1000,"Page (Government)",DataSimple!Y2:Y1000,"Middle East/Africa")+COUNTIFS(DataSimple!J2:J1000,"&gt;=9/1/2018",DataSimple!J2:J1000,"&lt;=9/30/2018",DataSimple!M2:M1000,"Page (Government)",DataSimple!Y2:Y1000,"Middle East/Africa")</f>
        <v>0</v>
      </c>
      <c r="L5">
        <f>COUNTIFS(DataSimple!J2:J1000,"&gt;=10/1/2017",DataSimple!J2:J1000,"&lt;=10/31/2017",DataSimple!M2:M1000,"Page (Government)",DataSimple!Y2:Y1000,"Middle East/Africa")+COUNTIFS(DataSimple!J2:J1000,"&gt;=10/1/2018",DataSimple!J2:J1000,"&lt;=10/31/2018",DataSimple!M2:M1000,"Page (Government)",DataSimple!Y2:Y1000,"Middle East/Africa")</f>
        <v>0</v>
      </c>
      <c r="M5">
        <f>COUNTIFS(DataSimple!J2:J1000,"&gt;=11/1/2017",DataSimple!J2:J1000,"&lt;=11/30/2017",DataSimple!M2:M1000,"Page (Government)",DataSimple!Y2:Y1000,"Middle East/Africa")+COUNTIFS(DataSimple!J2:J1000,"&gt;=11/1/2018",DataSimple!J2:J1000,"&lt;=11/30/2018",DataSimple!M2:M1000,"Page (Government)",DataSimple!Y2:Y1000,"Middle East/Africa")</f>
        <v>0</v>
      </c>
      <c r="N5">
        <f>COUNTIFS(DataSimple!J2:J1000,"&gt;=12/1/2017",DataSimple!J2:J1000,"&lt;=12/31/2017",DataSimple!M2:M1000,"Page (Government)",DataSimple!Y2:Y1000,"Middle East/Africa")+COUNTIFS(DataSimple!J2:J1000,"&gt;=12/1/2018",DataSimple!J2:J1000,"&lt;=12/31/2018",DataSimple!M2:M1000,"Page (Government)",DataSimple!Y2:Y1000,"Middle East/Africa")</f>
        <v>0</v>
      </c>
      <c r="O5" s="22">
        <f t="shared" si="0"/>
        <v>0</v>
      </c>
      <c r="Q5">
        <v>1045</v>
      </c>
      <c r="R5" s="1">
        <f t="shared" si="1"/>
        <v>0</v>
      </c>
    </row>
    <row r="6" spans="1:18" x14ac:dyDescent="0.5">
      <c r="A6" t="s">
        <v>8560</v>
      </c>
      <c r="B6">
        <f>COUNTIFS(DataSimple!J2:J1000,"&gt;=1/1/1980",DataSimple!J2:J1000,"&lt;=6/30/2017",DataSimple!M2:M1000,"Page (Government)",DataSimple!Y2:Y1000,"Asia:Other")</f>
        <v>0</v>
      </c>
      <c r="C6">
        <f>COUNTIFS(DataSimple!J2:J1000,"&gt;=1/1/2018",DataSimple!J2:J1000,"&lt;=1/31/2018",DataSimple!M2:M1000,"Page (Government)",DataSimple!Y2:Y1000,"Asia:Other")</f>
        <v>0</v>
      </c>
      <c r="D6">
        <f>COUNTIFS(DataSimple!J2:J1000,"&gt;=2/1/2018",DataSimple!J2:J1000,"&lt;=2/28/2018",DataSimple!M2:M1000,"Page (Government)",DataSimple!Y2:Y1000,"Asia:Other")</f>
        <v>0</v>
      </c>
      <c r="E6">
        <f>COUNTIFS(DataSimple!J2:J1000,"&gt;=3/1/2018",DataSimple!J2:J1000,"&lt;=3/31/2018",DataSimple!M2:M1000,"Page (Government)",DataSimple!Y2:Y1000,"Asia:Other")</f>
        <v>0</v>
      </c>
      <c r="F6">
        <f>COUNTIFS(DataSimple!J2:J1000,"&gt;=4/1/2018",DataSimple!J2:J1000,"&lt;=4/30/2018",DataSimple!M2:M1000,"Page (Government)",DataSimple!Y2:Y1000,"Asia:Other")</f>
        <v>0</v>
      </c>
      <c r="G6">
        <f>COUNTIFS(DataSimple!J2:J1000,"&gt;=5/1/2018",DataSimple!J2:J1000,"&lt;=5/31/2018",DataSimple!M2:M1000,"Page (Government)",DataSimple!Y2:Y1000,"Asia:Other")</f>
        <v>0</v>
      </c>
      <c r="H6">
        <f>COUNTIFS(DataSimple!J2:J1000,"&gt;=6/1/2018",DataSimple!J2:J1000,"&lt;=6/30/2018",DataSimple!M2:M1000,"Page (Government)",DataSimple!Y2:Y1000,"Asia:Other")</f>
        <v>0</v>
      </c>
      <c r="I6">
        <f>COUNTIFS(DataSimple!J2:J1000,"&gt;=7/1/2017",DataSimple!J2:J1000,"&lt;=7/31/2017",DataSimple!M2:M1000,"Page (Government)",DataSimple!Y2:Y1000,"Asia:Other")+COUNTIFS(DataSimple!J2:J1000,"&gt;=7/1/2018",DataSimple!J2:J1000,"&lt;=7/31/2018",DataSimple!M2:M1000,"Page (Government)",DataSimple!Y2:Y1000,"Asia:Other")</f>
        <v>0</v>
      </c>
      <c r="J6">
        <f>COUNTIFS(DataSimple!J2:J1000,"&gt;=8/1/2017",DataSimple!J2:J1000,"&lt;=8/31/2017",DataSimple!M2:M1000,"Page (Government)",DataSimple!Y2:Y1000,"Asia:Other")+COUNTIFS(DataSimple!J2:J1000,"&gt;=8/1/2018",DataSimple!J2:J1000,"&lt;=8/31/2018",DataSimple!M2:M1000,"Page (Government)",DataSimple!Y2:Y1000,"Asia:Other")</f>
        <v>0</v>
      </c>
      <c r="K6">
        <f>COUNTIFS(DataSimple!J2:J1000,"&gt;=9/1/2017",DataSimple!J2:J1000,"&lt;=9/30/2017",DataSimple!M2:M1000,"Page (Government)",DataSimple!Y2:Y1000,"Asia:Other")+COUNTIFS(DataSimple!J2:J1000,"&gt;=9/1/2018",DataSimple!J2:J1000,"&lt;=9/30/2018",DataSimple!M2:M1000,"Page (Government)",DataSimple!Y2:Y1000,"Asia:Other")</f>
        <v>0</v>
      </c>
      <c r="L6">
        <f>COUNTIFS(DataSimple!J2:J1000,"&gt;=10/1/2017",DataSimple!J2:J1000,"&lt;=10/31/2017",DataSimple!M2:M1000,"Page (Government)",DataSimple!Y2:Y1000,"Asia:Other")+COUNTIFS(DataSimple!J2:J1000,"&gt;=10/1/2018",DataSimple!J2:J1000,"&lt;=10/31/2018",DataSimple!M2:M1000,"Page (Government)",DataSimple!Y2:Y1000,"Asia:Other")</f>
        <v>0</v>
      </c>
      <c r="M6">
        <f>COUNTIFS(DataSimple!J2:J1000,"&gt;=11/1/2017",DataSimple!J2:J1000,"&lt;=11/30/2017",DataSimple!M2:M1000,"Page (Government)",DataSimple!Y2:Y1000,"Asia:Other")+COUNTIFS(DataSimple!J2:J1000,"&gt;=11/1/2018",DataSimple!J2:J1000,"&lt;=11/30/2018",DataSimple!M2:M1000,"Page (Government)",DataSimple!Y2:Y1000,"Asia:Other")</f>
        <v>0</v>
      </c>
      <c r="N6">
        <f>COUNTIFS(DataSimple!J2:J1000,"&gt;=12/1/2017",DataSimple!J2:J1000,"&lt;=12/31/2017",DataSimple!M2:M1000,"Page (Government)",DataSimple!Y2:Y1000,"Asia:Other")+COUNTIFS(DataSimple!J2:J1000,"&gt;=12/1/2018",DataSimple!J2:J1000,"&lt;=12/31/2018",DataSimple!M2:M1000,"Page (Government)",DataSimple!Y2:Y1000,"Asia:Other")</f>
        <v>0</v>
      </c>
      <c r="O6" s="22">
        <f t="shared" si="0"/>
        <v>0</v>
      </c>
      <c r="Q6">
        <v>1045</v>
      </c>
      <c r="R6" s="1">
        <f t="shared" si="1"/>
        <v>0</v>
      </c>
    </row>
    <row r="7" spans="1:18" x14ac:dyDescent="0.5">
      <c r="A7" t="s">
        <v>4147</v>
      </c>
      <c r="B7">
        <f>COUNTIFS(DataSimple!J2:J1000,"&gt;=1/1/1980",DataSimple!J2:J1000,"&lt;=6/30/2017",DataSimple!M2:M1000,"Page (Government)",DataSimple!Y2:Y1000,"Australia/NZ")</f>
        <v>0</v>
      </c>
      <c r="C7">
        <f>COUNTIFS(DataSimple!J2:J1000,"&gt;=1/1/2018",DataSimple!J2:J1000,"&lt;=1/31/2018",DataSimple!M2:M1000,"Page (Government)",DataSimple!Y2:Y1000,"Australia/NZ")</f>
        <v>0</v>
      </c>
      <c r="D7">
        <f>COUNTIFS(DataSimple!J2:J1000,"&gt;=2/1/2018",DataSimple!J2:J1000,"&lt;=2/28/2018",DataSimple!M2:M1000,"Page (Government)",DataSimple!Y2:Y1000,"Australia/NZ")</f>
        <v>0</v>
      </c>
      <c r="E7">
        <f>COUNTIFS(DataSimple!J2:J1000,"&gt;=3/1/2018",DataSimple!J2:J1000,"&lt;=3/31/2018",DataSimple!M2:M1000,"Page (Government)",DataSimple!Y2:Y1000,"Australia/NZ")</f>
        <v>0</v>
      </c>
      <c r="F7">
        <f>COUNTIFS(DataSimple!J2:J1000,"&gt;=4/1/2018",DataSimple!J2:J1000,"&lt;=4/30/2018",DataSimple!M2:M1000,"Page (Government)",DataSimple!Y2:Y1000,"Australia/NZ")</f>
        <v>0</v>
      </c>
      <c r="G7">
        <f>COUNTIFS(DataSimple!J2:J1000,"&gt;=5/1/2018",DataSimple!J2:J1000,"&lt;=5/31/2018",DataSimple!M2:M1000,"Page (Government)",DataSimple!Y2:Y1000,"Australia/NZ")</f>
        <v>0</v>
      </c>
      <c r="H7">
        <f>COUNTIFS(DataSimple!J2:J1000,"&gt;=6/1/2018",DataSimple!J2:J1000,"&lt;=6/30/2018",DataSimple!M2:M1000,"Page (Government)",DataSimple!Y2:Y1000,"Australia/NZ")</f>
        <v>0</v>
      </c>
      <c r="I7">
        <f>COUNTIFS(DataSimple!J2:J1000,"&gt;=7/1/2017",DataSimple!J2:J1000,"&lt;=7/31/2017",DataSimple!M2:M1000,"Page (Government)",DataSimple!Y2:Y1000,"Australia/NZ")+COUNTIFS(DataSimple!J2:J1000,"&gt;=7/1/2018",DataSimple!J2:J1000,"&lt;=7/31/2018",DataSimple!M2:M1000,"Page (Government)",DataSimple!Y2:Y1000,"Australia/NZ")</f>
        <v>0</v>
      </c>
      <c r="J7">
        <f>COUNTIFS(DataSimple!J2:J1000,"&gt;=8/1/2017",DataSimple!J2:J1000,"&lt;=8/31/2017",DataSimple!M2:M1000,"Page (Government)",DataSimple!Y2:Y1000,"Australia/NZ")+COUNTIFS(DataSimple!J2:J1000,"&gt;=8/1/2018",DataSimple!J2:J1000,"&lt;=8/31/2018",DataSimple!M2:M1000,"Page (Government)",DataSimple!Y2:Y1000,"Australia/NZ")</f>
        <v>0</v>
      </c>
      <c r="K7">
        <f>COUNTIFS(DataSimple!J2:J1000,"&gt;=9/1/2017",DataSimple!J2:J1000,"&lt;=9/30/2017",DataSimple!M2:M1000,"Page (Government)",DataSimple!Y2:Y1000,"Australia/NZ")+COUNTIFS(DataSimple!J2:J1000,"&gt;=9/1/2018",DataSimple!J2:J1000,"&lt;=9/30/2018",DataSimple!M2:M1000,"Page (Government)",DataSimple!Y2:Y1000,"Australia/NZ")</f>
        <v>0</v>
      </c>
      <c r="L7">
        <f>COUNTIFS(DataSimple!J2:J1000,"&gt;=10/1/2017",DataSimple!J2:J1000,"&lt;=10/31/2017",DataSimple!M2:M1000,"Page (Government)",DataSimple!Y2:Y1000,"Australia/NZ")+COUNTIFS(DataSimple!J2:J1000,"&gt;=10/1/2018",DataSimple!J2:J1000,"&lt;=10/31/2018",DataSimple!M2:M1000,"Page (Government)",DataSimple!Y2:Y1000,"Australia/NZ")</f>
        <v>0</v>
      </c>
      <c r="M7">
        <f>COUNTIFS(DataSimple!J2:J1000,"&gt;=11/1/2017",DataSimple!J2:J1000,"&lt;=11/30/2017",DataSimple!M2:M1000,"Page (Government)",DataSimple!Y2:Y1000,"Australia/NZ")+COUNTIFS(DataSimple!J2:J1000,"&gt;=11/1/2018",DataSimple!J2:J1000,"&lt;=11/30/2018",DataSimple!M2:M1000,"Page (Government)",DataSimple!Y2:Y1000,"Australia/NZ")</f>
        <v>0</v>
      </c>
      <c r="N7">
        <f>COUNTIFS(DataSimple!J2:J1000,"&gt;=12/1/2017",DataSimple!J2:J1000,"&lt;=12/31/2017",DataSimple!M2:M1000,"Page (Government)",DataSimple!Y2:Y1000,"Australia/NZ")+COUNTIFS(DataSimple!J2:J1000,"&gt;=12/1/2018",DataSimple!J2:J1000,"&lt;=12/31/2018",DataSimple!M2:M1000,"Page (Government)",DataSimple!Y2:Y1000,"Australia/NZ")</f>
        <v>0</v>
      </c>
      <c r="O7" s="22">
        <f>SUM(B7:N7)</f>
        <v>0</v>
      </c>
      <c r="Q7">
        <v>1045</v>
      </c>
      <c r="R7" s="1">
        <f t="shared" si="1"/>
        <v>0</v>
      </c>
    </row>
    <row r="8" spans="1:18" x14ac:dyDescent="0.5">
      <c r="A8" t="s">
        <v>2512</v>
      </c>
      <c r="B8">
        <f>COUNTIFS(DataSimple!J2:J1000,"&gt;=1/1/1980",DataSimple!J2:J1000,"&lt;=6/30/2017",DataSimple!M2:M1000,"Page (Government)",DataSimple!Y2:Y1000,"Asia:India")</f>
        <v>0</v>
      </c>
      <c r="C8">
        <f>COUNTIFS(DataSimple!J2:J1000,"&gt;=1/1/2018",DataSimple!J2:J1000,"&lt;=1/31/2018",DataSimple!M2:M1000,"Page (Government)",DataSimple!Y2:Y1000,"Asia:India")</f>
        <v>0</v>
      </c>
      <c r="D8">
        <f>COUNTIFS(DataSimple!J2:J1000,"&gt;=2/1/2018",DataSimple!J2:J1000,"&lt;=2/28/2018",DataSimple!M2:M1000,"Page (Government)",DataSimple!Y2:Y1000,"Asia:India")</f>
        <v>0</v>
      </c>
      <c r="E8">
        <f>COUNTIFS(DataSimple!J2:J1000,"&gt;=3/1/2018",DataSimple!J2:J1000,"&lt;=3/31/2018",DataSimple!M2:M1000,"Page (Government)",DataSimple!Y2:Y1000,"Asia:India")</f>
        <v>0</v>
      </c>
      <c r="F8">
        <f>COUNTIFS(DataSimple!J2:J1000,"&gt;=4/1/2018",DataSimple!J2:J1000,"&lt;=4/30/2018",DataSimple!M2:M1000,"Page (Government)",DataSimple!Y2:Y1000,"Asia:India")</f>
        <v>0</v>
      </c>
      <c r="G8">
        <f>COUNTIFS(DataSimple!J2:J1000,"&gt;=5/1/2018",DataSimple!J2:J1000,"&lt;=5/31/2018",DataSimple!M2:M1000,"Page (Government)",DataSimple!Y2:Y1000,"Asia:India")</f>
        <v>0</v>
      </c>
      <c r="H8">
        <f>COUNTIFS(DataSimple!J2:J1000,"&gt;=6/1/2018",DataSimple!J2:J1000,"&lt;=6/30/2018",DataSimple!M2:M1000,"Page (Government)",DataSimple!Y2:Y1000,"Asia:India")</f>
        <v>0</v>
      </c>
      <c r="I8">
        <f>COUNTIFS(DataSimple!J2:J1000,"&gt;=7/1/2017",DataSimple!J2:J1000,"&lt;=7/31/2017",DataSimple!M2:M1000,"Page (Government)",DataSimple!Y2:Y1000,"Asia:India")+COUNTIFS(DataSimple!J2:J1000,"&gt;=7/1/2018",DataSimple!J2:J1000,"&lt;=7/31/2018",DataSimple!M2:M1000,"Page (Government)",DataSimple!Y2:Y1000,"Asia:India")</f>
        <v>0</v>
      </c>
      <c r="J8">
        <f>COUNTIFS(DataSimple!J2:J1000,"&gt;=8/1/2017",DataSimple!J2:J1000,"&lt;=8/31/2017",DataSimple!M2:M1000,"Page (Government)",DataSimple!Y2:Y1000,"Asia:India")+COUNTIFS(DataSimple!J2:J1000,"&gt;=8/1/2018",DataSimple!J2:J1000,"&lt;=8/31/2018",DataSimple!M2:M1000,"Page (Government)",DataSimple!Y2:Y1000,"Asia:India")</f>
        <v>0</v>
      </c>
      <c r="K8">
        <f>COUNTIFS(DataSimple!J2:J1000,"&gt;=9/1/2017",DataSimple!J2:J1000,"&lt;=9/30/2017",DataSimple!M2:M1000,"Page (Government)",DataSimple!Y2:Y1000,"Asia:India")+COUNTIFS(DataSimple!J2:J1000,"&gt;=9/1/2018",DataSimple!J2:J1000,"&lt;=9/30/2018",DataSimple!M2:M1000,"Page (Government)",DataSimple!Y2:Y1000,"Asia:India")</f>
        <v>0</v>
      </c>
      <c r="L8">
        <f>COUNTIFS(DataSimple!J2:J1000,"&gt;=10/1/2017",DataSimple!J2:J1000,"&lt;=10/31/2017",DataSimple!M2:M1000,"Page (Government)",DataSimple!Y2:Y1000,"Asia:India")+COUNTIFS(DataSimple!J2:J1000,"&gt;=10/1/2018",DataSimple!J2:J1000,"&lt;=10/31/2018",DataSimple!M2:M1000,"Page (Government)",DataSimple!Y2:Y1000,"Asia:India")</f>
        <v>0</v>
      </c>
      <c r="M8">
        <f>COUNTIFS(DataSimple!J2:J1000,"&gt;=11/1/2017",DataSimple!J2:J1000,"&lt;=11/30/2017",DataSimple!M2:M1000,"Page (Government)",DataSimple!Y2:Y1000,"Asia:India")+COUNTIFS(DataSimple!J2:J1000,"&gt;=11/1/2018",DataSimple!J2:J1000,"&lt;=11/30/2018",DataSimple!M2:M1000,"Page (Government)",DataSimple!Y2:Y1000,"Asia:India")</f>
        <v>0</v>
      </c>
      <c r="N8">
        <f>COUNTIFS(DataSimple!J2:J1000,"&gt;=12/1/2017",DataSimple!J2:J1000,"&lt;=12/31/2017",DataSimple!M2:M1000,"Page (Government)",DataSimple!Y2:Y1000,"Asia:India")+COUNTIFS(DataSimple!J2:J1000,"&gt;=12/1/2018",DataSimple!J2:J1000,"&lt;=12/31/2018",DataSimple!M2:M1000,"Page (Government)",DataSimple!Y2:Y1000,"Asia:India")</f>
        <v>0</v>
      </c>
      <c r="O8" s="22">
        <f t="shared" si="0"/>
        <v>0</v>
      </c>
      <c r="Q8">
        <v>1045</v>
      </c>
      <c r="R8" s="1">
        <f t="shared" si="1"/>
        <v>0</v>
      </c>
    </row>
    <row r="9" spans="1:18" x14ac:dyDescent="0.5">
      <c r="A9" t="s">
        <v>8561</v>
      </c>
      <c r="B9">
        <f>COUNTIFS(DataSimple!J2:J1000,"&gt;=1/1/1980",DataSimple!J2:J1000,"&lt;=6/30/2017",DataSimple!M2:M1000,"Page (Government)",DataSimple!Y2:Y1000,"Latin America")</f>
        <v>0</v>
      </c>
      <c r="C9">
        <f>COUNTIFS(DataSimple!J2:J1000,"&gt;=1/1/2018",DataSimple!J2:J1000,"&lt;=1/31/2018",DataSimple!M2:M1000,"Page (Government)",DataSimple!Y2:Y1000,"Latin America")</f>
        <v>0</v>
      </c>
      <c r="D9">
        <f>COUNTIFS(DataSimple!J2:J1000,"&gt;=2/1/2018",DataSimple!J2:J1000,"&lt;=2/28/2018",DataSimple!M2:M1000,"Page (Government)",DataSimple!Y2:Y1000,"Latin America")</f>
        <v>0</v>
      </c>
      <c r="E9">
        <f>COUNTIFS(DataSimple!J2:J1000,"&gt;=3/1/2018",DataSimple!J2:J1000,"&lt;=3/31/2018",DataSimple!M2:M1000,"Page (Government)",DataSimple!Y2:Y1000,"Latin America")</f>
        <v>0</v>
      </c>
      <c r="F9">
        <f>COUNTIFS(DataSimple!J2:J1000,"&gt;=4/1/2018",DataSimple!J2:J1000,"&lt;=4/30/2018",DataSimple!M2:M1000,"Page (Government)",DataSimple!Y2:Y1000,"Latin America")</f>
        <v>0</v>
      </c>
      <c r="G9">
        <f>COUNTIFS(DataSimple!J2:J1000,"&gt;=5/1/2018",DataSimple!J2:J1000,"&lt;=5/31/2018",DataSimple!M2:M1000,"Page (Government)",DataSimple!Y2:Y1000,"Latin America")</f>
        <v>0</v>
      </c>
      <c r="H9">
        <f>COUNTIFS(DataSimple!J2:J1000,"&gt;=6/1/2018",DataSimple!J2:J1000,"&lt;=6/30/2018",DataSimple!M2:M1000,"Page (Government)",DataSimple!Y2:Y1000,"Latin America")</f>
        <v>0</v>
      </c>
      <c r="I9">
        <f>COUNTIFS(DataSimple!J2:J1000,"&gt;=7/1/2017",DataSimple!J2:J1000,"&lt;=7/31/2017",DataSimple!M2:M1000,"Page (Government)",DataSimple!Y2:Y1000,"Latin America")+COUNTIFS(DataSimple!J2:J1000,"&gt;=7/1/2018",DataSimple!J2:J1000,"&lt;=7/31/2018",DataSimple!M2:M1000,"Page (Government)",DataSimple!Y2:Y1000,"Latin America")</f>
        <v>0</v>
      </c>
      <c r="J9">
        <f>COUNTIFS(DataSimple!J2:J1000,"&gt;=8/1/2017",DataSimple!J2:J1000,"&lt;=8/31/2017",DataSimple!M2:M1000,"Page (Government)",DataSimple!Y2:Y1000,"Latin America")+COUNTIFS(DataSimple!J2:J1000,"&gt;=8/1/2018",DataSimple!J2:J1000,"&lt;=8/31/2018",DataSimple!M2:M1000,"Page (Government)",DataSimple!Y2:Y1000,"Latin America")</f>
        <v>0</v>
      </c>
      <c r="K9">
        <f>COUNTIFS(DataSimple!J2:J1000,"&gt;=9/1/2017",DataSimple!J2:J1000,"&lt;=9/30/2017",DataSimple!M2:M1000,"Page (Government)",DataSimple!Y2:Y1000,"Latin America")+COUNTIFS(DataSimple!J2:J1000,"&gt;=9/1/2018",DataSimple!J2:J1000,"&lt;=9/30/2018",DataSimple!M2:M1000,"Page (Government)",DataSimple!Y2:Y1000,"Latin America")</f>
        <v>0</v>
      </c>
      <c r="L9">
        <f>COUNTIFS(DataSimple!J2:J1000,"&gt;=10/1/2017",DataSimple!J2:J1000,"&lt;=10/31/2017",DataSimple!M2:M1000,"Page (Government)",DataSimple!Y2:Y1000,"Latin America")+COUNTIFS(DataSimple!J2:J1000,"&gt;=10/1/2018",DataSimple!J2:J1000,"&lt;=10/31/2018",DataSimple!M2:M1000,"Page (Government)",DataSimple!Y2:Y1000,"Latin America")</f>
        <v>0</v>
      </c>
      <c r="M9">
        <f>COUNTIFS(DataSimple!J2:J1000,"&gt;=11/1/2017",DataSimple!J2:J1000,"&lt;=11/30/2017",DataSimple!M2:M1000,"Page (Government)",DataSimple!Y2:Y1000,"Latin America")+COUNTIFS(DataSimple!J2:J1000,"&gt;=11/1/2018",DataSimple!J2:J1000,"&lt;=11/30/2018",DataSimple!M2:M1000,"Page (Government)",DataSimple!Y2:Y1000,"Latin America")</f>
        <v>0</v>
      </c>
      <c r="N9">
        <f>COUNTIFS(DataSimple!J2:J1000,"&gt;=12/1/2017",DataSimple!J2:J1000,"&lt;=12/31/2017",DataSimple!M2:M1000,"Page (Government)",DataSimple!Y2:Y1000,"Latin America")+COUNTIFS(DataSimple!J2:J1000,"&gt;=12/1/2018",DataSimple!J2:J1000,"&lt;=12/31/2018",DataSimple!M2:M1000,"Page (Government)",DataSimple!Y2:Y1000,"Latin America")</f>
        <v>0</v>
      </c>
      <c r="O9" s="22">
        <f t="shared" si="0"/>
        <v>0</v>
      </c>
      <c r="Q9">
        <v>1045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3</v>
      </c>
      <c r="C11" s="4">
        <f>SUM(C2:C9)</f>
        <v>0</v>
      </c>
      <c r="D11" s="4">
        <f t="shared" ref="D11:N11" si="2">SUM(D2:D9)</f>
        <v>0</v>
      </c>
      <c r="E11" s="4">
        <f t="shared" si="2"/>
        <v>0</v>
      </c>
      <c r="F11" s="4">
        <f t="shared" si="2"/>
        <v>0</v>
      </c>
      <c r="G11" s="4">
        <f t="shared" si="2"/>
        <v>0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4">
        <f t="shared" si="2"/>
        <v>0</v>
      </c>
      <c r="N11" s="4">
        <f t="shared" si="2"/>
        <v>0</v>
      </c>
      <c r="O11" s="22">
        <f>SUM(B11:N11)</f>
        <v>3</v>
      </c>
      <c r="R11" s="26">
        <f>SUM(R2:R9)</f>
        <v>3135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FD8A-CFFD-4911-BB83-0CDCEA15293D}">
  <dimension ref="A1:R11"/>
  <sheetViews>
    <sheetView workbookViewId="0">
      <selection activeCell="Q2" sqref="Q2:Q9"/>
    </sheetView>
  </sheetViews>
  <sheetFormatPr defaultRowHeight="14.35" x14ac:dyDescent="0.5"/>
  <sheetData>
    <row r="1" spans="1:18" x14ac:dyDescent="0.5">
      <c r="A1" s="3" t="s">
        <v>1037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(Executive Search)",DataSimple!Y2:Y1000,"United States")</f>
        <v>4</v>
      </c>
      <c r="C2">
        <f>COUNTIFS(DataSimple!J2:J1000,"&gt;=1/1/2018",DataSimple!J2:J1000,"&lt;=1/31/2018",DataSimple!M2:M1000,"Page (Executive Search)",DataSimple!Y2:Y1000,"United States")</f>
        <v>0</v>
      </c>
      <c r="D2">
        <f>COUNTIFS(DataSimple!J2:J1000,"&gt;=2/1/2018",DataSimple!J2:J1000,"&lt;=2/28/2018",DataSimple!M2:M1000,"Page (Executive Search)",DataSimple!Y2:Y1000,"United States")</f>
        <v>0</v>
      </c>
      <c r="E2">
        <f>COUNTIFS(DataSimple!J2:J1000,"&gt;=3/1/2018",DataSimple!J2:J1000,"&lt;=3/31/2018",DataSimple!M2:M1000,"Page (Executive Search)",DataSimple!Y2:Y1000,"United States")</f>
        <v>0</v>
      </c>
      <c r="F2">
        <f>COUNTIFS(DataSimple!J2:J1000,"&gt;=4/1/2018",DataSimple!J2:J1000,"&lt;=4/30/2018",DataSimple!M2:M1000,"Page (Executive Search)",DataSimple!Y2:Y1000,"United States")</f>
        <v>1</v>
      </c>
      <c r="G2">
        <f>COUNTIFS(DataSimple!J2:J1000,"&gt;=5/1/2018",DataSimple!J2:J1000,"&lt;=5/31/2018",DataSimple!M2:M1000,"Page (Executive Search)",DataSimple!Y2:Y1000,"United States")</f>
        <v>0</v>
      </c>
      <c r="H2">
        <f>COUNTIFS(DataSimple!J2:J1000,"&gt;=6/1/2018",DataSimple!J2:J1000,"&lt;=6/30/2018",DataSimple!M2:M1000,"Page (Executive Search)",DataSimple!Y2:Y1000,"United States")</f>
        <v>0</v>
      </c>
      <c r="I2">
        <f>COUNTIFS(DataSimple!J2:J1000,"&gt;=7/1/2017",DataSimple!J2:J1000,"&lt;=7/31/2017",DataSimple!M2:M1000,"Page (Executive Search)",DataSimple!Y2:Y1000,"United States")+COUNTIFS(DataSimple!J2:J1000,"&gt;=7/1/2018",DataSimple!J2:J1000,"&lt;=7/31/2018",DataSimple!M2:M1000,"Page (Executive Search)",DataSimple!Y2:Y1000,"United States")</f>
        <v>1</v>
      </c>
      <c r="J2">
        <f>COUNTIFS(DataSimple!J2:J1000,"&gt;=8/1/2017",DataSimple!J2:J1000,"&lt;=8/31/2017",DataSimple!M2:M1000,"Page (Executive Search)",DataSimple!Y2:Y1000,"United States")+COUNTIFS(DataSimple!J2:J1000,"&gt;=8/1/2018",DataSimple!J2:J1000,"&lt;=8/31/2018",DataSimple!M2:M1000,"Page (Executive Search)",DataSimple!Y2:Y1000,"United States")</f>
        <v>0</v>
      </c>
      <c r="K2">
        <f>COUNTIFS(DataSimple!J2:J1000,"&gt;=9/1/2017",DataSimple!J2:J1000,"&lt;=9/30/2017",DataSimple!M2:M1000,"Page (Executive Search)",DataSimple!Y2:Y1000,"United States")+COUNTIFS(DataSimple!J2:J1000,"&gt;=9/1/2018",DataSimple!J2:J1000,"&lt;=9/30/2018",DataSimple!M2:M1000,"Page (Executive Search)",DataSimple!Y2:Y1000,"United States")</f>
        <v>0</v>
      </c>
      <c r="L2">
        <f>COUNTIFS(DataSimple!J2:J1000,"&gt;=10/1/2017",DataSimple!J2:J1000,"&lt;=10/31/2017",DataSimple!M2:M1000,"Page (Executive Search)",DataSimple!Y2:Y1000,"United States")+COUNTIFS(DataSimple!J2:J1000,"&gt;=10/1/2018",DataSimple!J2:J1000,"&lt;=10/31/2018",DataSimple!M2:M1000,"Page (Executive Search)",DataSimple!Y2:Y1000,"United States")</f>
        <v>0</v>
      </c>
      <c r="M2">
        <f>COUNTIFS(DataSimple!J2:J1000,"&gt;=11/1/2017",DataSimple!J2:J1000,"&lt;=11/30/2017",DataSimple!M2:M1000,"Page (Executive Search)",DataSimple!Y2:Y1000,"United States")+COUNTIFS(DataSimple!J2:J1000,"&gt;=11/1/2018",DataSimple!J2:J1000,"&lt;=11/30/2018",DataSimple!M2:M1000,"Page (Executive Search)",DataSimple!Y2:Y1000,"United States")</f>
        <v>0</v>
      </c>
      <c r="N2">
        <f>COUNTIFS(DataSimple!J2:J1000,"&gt;=12/1/2017",DataSimple!J2:J1000,"&lt;=12/31/2017",DataSimple!M2:M1000,"Page (Executive Search)",DataSimple!Y2:Y1000,"United States")+COUNTIFS(DataSimple!J2:J1000,"&gt;=12/1/2018",DataSimple!J2:J1000,"&lt;=12/31/2018",DataSimple!M2:M1000,"Page (Executive Search)",DataSimple!Y2:Y1000,"United States")</f>
        <v>0</v>
      </c>
      <c r="O2" s="22">
        <f t="shared" ref="O2:O9" si="0">SUM(B2:N2)</f>
        <v>6</v>
      </c>
      <c r="Q2">
        <v>2625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13781.25</v>
      </c>
    </row>
    <row r="3" spans="1:18" x14ac:dyDescent="0.5">
      <c r="A3" t="s">
        <v>1633</v>
      </c>
      <c r="B3">
        <f>COUNTIFS(DataSimple!J2:J1000,"&gt;=1/1/1980",DataSimple!J2:J1000,"&lt;=6/30/2017",DataSimple!M2:M1000,"Page (Executive Search)",DataSimple!Y2:Y1000,"Canada")</f>
        <v>0</v>
      </c>
      <c r="C3">
        <f>COUNTIFS(DataSimple!J2:J1000,"&gt;=1/1/2018",DataSimple!J2:J1000,"&lt;=1/31/2018",DataSimple!M2:M1000,"Page (Executive Search)",DataSimple!Y2:Y1000,"Canada")</f>
        <v>0</v>
      </c>
      <c r="D3">
        <f>COUNTIFS(DataSimple!J2:J1000,"&gt;=2/1/2018",DataSimple!J2:J1000,"&lt;=2/28/2018",DataSimple!M2:M1000,"Page (Executive Search)",DataSimple!Y2:Y1000,"Canada")</f>
        <v>0</v>
      </c>
      <c r="E3">
        <f>COUNTIFS(DataSimple!J2:J1000,"&gt;=3/1/2018",DataSimple!J2:J1000,"&lt;=3/31/2018",DataSimple!M2:M1000,"Page (Executive Search)",DataSimple!Y2:Y1000,"Canada")</f>
        <v>0</v>
      </c>
      <c r="F3">
        <f>COUNTIFS(DataSimple!J2:J1000,"&gt;=4/1/2018",DataSimple!J2:J1000,"&lt;=4/30/2018",DataSimple!M2:M1000,"Page (Executive Search)",DataSimple!Y2:Y1000,"Canada")</f>
        <v>0</v>
      </c>
      <c r="G3">
        <f>COUNTIFS(DataSimple!J2:J1000,"&gt;=5/1/2018",DataSimple!J2:J1000,"&lt;=5/31/2018",DataSimple!M2:M1000,"Page (Executive Search)",DataSimple!Y2:Y1000,"Canada")</f>
        <v>0</v>
      </c>
      <c r="H3">
        <f>COUNTIFS(DataSimple!J2:J1000,"&gt;=6/1/2018",DataSimple!J2:J1000,"&lt;=6/30/2018",DataSimple!M2:M1000,"Page (Executive Search)",DataSimple!Y2:Y1000,"Canada")</f>
        <v>0</v>
      </c>
      <c r="I3">
        <f>COUNTIFS(DataSimple!J2:J1000,"&gt;=7/1/2017",DataSimple!J2:J1000,"&lt;=7/31/2017",DataSimple!M2:M1000,"Page (Executive Search)",DataSimple!Y2:Y1000,"Canada")+COUNTIFS(DataSimple!J2:J1000,"&gt;=7/1/2018",DataSimple!J2:J1000,"&lt;=7/31/2018",DataSimple!M2:M1000,"Page (Executive Search)",DataSimple!Y2:Y1000,"Canada")</f>
        <v>0</v>
      </c>
      <c r="J3">
        <f>COUNTIFS(DataSimple!J2:J1000,"&gt;=8/1/2017",DataSimple!J2:J1000,"&lt;=8/31/2017",DataSimple!M2:M1000,"Page (Executive Search)",DataSimple!Y2:Y1000,"Canada")+COUNTIFS(DataSimple!J2:J1000,"&gt;=8/1/2018",DataSimple!J2:J1000,"&lt;=8/31/2018",DataSimple!M2:M1000,"Page (Executive Search)",DataSimple!Y2:Y1000,"Canada")</f>
        <v>0</v>
      </c>
      <c r="K3">
        <f>COUNTIFS(DataSimple!J2:J1000,"&gt;=9/1/2017",DataSimple!J2:J1000,"&lt;=9/30/2017",DataSimple!M2:M1000,"Page (Executive Search)",DataSimple!Y2:Y1000,"Canada")+COUNTIFS(DataSimple!J2:J1000,"&gt;=9/1/2018",DataSimple!J2:J1000,"&lt;=9/30/2018",DataSimple!M2:M1000,"Page (Executive Search)",DataSimple!Y2:Y1000,"Canada")</f>
        <v>0</v>
      </c>
      <c r="L3">
        <f>COUNTIFS(DataSimple!J2:J1000,"&gt;=10/1/2017",DataSimple!J2:J1000,"&lt;=10/31/2017",DataSimple!M2:M1000,"Page (Executive Search)",DataSimple!Y2:Y1000,"Canada")+COUNTIFS(DataSimple!J2:J1000,"&gt;=10/1/2018",DataSimple!J2:J1000,"&lt;=10/31/2018",DataSimple!M2:M1000,"Page (Executive Search)",DataSimple!Y2:Y1000,"Canada")</f>
        <v>0</v>
      </c>
      <c r="M3">
        <f>COUNTIFS(DataSimple!J2:J1000,"&gt;=11/1/2017",DataSimple!J2:J1000,"&lt;=11/30/2017",DataSimple!M2:M1000,"Page (Executive Search)",DataSimple!Y2:Y1000,"Canada")+COUNTIFS(DataSimple!J2:J1000,"&gt;=11/1/2018",DataSimple!J2:J1000,"&lt;=11/30/2018",DataSimple!M2:M1000,"Page (Executive Search)",DataSimple!Y2:Y1000,"Canada")</f>
        <v>0</v>
      </c>
      <c r="N3">
        <f>COUNTIFS(DataSimple!J2:J1000,"&gt;=12/1/2017",DataSimple!J2:J1000,"&lt;=12/31/2017",DataSimple!M2:M1000,"Page (Executive Search)",DataSimple!Y2:Y1000,"Canada")+COUNTIFS(DataSimple!J2:J1000,"&gt;=12/1/2018",DataSimple!J2:J1000,"&lt;=12/31/2018",DataSimple!M2:M1000,"Page (Executive Search)",DataSimple!Y2:Y1000,"Canada")</f>
        <v>0</v>
      </c>
      <c r="O3" s="22">
        <f t="shared" si="0"/>
        <v>0</v>
      </c>
      <c r="Q3">
        <v>2520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0</v>
      </c>
    </row>
    <row r="4" spans="1:18" x14ac:dyDescent="0.5">
      <c r="A4" t="s">
        <v>744</v>
      </c>
      <c r="B4">
        <f>COUNTIFS(DataSimple!J2:J1000,"&gt;=1/1/1980",DataSimple!J2:J1000,"&lt;=6/30/2017",DataSimple!M2:M1000,"Page (Executive Search)",DataSimple!Y2:Y1000,"Europe")</f>
        <v>2</v>
      </c>
      <c r="C4">
        <f>COUNTIFS(DataSimple!J2:J1000,"&gt;=1/1/2018",DataSimple!J2:J1000,"&lt;=1/31/2018",DataSimple!M2:M1000,"Page (Executive Search)",DataSimple!Y2:Y1000,"Europe")</f>
        <v>0</v>
      </c>
      <c r="D4">
        <f>COUNTIFS(DataSimple!J2:J1000,"&gt;=2/1/2018",DataSimple!J2:J1000,"&lt;=2/28/2018",DataSimple!M2:M1000,"Page (Executive Search)",DataSimple!Y2:Y1000,"Europe")</f>
        <v>0</v>
      </c>
      <c r="E4">
        <f>COUNTIFS(DataSimple!J2:J1000,"&gt;=3/1/2018",DataSimple!J2:J1000,"&lt;=3/31/2018",DataSimple!M2:M1000,"Page (Executive Search)",DataSimple!Y2:Y1000,"Europe")</f>
        <v>0</v>
      </c>
      <c r="F4">
        <f>COUNTIFS(DataSimple!J2:J1000,"&gt;=4/1/2018",DataSimple!J2:J1000,"&lt;=4/30/2018",DataSimple!M2:M1000,"Page (Executive Search)",DataSimple!Y2:Y1000,"Europe")</f>
        <v>0</v>
      </c>
      <c r="G4">
        <f>COUNTIFS(DataSimple!J2:J1000,"&gt;=5/1/2018",DataSimple!J2:J1000,"&lt;=5/31/2018",DataSimple!M2:M1000,"Page (Executive Search)",DataSimple!Y2:Y1000,"Europe")</f>
        <v>0</v>
      </c>
      <c r="H4">
        <f>COUNTIFS(DataSimple!J2:J1000,"&gt;=6/1/2018",DataSimple!J2:J1000,"&lt;=6/30/2018",DataSimple!M2:M1000,"Page (Executive Search)",DataSimple!Y2:Y1000,"Europe")</f>
        <v>0</v>
      </c>
      <c r="I4">
        <f>COUNTIFS(DataSimple!J2:J1000,"&gt;=7/1/2017",DataSimple!J2:J1000,"&lt;=7/31/2017",DataSimple!M2:M1000,"Page (Executive Search)",DataSimple!Y2:Y1000,"Europe")+COUNTIFS(DataSimple!J2:J1000,"&gt;=7/1/2018",DataSimple!J2:J1000,"&lt;=7/31/2018",DataSimple!M2:M1000,"Page (Executive Search)",DataSimple!Y2:Y1000,"Europe")</f>
        <v>0</v>
      </c>
      <c r="J4">
        <f>COUNTIFS(DataSimple!J2:J1000,"&gt;=8/1/2017",DataSimple!J2:J1000,"&lt;=8/31/2017",DataSimple!M2:M1000,"Page (Executive Search)",DataSimple!Y2:Y1000,"Europe")+COUNTIFS(DataSimple!J2:J1000,"&gt;=8/1/2018",DataSimple!J2:J1000,"&lt;=8/31/2018",DataSimple!M2:M1000,"Page (Executive Search)",DataSimple!Y2:Y1000,"Europe")</f>
        <v>0</v>
      </c>
      <c r="K4">
        <f>COUNTIFS(DataSimple!J2:J1000,"&gt;=9/1/2017",DataSimple!J2:J1000,"&lt;=9/30/2017",DataSimple!M2:M1000,"Page (Executive Search)",DataSimple!Y2:Y1000,"Europe")+COUNTIFS(DataSimple!J2:J1000,"&gt;=9/1/2018",DataSimple!J2:J1000,"&lt;=9/30/2018",DataSimple!M2:M1000,"Page (Executive Search)",DataSimple!Y2:Y1000,"Europe")</f>
        <v>0</v>
      </c>
      <c r="L4">
        <f>COUNTIFS(DataSimple!J2:J1000,"&gt;=10/1/2017",DataSimple!J2:J1000,"&lt;=10/31/2017",DataSimple!M2:M1000,"Page (Executive Search)",DataSimple!Y2:Y1000,"Europe")+COUNTIFS(DataSimple!J2:J1000,"&gt;=10/1/2018",DataSimple!J2:J1000,"&lt;=10/31/2018",DataSimple!M2:M1000,"Page (Executive Search)",DataSimple!Y2:Y1000,"Europe")</f>
        <v>0</v>
      </c>
      <c r="M4">
        <f>COUNTIFS(DataSimple!J2:J1000,"&gt;=11/1/2017",DataSimple!J2:J1000,"&lt;=11/30/2017",DataSimple!M2:M1000,"Page (Executive Search)",DataSimple!Y2:Y1000,"Europe")+COUNTIFS(DataSimple!J2:J1000,"&gt;=11/1/2018",DataSimple!J2:J1000,"&lt;=11/30/2018",DataSimple!M2:M1000,"Page (Executive Search)",DataSimple!Y2:Y1000,"Europe")</f>
        <v>0</v>
      </c>
      <c r="N4">
        <f>COUNTIFS(DataSimple!J2:J1000,"&gt;=12/1/2017",DataSimple!J2:J1000,"&lt;=12/31/2017",DataSimple!M2:M1000,"Page (Executive Search)",DataSimple!Y2:Y1000,"Europe")+COUNTIFS(DataSimple!J2:J1000,"&gt;=12/1/2018",DataSimple!J2:J1000,"&lt;=12/31/2018",DataSimple!M2:M1000,"Page (Executive Search)",DataSimple!Y2:Y1000,"Europe")</f>
        <v>0</v>
      </c>
      <c r="O4" s="22">
        <f t="shared" si="0"/>
        <v>2</v>
      </c>
      <c r="Q4">
        <v>2365</v>
      </c>
      <c r="R4" s="1">
        <f t="shared" si="1"/>
        <v>4730</v>
      </c>
    </row>
    <row r="5" spans="1:18" x14ac:dyDescent="0.5">
      <c r="A5" t="s">
        <v>8559</v>
      </c>
      <c r="B5">
        <f>COUNTIFS(DataSimple!J2:J1000,"&gt;=1/1/1980",DataSimple!J2:J1000,"&lt;=6/30/2017",DataSimple!M2:M1000,"Page (Executive Search)",DataSimple!Y2:Y1000,"Middle East/Africa")</f>
        <v>0</v>
      </c>
      <c r="C5">
        <f>COUNTIFS(DataSimple!J2:J1000,"&gt;=1/1/2018",DataSimple!J2:J1000,"&lt;=1/31/2018",DataSimple!M2:M1000,"Page (Executive Search)",DataSimple!Y2:Y1000,"Middle East/Africa")</f>
        <v>0</v>
      </c>
      <c r="D5">
        <f>COUNTIFS(DataSimple!J2:J1000,"&gt;=2/1/2018",DataSimple!J2:J1000,"&lt;=2/28/2018",DataSimple!M2:M1000,"Page (Executive Search)",DataSimple!Y2:Y1000,"Middle East/Africa")</f>
        <v>0</v>
      </c>
      <c r="E5">
        <f>COUNTIFS(DataSimple!J2:J1000,"&gt;=3/1/2018",DataSimple!J2:J1000,"&lt;=3/31/2018",DataSimple!M2:M1000,"Page (Executive Search)",DataSimple!Y2:Y1000,"Middle East/Africa")</f>
        <v>0</v>
      </c>
      <c r="F5">
        <f>COUNTIFS(DataSimple!J2:J1000,"&gt;=4/1/2018",DataSimple!J2:J1000,"&lt;=4/30/2018",DataSimple!M2:M1000,"Page (Executive Search)",DataSimple!Y2:Y1000,"Middle East/Africa")</f>
        <v>0</v>
      </c>
      <c r="G5">
        <f>COUNTIFS(DataSimple!J2:J1000,"&gt;=5/1/2018",DataSimple!J2:J1000,"&lt;=5/31/2018",DataSimple!M2:M1000,"Page (Executive Search)",DataSimple!Y2:Y1000,"Middle East/Africa")</f>
        <v>0</v>
      </c>
      <c r="H5">
        <f>COUNTIFS(DataSimple!J2:J1000,"&gt;=6/1/2018",DataSimple!J2:J1000,"&lt;=6/30/2018",DataSimple!M2:M1000,"Page (Executive Search)",DataSimple!Y2:Y1000,"Middle East/Africa")</f>
        <v>0</v>
      </c>
      <c r="I5">
        <f>COUNTIFS(DataSimple!J2:J1000,"&gt;=7/1/2017",DataSimple!J2:J1000,"&lt;=7/31/2017",DataSimple!M2:M1000,"Page (Executive Search)",DataSimple!Y2:Y1000,"Middle East/Africa")+COUNTIFS(DataSimple!J2:J1000,"&gt;=7/1/2018",DataSimple!J2:J1000,"&lt;=7/31/2018",DataSimple!M2:M1000,"Page (Executive Search)",DataSimple!Y2:Y1000,"Middle East/Africa")</f>
        <v>0</v>
      </c>
      <c r="J5">
        <f>COUNTIFS(DataSimple!J2:J1000,"&gt;=8/1/2017",DataSimple!J2:J1000,"&lt;=8/31/2017",DataSimple!M2:M1000,"Page (Executive Search)",DataSimple!Y2:Y1000,"Middle East/Africa")+COUNTIFS(DataSimple!J2:J1000,"&gt;=8/1/2018",DataSimple!J2:J1000,"&lt;=8/31/2018",DataSimple!M2:M1000,"Page (Executive Search)",DataSimple!Y2:Y1000,"Middle East/Africa")</f>
        <v>0</v>
      </c>
      <c r="K5">
        <f>COUNTIFS(DataSimple!J2:J1000,"&gt;=9/1/2017",DataSimple!J2:J1000,"&lt;=9/30/2017",DataSimple!M2:M1000,"Page (Executive Search)",DataSimple!Y2:Y1000,"Middle East/Africa")+COUNTIFS(DataSimple!J2:J1000,"&gt;=9/1/2018",DataSimple!J2:J1000,"&lt;=9/30/2018",DataSimple!M2:M1000,"Page (Executive Search)",DataSimple!Y2:Y1000,"Middle East/Africa")</f>
        <v>0</v>
      </c>
      <c r="L5">
        <f>COUNTIFS(DataSimple!J2:J1000,"&gt;=10/1/2017",DataSimple!J2:J1000,"&lt;=10/31/2017",DataSimple!M2:M1000,"Page (Executive Search)",DataSimple!Y2:Y1000,"Middle East/Africa")+COUNTIFS(DataSimple!J2:J1000,"&gt;=10/1/2018",DataSimple!J2:J1000,"&lt;=10/31/2018",DataSimple!M2:M1000,"Page (Executive Search)",DataSimple!Y2:Y1000,"Middle East/Africa")</f>
        <v>0</v>
      </c>
      <c r="M5">
        <f>COUNTIFS(DataSimple!J2:J1000,"&gt;=11/1/2017",DataSimple!J2:J1000,"&lt;=11/30/2017",DataSimple!M2:M1000,"Page (Executive Search)",DataSimple!Y2:Y1000,"Middle East/Africa")+COUNTIFS(DataSimple!J2:J1000,"&gt;=11/1/2018",DataSimple!J2:J1000,"&lt;=11/30/2018",DataSimple!M2:M1000,"Page (Executive Search)",DataSimple!Y2:Y1000,"Middle East/Africa")</f>
        <v>0</v>
      </c>
      <c r="N5">
        <f>COUNTIFS(DataSimple!J2:J1000,"&gt;=12/1/2017",DataSimple!J2:J1000,"&lt;=12/31/2017",DataSimple!M2:M1000,"Page (Executive Search)",DataSimple!Y2:Y1000,"Middle East/Africa")+COUNTIFS(DataSimple!J2:J1000,"&gt;=12/1/2018",DataSimple!J2:J1000,"&lt;=12/31/2018",DataSimple!M2:M1000,"Page (Executive Search)",DataSimple!Y2:Y1000,"Middle East/Africa")</f>
        <v>0</v>
      </c>
      <c r="O5" s="22">
        <f t="shared" si="0"/>
        <v>0</v>
      </c>
      <c r="Q5">
        <v>1890</v>
      </c>
      <c r="R5" s="1">
        <f t="shared" si="1"/>
        <v>0</v>
      </c>
    </row>
    <row r="6" spans="1:18" x14ac:dyDescent="0.5">
      <c r="A6" t="s">
        <v>8560</v>
      </c>
      <c r="B6">
        <f>COUNTIFS(DataSimple!J2:J1000,"&gt;=1/1/1980",DataSimple!J2:J1000,"&lt;=6/30/2017",DataSimple!M2:M1000,"Page (Executive Search)",DataSimple!Y2:Y1000,"Asia:Other")</f>
        <v>0</v>
      </c>
      <c r="C6">
        <f>COUNTIFS(DataSimple!J2:J1000,"&gt;=1/1/2018",DataSimple!J2:J1000,"&lt;=1/31/2018",DataSimple!M2:M1000,"Page (Executive Search)",DataSimple!Y2:Y1000,"Asia:Other")</f>
        <v>0</v>
      </c>
      <c r="D6">
        <f>COUNTIFS(DataSimple!J2:J1000,"&gt;=2/1/2018",DataSimple!J2:J1000,"&lt;=2/28/2018",DataSimple!M2:M1000,"Page (Executive Search)",DataSimple!Y2:Y1000,"Asia:Other")</f>
        <v>0</v>
      </c>
      <c r="E6">
        <f>COUNTIFS(DataSimple!J2:J1000,"&gt;=3/1/2018",DataSimple!J2:J1000,"&lt;=3/31/2018",DataSimple!M2:M1000,"Page (Executive Search)",DataSimple!Y2:Y1000,"Asia:Other")</f>
        <v>0</v>
      </c>
      <c r="F6">
        <f>COUNTIFS(DataSimple!J2:J1000,"&gt;=4/1/2018",DataSimple!J2:J1000,"&lt;=4/30/2018",DataSimple!M2:M1000,"Page (Executive Search)",DataSimple!Y2:Y1000,"Asia:Other")</f>
        <v>0</v>
      </c>
      <c r="G6">
        <f>COUNTIFS(DataSimple!J2:J1000,"&gt;=5/1/2018",DataSimple!J2:J1000,"&lt;=5/31/2018",DataSimple!M2:M1000,"Page (Executive Search)",DataSimple!Y2:Y1000,"Asia:Other")</f>
        <v>0</v>
      </c>
      <c r="H6">
        <f>COUNTIFS(DataSimple!J2:J1000,"&gt;=6/1/2018",DataSimple!J2:J1000,"&lt;=6/30/2018",DataSimple!M2:M1000,"Page (Executive Search)",DataSimple!Y2:Y1000,"Asia:Other")</f>
        <v>0</v>
      </c>
      <c r="I6">
        <f>COUNTIFS(DataSimple!J2:J1000,"&gt;=7/1/2017",DataSimple!J2:J1000,"&lt;=7/31/2017",DataSimple!M2:M1000,"Page (Executive Search)",DataSimple!Y2:Y1000,"Asia:Other")+COUNTIFS(DataSimple!J2:J1000,"&gt;=7/1/2018",DataSimple!J2:J1000,"&lt;=7/31/2018",DataSimple!M2:M1000,"Page (Executive Search)",DataSimple!Y2:Y1000,"Asia:Other")</f>
        <v>0</v>
      </c>
      <c r="J6">
        <f>COUNTIFS(DataSimple!J2:J1000,"&gt;=8/1/2017",DataSimple!J2:J1000,"&lt;=8/31/2017",DataSimple!M2:M1000,"Page (Executive Search)",DataSimple!Y2:Y1000,"Asia:Other")+COUNTIFS(DataSimple!J2:J1000,"&gt;=8/1/2018",DataSimple!J2:J1000,"&lt;=8/31/2018",DataSimple!M2:M1000,"Page (Executive Search)",DataSimple!Y2:Y1000,"Asia:Other")</f>
        <v>0</v>
      </c>
      <c r="K6">
        <f>COUNTIFS(DataSimple!J2:J1000,"&gt;=9/1/2017",DataSimple!J2:J1000,"&lt;=9/30/2017",DataSimple!M2:M1000,"Page (Executive Search)",DataSimple!Y2:Y1000,"Asia:Other")+COUNTIFS(DataSimple!J2:J1000,"&gt;=9/1/2018",DataSimple!J2:J1000,"&lt;=9/30/2018",DataSimple!M2:M1000,"Page (Executive Search)",DataSimple!Y2:Y1000,"Asia:Other")</f>
        <v>0</v>
      </c>
      <c r="L6">
        <f>COUNTIFS(DataSimple!J2:J1000,"&gt;=10/1/2017",DataSimple!J2:J1000,"&lt;=10/31/2017",DataSimple!M2:M1000,"Page (Executive Search)",DataSimple!Y2:Y1000,"Asia:Other")+COUNTIFS(DataSimple!J2:J1000,"&gt;=10/1/2018",DataSimple!J2:J1000,"&lt;=10/31/2018",DataSimple!M2:M1000,"Page (Executive Search)",DataSimple!Y2:Y1000,"Asia:Other")</f>
        <v>0</v>
      </c>
      <c r="M6">
        <f>COUNTIFS(DataSimple!J2:J1000,"&gt;=11/1/2017",DataSimple!J2:J1000,"&lt;=11/30/2017",DataSimple!M2:M1000,"Page (Executive Search)",DataSimple!Y2:Y1000,"Asia:Other")+COUNTIFS(DataSimple!J2:J1000,"&gt;=11/1/2018",DataSimple!J2:J1000,"&lt;=11/30/2018",DataSimple!M2:M1000,"Page (Executive Search)",DataSimple!Y2:Y1000,"Asia:Other")</f>
        <v>0</v>
      </c>
      <c r="N6">
        <f>COUNTIFS(DataSimple!J2:J1000,"&gt;=12/1/2017",DataSimple!J2:J1000,"&lt;=12/31/2017",DataSimple!M2:M1000,"Page (Executive Search)",DataSimple!Y2:Y1000,"Asia:Other")+COUNTIFS(DataSimple!J2:J1000,"&gt;=12/1/2018",DataSimple!J2:J1000,"&lt;=12/31/2018",DataSimple!M2:M1000,"Page (Executive Search)",DataSimple!Y2:Y1000,"Asia:Other")</f>
        <v>0</v>
      </c>
      <c r="O6" s="22">
        <f t="shared" si="0"/>
        <v>0</v>
      </c>
      <c r="Q6">
        <v>1575</v>
      </c>
      <c r="R6" s="1">
        <f t="shared" si="1"/>
        <v>0</v>
      </c>
    </row>
    <row r="7" spans="1:18" x14ac:dyDescent="0.5">
      <c r="A7" t="s">
        <v>4147</v>
      </c>
      <c r="B7">
        <f>COUNTIFS(DataSimple!J2:J1000,"&gt;=1/1/1980",DataSimple!J2:J1000,"&lt;=6/30/2017",DataSimple!M2:M1000,"Page (Executive Search)",DataSimple!Y2:Y1000,"Australia/NZ")</f>
        <v>1</v>
      </c>
      <c r="C7">
        <f>COUNTIFS(DataSimple!J2:J1000,"&gt;=1/1/2018",DataSimple!J2:J1000,"&lt;=1/31/2018",DataSimple!M2:M1000,"Page (Executive Search)",DataSimple!Y2:Y1000,"Australia/NZ")</f>
        <v>0</v>
      </c>
      <c r="D7">
        <f>COUNTIFS(DataSimple!J2:J1000,"&gt;=2/1/2018",DataSimple!J2:J1000,"&lt;=2/28/2018",DataSimple!M2:M1000,"Page (Executive Search)",DataSimple!Y2:Y1000,"Australia/NZ")</f>
        <v>0</v>
      </c>
      <c r="E7">
        <f>COUNTIFS(DataSimple!J2:J1000,"&gt;=3/1/2018",DataSimple!J2:J1000,"&lt;=3/31/2018",DataSimple!M2:M1000,"Page (Executive Search)",DataSimple!Y2:Y1000,"Australia/NZ")</f>
        <v>0</v>
      </c>
      <c r="F7">
        <f>COUNTIFS(DataSimple!J2:J1000,"&gt;=4/1/2018",DataSimple!J2:J1000,"&lt;=4/30/2018",DataSimple!M2:M1000,"Page (Executive Search)",DataSimple!Y2:Y1000,"Australia/NZ")</f>
        <v>0</v>
      </c>
      <c r="G7">
        <f>COUNTIFS(DataSimple!J2:J1000,"&gt;=5/1/2018",DataSimple!J2:J1000,"&lt;=5/31/2018",DataSimple!M2:M1000,"Page (Executive Search)",DataSimple!Y2:Y1000,"Australia/NZ")</f>
        <v>0</v>
      </c>
      <c r="H7">
        <f>COUNTIFS(DataSimple!J2:J1000,"&gt;=6/1/2018",DataSimple!J2:J1000,"&lt;=6/30/2018",DataSimple!M2:M1000,"Page (Executive Search)",DataSimple!Y2:Y1000,"Australia/NZ")</f>
        <v>0</v>
      </c>
      <c r="I7">
        <f>COUNTIFS(DataSimple!J2:J1000,"&gt;=7/1/2017",DataSimple!J2:J1000,"&lt;=7/31/2017",DataSimple!M2:M1000,"Page (Executive Search)",DataSimple!Y2:Y1000,"Australia/NZ")+COUNTIFS(DataSimple!J2:J1000,"&gt;=7/1/2018",DataSimple!J2:J1000,"&lt;=7/31/2018",DataSimple!M2:M1000,"Page (Executive Search)",DataSimple!Y2:Y1000,"Australia/NZ")</f>
        <v>0</v>
      </c>
      <c r="J7">
        <f>COUNTIFS(DataSimple!J2:J1000,"&gt;=8/1/2017",DataSimple!J2:J1000,"&lt;=8/31/2017",DataSimple!M2:M1000,"Page (Executive Search)",DataSimple!Y2:Y1000,"Australia/NZ")+COUNTIFS(DataSimple!J2:J1000,"&gt;=8/1/2018",DataSimple!J2:J1000,"&lt;=8/31/2018",DataSimple!M2:M1000,"Page (Executive Search)",DataSimple!Y2:Y1000,"Australia/NZ")</f>
        <v>0</v>
      </c>
      <c r="K7">
        <f>COUNTIFS(DataSimple!J2:J1000,"&gt;=9/1/2017",DataSimple!J2:J1000,"&lt;=9/30/2017",DataSimple!M2:M1000,"Page (Executive Search)",DataSimple!Y2:Y1000,"Australia/NZ")+COUNTIFS(DataSimple!J2:J1000,"&gt;=9/1/2018",DataSimple!J2:J1000,"&lt;=9/30/2018",DataSimple!M2:M1000,"Page (Executive Search)",DataSimple!Y2:Y1000,"Australia/NZ")</f>
        <v>0</v>
      </c>
      <c r="L7">
        <f>COUNTIFS(DataSimple!J2:J1000,"&gt;=10/1/2017",DataSimple!J2:J1000,"&lt;=10/31/2017",DataSimple!M2:M1000,"Page (Executive Search)",DataSimple!Y2:Y1000,"Australia/NZ")+COUNTIFS(DataSimple!J2:J1000,"&gt;=10/1/2018",DataSimple!J2:J1000,"&lt;=10/31/2018",DataSimple!M2:M1000,"Page (Executive Search)",DataSimple!Y2:Y1000,"Australia/NZ")</f>
        <v>0</v>
      </c>
      <c r="M7">
        <f>COUNTIFS(DataSimple!J2:J1000,"&gt;=11/1/2017",DataSimple!J2:J1000,"&lt;=11/30/2017",DataSimple!M2:M1000,"Page (Executive Search)",DataSimple!Y2:Y1000,"Australia/NZ")+COUNTIFS(DataSimple!J2:J1000,"&gt;=11/1/2018",DataSimple!J2:J1000,"&lt;=11/30/2018",DataSimple!M2:M1000,"Page (Executive Search)",DataSimple!Y2:Y1000,"Australia/NZ")</f>
        <v>0</v>
      </c>
      <c r="N7">
        <f>COUNTIFS(DataSimple!J2:J1000,"&gt;=12/1/2017",DataSimple!J2:J1000,"&lt;=12/31/2017",DataSimple!M2:M1000,"Page (Executive Search)",DataSimple!Y2:Y1000,"Australia/NZ")+COUNTIFS(DataSimple!J2:J1000,"&gt;=12/1/2018",DataSimple!J2:J1000,"&lt;=12/31/2018",DataSimple!M2:M1000,"Page (Executive Search)",DataSimple!Y2:Y1000,"Australia/NZ")</f>
        <v>0</v>
      </c>
      <c r="O7" s="22">
        <f>SUM(B7:N7)</f>
        <v>1</v>
      </c>
      <c r="Q7">
        <v>1890</v>
      </c>
      <c r="R7" s="1">
        <f t="shared" si="1"/>
        <v>1890</v>
      </c>
    </row>
    <row r="8" spans="1:18" x14ac:dyDescent="0.5">
      <c r="A8" t="s">
        <v>2512</v>
      </c>
      <c r="B8">
        <f>COUNTIFS(DataSimple!J2:J1000,"&gt;=1/1/1980",DataSimple!J2:J1000,"&lt;=6/30/2017",DataSimple!M2:M1000,"Page (Executive Search)",DataSimple!Y2:Y1000,"Asia:India")</f>
        <v>0</v>
      </c>
      <c r="C8">
        <f>COUNTIFS(DataSimple!J2:J1000,"&gt;=1/1/2018",DataSimple!J2:J1000,"&lt;=1/31/2018",DataSimple!M2:M1000,"Page (Executive Search)",DataSimple!Y2:Y1000,"Asia:India")</f>
        <v>0</v>
      </c>
      <c r="D8">
        <f>COUNTIFS(DataSimple!J2:J1000,"&gt;=2/1/2018",DataSimple!J2:J1000,"&lt;=2/28/2018",DataSimple!M2:M1000,"Page (Executive Search)",DataSimple!Y2:Y1000,"Asia:India")</f>
        <v>0</v>
      </c>
      <c r="E8">
        <f>COUNTIFS(DataSimple!J2:J1000,"&gt;=3/1/2018",DataSimple!J2:J1000,"&lt;=3/31/2018",DataSimple!M2:M1000,"Page (Executive Search)",DataSimple!Y2:Y1000,"Asia:India")</f>
        <v>0</v>
      </c>
      <c r="F8">
        <f>COUNTIFS(DataSimple!J2:J1000,"&gt;=4/1/2018",DataSimple!J2:J1000,"&lt;=4/30/2018",DataSimple!M2:M1000,"Page (Executive Search)",DataSimple!Y2:Y1000,"Asia:India")</f>
        <v>0</v>
      </c>
      <c r="G8">
        <f>COUNTIFS(DataSimple!J2:J1000,"&gt;=5/1/2018",DataSimple!J2:J1000,"&lt;=5/31/2018",DataSimple!M2:M1000,"Page (Executive Search)",DataSimple!Y2:Y1000,"Asia:India")</f>
        <v>0</v>
      </c>
      <c r="H8">
        <f>COUNTIFS(DataSimple!J2:J1000,"&gt;=6/1/2018",DataSimple!J2:J1000,"&lt;=6/30/2018",DataSimple!M2:M1000,"Page (Executive Search)",DataSimple!Y2:Y1000,"Asia:India")</f>
        <v>0</v>
      </c>
      <c r="I8">
        <f>COUNTIFS(DataSimple!J2:J1000,"&gt;=7/1/2017",DataSimple!J2:J1000,"&lt;=7/31/2017",DataSimple!M2:M1000,"Page (Executive Search)",DataSimple!Y2:Y1000,"Asia:India")+COUNTIFS(DataSimple!J2:J1000,"&gt;=7/1/2018",DataSimple!J2:J1000,"&lt;=7/31/2018",DataSimple!M2:M1000,"Page (Executive Search)",DataSimple!Y2:Y1000,"Asia:India")</f>
        <v>0</v>
      </c>
      <c r="J8">
        <f>COUNTIFS(DataSimple!J2:J1000,"&gt;=8/1/2017",DataSimple!J2:J1000,"&lt;=8/31/2017",DataSimple!M2:M1000,"Page (Executive Search)",DataSimple!Y2:Y1000,"Asia:India")+COUNTIFS(DataSimple!J2:J1000,"&gt;=8/1/2018",DataSimple!J2:J1000,"&lt;=8/31/2018",DataSimple!M2:M1000,"Page (Executive Search)",DataSimple!Y2:Y1000,"Asia:India")</f>
        <v>0</v>
      </c>
      <c r="K8">
        <f>COUNTIFS(DataSimple!J2:J1000,"&gt;=9/1/2017",DataSimple!J2:J1000,"&lt;=9/30/2017",DataSimple!M2:M1000,"Page (Executive Search)",DataSimple!Y2:Y1000,"Asia:India")+COUNTIFS(DataSimple!J2:J1000,"&gt;=9/1/2018",DataSimple!J2:J1000,"&lt;=9/30/2018",DataSimple!M2:M1000,"Page (Executive Search)",DataSimple!Y2:Y1000,"Asia:India")</f>
        <v>0</v>
      </c>
      <c r="L8">
        <f>COUNTIFS(DataSimple!J2:J1000,"&gt;=10/1/2017",DataSimple!J2:J1000,"&lt;=10/31/2017",DataSimple!M2:M1000,"Page (Executive Search)",DataSimple!Y2:Y1000,"Asia:India")+COUNTIFS(DataSimple!J2:J1000,"&gt;=10/1/2018",DataSimple!J2:J1000,"&lt;=10/31/2018",DataSimple!M2:M1000,"Page (Executive Search)",DataSimple!Y2:Y1000,"Asia:India")</f>
        <v>0</v>
      </c>
      <c r="M8">
        <f>COUNTIFS(DataSimple!J2:J1000,"&gt;=11/1/2017",DataSimple!J2:J1000,"&lt;=11/30/2017",DataSimple!M2:M1000,"Page (Executive Search)",DataSimple!Y2:Y1000,"Asia:India")+COUNTIFS(DataSimple!J2:J1000,"&gt;=11/1/2018",DataSimple!J2:J1000,"&lt;=11/30/2018",DataSimple!M2:M1000,"Page (Executive Search)",DataSimple!Y2:Y1000,"Asia:India")</f>
        <v>0</v>
      </c>
      <c r="N8">
        <f>COUNTIFS(DataSimple!J2:J1000,"&gt;=12/1/2017",DataSimple!J2:J1000,"&lt;=12/31/2017",DataSimple!M2:M1000,"Page (Executive Search)",DataSimple!Y2:Y1000,"Asia:India")+COUNTIFS(DataSimple!J2:J1000,"&gt;=12/1/2018",DataSimple!J2:J1000,"&lt;=12/31/2018",DataSimple!M2:M1000,"Page (Executive Search)",DataSimple!Y2:Y1000,"Asia:India")</f>
        <v>0</v>
      </c>
      <c r="O8" s="22">
        <f t="shared" si="0"/>
        <v>0</v>
      </c>
      <c r="Q8">
        <v>1315</v>
      </c>
      <c r="R8" s="1">
        <f t="shared" si="1"/>
        <v>0</v>
      </c>
    </row>
    <row r="9" spans="1:18" x14ac:dyDescent="0.5">
      <c r="A9" t="s">
        <v>8561</v>
      </c>
      <c r="B9">
        <f>COUNTIFS(DataSimple!J2:J1000,"&gt;=1/1/1980",DataSimple!J2:J1000,"&lt;=6/30/2017",DataSimple!M2:M1000,"Page (Executive Search)",DataSimple!Y2:Y1000,"Latin America")</f>
        <v>0</v>
      </c>
      <c r="C9">
        <f>COUNTIFS(DataSimple!J2:J1000,"&gt;=1/1/2018",DataSimple!J2:J1000,"&lt;=1/31/2018",DataSimple!M2:M1000,"Page (Executive Search)",DataSimple!Y2:Y1000,"Latin America")</f>
        <v>0</v>
      </c>
      <c r="D9">
        <f>COUNTIFS(DataSimple!J2:J1000,"&gt;=2/1/2018",DataSimple!J2:J1000,"&lt;=2/28/2018",DataSimple!M2:M1000,"Page (Executive Search)",DataSimple!Y2:Y1000,"Latin America")</f>
        <v>0</v>
      </c>
      <c r="E9">
        <f>COUNTIFS(DataSimple!J2:J1000,"&gt;=3/1/2018",DataSimple!J2:J1000,"&lt;=3/31/2018",DataSimple!M2:M1000,"Page (Executive Search)",DataSimple!Y2:Y1000,"Latin America")</f>
        <v>0</v>
      </c>
      <c r="F9">
        <f>COUNTIFS(DataSimple!J2:J1000,"&gt;=4/1/2018",DataSimple!J2:J1000,"&lt;=4/30/2018",DataSimple!M2:M1000,"Page (Executive Search)",DataSimple!Y2:Y1000,"Latin America")</f>
        <v>0</v>
      </c>
      <c r="G9">
        <f>COUNTIFS(DataSimple!J2:J1000,"&gt;=5/1/2018",DataSimple!J2:J1000,"&lt;=5/31/2018",DataSimple!M2:M1000,"Page (Executive Search)",DataSimple!Y2:Y1000,"Latin America")</f>
        <v>0</v>
      </c>
      <c r="H9">
        <f>COUNTIFS(DataSimple!J2:J1000,"&gt;=6/1/2018",DataSimple!J2:J1000,"&lt;=6/30/2018",DataSimple!M2:M1000,"Page (Executive Search)",DataSimple!Y2:Y1000,"Latin America")</f>
        <v>0</v>
      </c>
      <c r="I9">
        <f>COUNTIFS(DataSimple!J2:J1000,"&gt;=7/1/2017",DataSimple!J2:J1000,"&lt;=7/31/2017",DataSimple!M2:M1000,"Page (Executive Search)",DataSimple!Y2:Y1000,"Latin America")+COUNTIFS(DataSimple!J2:J1000,"&gt;=7/1/2018",DataSimple!J2:J1000,"&lt;=7/31/2018",DataSimple!M2:M1000,"Page (Executive Search)",DataSimple!Y2:Y1000,"Latin America")</f>
        <v>0</v>
      </c>
      <c r="J9">
        <f>COUNTIFS(DataSimple!J2:J1000,"&gt;=8/1/2017",DataSimple!J2:J1000,"&lt;=8/31/2017",DataSimple!M2:M1000,"Page (Executive Search)",DataSimple!Y2:Y1000,"Latin America")+COUNTIFS(DataSimple!J2:J1000,"&gt;=8/1/2018",DataSimple!J2:J1000,"&lt;=8/31/2018",DataSimple!M2:M1000,"Page (Executive Search)",DataSimple!Y2:Y1000,"Latin America")</f>
        <v>0</v>
      </c>
      <c r="K9">
        <f>COUNTIFS(DataSimple!J2:J1000,"&gt;=9/1/2017",DataSimple!J2:J1000,"&lt;=9/30/2017",DataSimple!M2:M1000,"Page (Executive Search)",DataSimple!Y2:Y1000,"Latin America")+COUNTIFS(DataSimple!J2:J1000,"&gt;=9/1/2018",DataSimple!J2:J1000,"&lt;=9/30/2018",DataSimple!M2:M1000,"Page (Executive Search)",DataSimple!Y2:Y1000,"Latin America")</f>
        <v>0</v>
      </c>
      <c r="L9">
        <f>COUNTIFS(DataSimple!J2:J1000,"&gt;=10/1/2017",DataSimple!J2:J1000,"&lt;=10/31/2017",DataSimple!M2:M1000,"Page (Executive Search)",DataSimple!Y2:Y1000,"Latin America")+COUNTIFS(DataSimple!J2:J1000,"&gt;=10/1/2018",DataSimple!J2:J1000,"&lt;=10/31/2018",DataSimple!M2:M1000,"Page (Executive Search)",DataSimple!Y2:Y1000,"Latin America")</f>
        <v>0</v>
      </c>
      <c r="M9">
        <f>COUNTIFS(DataSimple!J2:J1000,"&gt;=11/1/2017",DataSimple!J2:J1000,"&lt;=11/30/2017",DataSimple!M2:M1000,"Page (Executive Search)",DataSimple!Y2:Y1000,"Latin America")+COUNTIFS(DataSimple!J2:J1000,"&gt;=11/1/2018",DataSimple!J2:J1000,"&lt;=11/30/2018",DataSimple!M2:M1000,"Page (Executive Search)",DataSimple!Y2:Y1000,"Latin America")</f>
        <v>0</v>
      </c>
      <c r="N9">
        <f>COUNTIFS(DataSimple!J2:J1000,"&gt;=12/1/2017",DataSimple!J2:J1000,"&lt;=12/31/2017",DataSimple!M2:M1000,"Page (Executive Search)",DataSimple!Y2:Y1000,"Latin America")+COUNTIFS(DataSimple!J2:J1000,"&gt;=12/1/2018",DataSimple!J2:J1000,"&lt;=12/31/2018",DataSimple!M2:M1000,"Page (Executive Search)",DataSimple!Y2:Y1000,"Latin America")</f>
        <v>0</v>
      </c>
      <c r="O9" s="22">
        <f t="shared" si="0"/>
        <v>0</v>
      </c>
      <c r="Q9">
        <v>1785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7</v>
      </c>
      <c r="C11" s="4">
        <f>SUM(C2:C9)</f>
        <v>0</v>
      </c>
      <c r="D11" s="4">
        <f t="shared" ref="D11:N11" si="2">SUM(D2:D9)</f>
        <v>0</v>
      </c>
      <c r="E11" s="4">
        <f t="shared" si="2"/>
        <v>0</v>
      </c>
      <c r="F11" s="4">
        <f t="shared" si="2"/>
        <v>1</v>
      </c>
      <c r="G11" s="4">
        <f t="shared" si="2"/>
        <v>0</v>
      </c>
      <c r="H11" s="4">
        <f t="shared" si="2"/>
        <v>0</v>
      </c>
      <c r="I11" s="4">
        <f t="shared" si="2"/>
        <v>1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4">
        <f t="shared" si="2"/>
        <v>0</v>
      </c>
      <c r="N11" s="4">
        <f t="shared" si="2"/>
        <v>0</v>
      </c>
      <c r="O11" s="22">
        <f>SUM(B11:N11)</f>
        <v>9</v>
      </c>
      <c r="R11" s="26">
        <f>SUM(R2:R9)</f>
        <v>20401.25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5745-6E13-4282-9F8C-F1BC31DA1345}">
  <dimension ref="A1:R11"/>
  <sheetViews>
    <sheetView workbookViewId="0">
      <selection activeCell="Q14" sqref="Q14"/>
    </sheetView>
  </sheetViews>
  <sheetFormatPr defaultRowHeight="14.35" x14ac:dyDescent="0.5"/>
  <sheetData>
    <row r="1" spans="1:18" x14ac:dyDescent="0.5">
      <c r="A1" s="3" t="s">
        <v>8576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(Honoree)",DataSimple!Y2:Y1000,"United States")</f>
        <v>30</v>
      </c>
      <c r="C2">
        <f>COUNTIFS(DataSimple!J2:J1000,"&gt;=1/1/2018",DataSimple!J2:J1000,"&lt;=1/31/2018",DataSimple!M2:M1000,"Page (Honoree)",DataSimple!Y2:Y1000,"United States")</f>
        <v>0</v>
      </c>
      <c r="D2">
        <f>COUNTIFS(DataSimple!J2:J1000,"&gt;=2/1/2018",DataSimple!J2:J1000,"&lt;=2/28/2018",DataSimple!M2:M1000,"Page (Honoree)",DataSimple!Y2:Y1000,"United States")</f>
        <v>0</v>
      </c>
      <c r="E2">
        <f>COUNTIFS(DataSimple!J2:J1000,"&gt;=3/1/2018",DataSimple!J2:J1000,"&lt;=3/31/2018",DataSimple!M2:M1000,"Page (Honoree)",DataSimple!Y2:Y1000,"United States")</f>
        <v>0</v>
      </c>
      <c r="F2">
        <f>COUNTIFS(DataSimple!J2:J1000,"&gt;=4/1/2018",DataSimple!J2:J1000,"&lt;=4/30/2018",DataSimple!M2:M1000,"Page (Honoree)",DataSimple!Y2:Y1000,"United States")</f>
        <v>0</v>
      </c>
      <c r="G2">
        <f>COUNTIFS(DataSimple!J2:J1000,"&gt;=5/1/2018",DataSimple!J2:J1000,"&lt;=5/31/2018",DataSimple!M2:M1000,"Page (Honoree)",DataSimple!Y2:Y1000,"United States")</f>
        <v>0</v>
      </c>
      <c r="H2">
        <f>COUNTIFS(DataSimple!J2:J1000,"&gt;=6/1/2018",DataSimple!J2:J1000,"&lt;=6/30/2018",DataSimple!M2:M1000,"Page (Honoree)",DataSimple!Y2:Y1000,"United States")</f>
        <v>0</v>
      </c>
      <c r="I2">
        <f>COUNTIFS(DataSimple!J2:J1000,"&gt;=7/1/2017",DataSimple!J2:J1000,"&lt;=7/31/2017",DataSimple!M2:M1000,"Page (Honoree)",DataSimple!Y2:Y1000,"United States")+COUNTIFS(DataSimple!J2:J1000,"&gt;=7/1/2018",DataSimple!J2:J1000,"&lt;=7/31/2018",DataSimple!M2:M1000,"Page (Honoree)",DataSimple!Y2:Y1000,"United States")</f>
        <v>0</v>
      </c>
      <c r="J2">
        <f>COUNTIFS(DataSimple!J2:J1000,"&gt;=8/1/2017",DataSimple!J2:J1000,"&lt;=8/31/2017",DataSimple!M2:M1000,"Page (Honoree)",DataSimple!Y2:Y1000,"United States")+COUNTIFS(DataSimple!J2:J1000,"&gt;=8/1/2018",DataSimple!J2:J1000,"&lt;=8/31/2018",DataSimple!M2:M1000,"Page (Honoree)",DataSimple!Y2:Y1000,"United States")</f>
        <v>0</v>
      </c>
      <c r="K2">
        <f>COUNTIFS(DataSimple!J2:J1000,"&gt;=9/1/2017",DataSimple!J2:J1000,"&lt;=9/30/2017",DataSimple!M2:M1000,"Page (Honoree)",DataSimple!Y2:Y1000,"United States")+COUNTIFS(DataSimple!J2:J1000,"&gt;=9/1/2018",DataSimple!J2:J1000,"&lt;=9/30/2018",DataSimple!M2:M1000,"Page (Honoree)",DataSimple!Y2:Y1000,"United States")</f>
        <v>0</v>
      </c>
      <c r="L2">
        <f>COUNTIFS(DataSimple!J2:J1000,"&gt;=10/1/2017",DataSimple!J2:J1000,"&lt;=10/31/2017",DataSimple!M2:M1000,"Page (Honoree)",DataSimple!Y2:Y1000,"United States")+COUNTIFS(DataSimple!J2:J1000,"&gt;=10/1/2018",DataSimple!J2:J1000,"&lt;=10/31/2018",DataSimple!M2:M1000,"Page (Honoree)",DataSimple!Y2:Y1000,"United States")</f>
        <v>0</v>
      </c>
      <c r="M2">
        <f>COUNTIFS(DataSimple!J2:J1000,"&gt;=11/1/2017",DataSimple!J2:J1000,"&lt;=11/30/2017",DataSimple!M2:M1000,"Page (Honoree)",DataSimple!Y2:Y1000,"United States")+COUNTIFS(DataSimple!J2:J1000,"&gt;=11/1/2018",DataSimple!J2:J1000,"&lt;=11/30/2018",DataSimple!M2:M1000,"Page (Honoree)",DataSimple!Y2:Y1000,"United States")</f>
        <v>0</v>
      </c>
      <c r="N2">
        <f>COUNTIFS(DataSimple!J2:J1000,"&gt;=12/1/2017",DataSimple!J2:J1000,"&lt;=12/31/2017",DataSimple!M2:M1000,"Page (Honoree)",DataSimple!Y2:Y1000,"United States")+COUNTIFS(DataSimple!J2:J1000,"&gt;=12/1/2018",DataSimple!J2:J1000,"&lt;=12/31/2018",DataSimple!M2:M1000,"Page (Honoree)",DataSimple!Y2:Y1000,"United States")</f>
        <v>0</v>
      </c>
      <c r="O2" s="22">
        <f t="shared" ref="O2:O9" si="0">SUM(B2:N2)</f>
        <v>30</v>
      </c>
      <c r="Q2">
        <v>0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0</v>
      </c>
    </row>
    <row r="3" spans="1:18" x14ac:dyDescent="0.5">
      <c r="A3" t="s">
        <v>1633</v>
      </c>
      <c r="B3">
        <f>COUNTIFS(DataSimple!J2:J1000,"&gt;=1/1/1980",DataSimple!J2:J1000,"&lt;=6/30/2017",DataSimple!M2:M1000,"Page (Honoree)",DataSimple!Y2:Y1000,"Canada")</f>
        <v>0</v>
      </c>
      <c r="C3">
        <f>COUNTIFS(DataSimple!J2:J1000,"&gt;=1/1/2018",DataSimple!J2:J1000,"&lt;=1/31/2018",DataSimple!M2:M1000,"Page (Honoree)",DataSimple!Y2:Y1000,"Canada")</f>
        <v>0</v>
      </c>
      <c r="D3">
        <f>COUNTIFS(DataSimple!J2:J1000,"&gt;=2/1/2018",DataSimple!J2:J1000,"&lt;=2/28/2018",DataSimple!M2:M1000,"Page (Honoree)",DataSimple!Y2:Y1000,"Canada")</f>
        <v>0</v>
      </c>
      <c r="E3">
        <f>COUNTIFS(DataSimple!J2:J1000,"&gt;=3/1/2018",DataSimple!J2:J1000,"&lt;=3/31/2018",DataSimple!M2:M1000,"Page (Honoree)",DataSimple!Y2:Y1000,"Canada")</f>
        <v>0</v>
      </c>
      <c r="F3">
        <f>COUNTIFS(DataSimple!J2:J1000,"&gt;=4/1/2018",DataSimple!J2:J1000,"&lt;=4/30/2018",DataSimple!M2:M1000,"Page (Honoree)",DataSimple!Y2:Y1000,"Canada")</f>
        <v>0</v>
      </c>
      <c r="G3">
        <f>COUNTIFS(DataSimple!J2:J1000,"&gt;=5/1/2018",DataSimple!J2:J1000,"&lt;=5/31/2018",DataSimple!M2:M1000,"Page (Honoree)",DataSimple!Y2:Y1000,"Canada")</f>
        <v>0</v>
      </c>
      <c r="H3">
        <f>COUNTIFS(DataSimple!J2:J1000,"&gt;=6/1/2018",DataSimple!J2:J1000,"&lt;=6/30/2018",DataSimple!M2:M1000,"Page (Honoree)",DataSimple!Y2:Y1000,"Canada")</f>
        <v>0</v>
      </c>
      <c r="I3">
        <f>COUNTIFS(DataSimple!J2:J1000,"&gt;=7/1/2017",DataSimple!J2:J1000,"&lt;=7/31/2017",DataSimple!M2:M1000,"Page (Honoree)",DataSimple!Y2:Y1000,"Canada")+COUNTIFS(DataSimple!J2:J1000,"&gt;=7/1/2018",DataSimple!J2:J1000,"&lt;=7/31/2018",DataSimple!M2:M1000,"Page (Honoree)",DataSimple!Y2:Y1000,"Canada")</f>
        <v>0</v>
      </c>
      <c r="J3">
        <f>COUNTIFS(DataSimple!J2:J1000,"&gt;=8/1/2017",DataSimple!J2:J1000,"&lt;=8/31/2017",DataSimple!M2:M1000,"Page (Honoree)",DataSimple!Y2:Y1000,"Canada")+COUNTIFS(DataSimple!J2:J1000,"&gt;=8/1/2018",DataSimple!J2:J1000,"&lt;=8/31/2018",DataSimple!M2:M1000,"Page (Honoree)",DataSimple!Y2:Y1000,"Canada")</f>
        <v>0</v>
      </c>
      <c r="K3">
        <f>COUNTIFS(DataSimple!J2:J1000,"&gt;=9/1/2017",DataSimple!J2:J1000,"&lt;=9/30/2017",DataSimple!M2:M1000,"Page (Honoree)",DataSimple!Y2:Y1000,"Canada")+COUNTIFS(DataSimple!J2:J1000,"&gt;=9/1/2018",DataSimple!J2:J1000,"&lt;=9/30/2018",DataSimple!M2:M1000,"Page (Honoree)",DataSimple!Y2:Y1000,"Canada")</f>
        <v>0</v>
      </c>
      <c r="L3">
        <f>COUNTIFS(DataSimple!J2:J1000,"&gt;=10/1/2017",DataSimple!J2:J1000,"&lt;=10/31/2017",DataSimple!M2:M1000,"Page (Honoree)",DataSimple!Y2:Y1000,"Canada")+COUNTIFS(DataSimple!J2:J1000,"&gt;=10/1/2018",DataSimple!J2:J1000,"&lt;=10/31/2018",DataSimple!M2:M1000,"Page (Honoree)",DataSimple!Y2:Y1000,"Canada")</f>
        <v>0</v>
      </c>
      <c r="M3">
        <f>COUNTIFS(DataSimple!J2:J1000,"&gt;=11/1/2017",DataSimple!J2:J1000,"&lt;=11/30/2017",DataSimple!M2:M1000,"Page (Honoree)",DataSimple!Y2:Y1000,"Canada")+COUNTIFS(DataSimple!J2:J1000,"&gt;=11/1/2018",DataSimple!J2:J1000,"&lt;=11/30/2018",DataSimple!M2:M1000,"Page (Honoree)",DataSimple!Y2:Y1000,"Canada")</f>
        <v>0</v>
      </c>
      <c r="N3">
        <f>COUNTIFS(DataSimple!J2:J1000,"&gt;=12/1/2017",DataSimple!J2:J1000,"&lt;=12/31/2017",DataSimple!M2:M1000,"Page (Honoree)",DataSimple!Y2:Y1000,"Canada")+COUNTIFS(DataSimple!J2:J1000,"&gt;=12/1/2018",DataSimple!J2:J1000,"&lt;=12/31/2018",DataSimple!M2:M1000,"Page (Honoree)",DataSimple!Y2:Y1000,"Canada")</f>
        <v>0</v>
      </c>
      <c r="O3" s="22">
        <f t="shared" si="0"/>
        <v>0</v>
      </c>
      <c r="Q3">
        <v>0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0</v>
      </c>
    </row>
    <row r="4" spans="1:18" x14ac:dyDescent="0.5">
      <c r="A4" t="s">
        <v>744</v>
      </c>
      <c r="B4">
        <f>COUNTIFS(DataSimple!J2:J1000,"&gt;=1/1/1980",DataSimple!J2:J1000,"&lt;=6/30/2017",DataSimple!M2:M1000,"Page (Honoree)",DataSimple!Y2:Y1000,"Europe")</f>
        <v>2</v>
      </c>
      <c r="C4">
        <f>COUNTIFS(DataSimple!J2:J1000,"&gt;=1/1/2018",DataSimple!J2:J1000,"&lt;=1/31/2018",DataSimple!M2:M1000,"Page (Honoree)",DataSimple!Y2:Y1000,"Europe")</f>
        <v>0</v>
      </c>
      <c r="D4">
        <f>COUNTIFS(DataSimple!J2:J1000,"&gt;=2/1/2018",DataSimple!J2:J1000,"&lt;=2/28/2018",DataSimple!M2:M1000,"Page (Honoree)",DataSimple!Y2:Y1000,"Europe")</f>
        <v>0</v>
      </c>
      <c r="E4">
        <f>COUNTIFS(DataSimple!J2:J1000,"&gt;=3/1/2018",DataSimple!J2:J1000,"&lt;=3/31/2018",DataSimple!M2:M1000,"Page (Honoree)",DataSimple!Y2:Y1000,"Europe")</f>
        <v>0</v>
      </c>
      <c r="F4">
        <f>COUNTIFS(DataSimple!J2:J1000,"&gt;=4/1/2018",DataSimple!J2:J1000,"&lt;=4/30/2018",DataSimple!M2:M1000,"Page (Honoree)",DataSimple!Y2:Y1000,"Europe")</f>
        <v>0</v>
      </c>
      <c r="G4">
        <f>COUNTIFS(DataSimple!J2:J1000,"&gt;=5/1/2018",DataSimple!J2:J1000,"&lt;=5/31/2018",DataSimple!M2:M1000,"Page (Honoree)",DataSimple!Y2:Y1000,"Europe")</f>
        <v>0</v>
      </c>
      <c r="H4">
        <f>COUNTIFS(DataSimple!J2:J1000,"&gt;=6/1/2018",DataSimple!J2:J1000,"&lt;=6/30/2018",DataSimple!M2:M1000,"Page (Honoree)",DataSimple!Y2:Y1000,"Europe")</f>
        <v>0</v>
      </c>
      <c r="I4">
        <f>COUNTIFS(DataSimple!J2:J1000,"&gt;=7/1/2017",DataSimple!J2:J1000,"&lt;=7/31/2017",DataSimple!M2:M1000,"Page (Honoree)",DataSimple!Y2:Y1000,"Europe")+COUNTIFS(DataSimple!J2:J1000,"&gt;=7/1/2018",DataSimple!J2:J1000,"&lt;=7/31/2018",DataSimple!M2:M1000,"Page (Honoree)",DataSimple!Y2:Y1000,"Europe")</f>
        <v>0</v>
      </c>
      <c r="J4">
        <f>COUNTIFS(DataSimple!J2:J1000,"&gt;=8/1/2017",DataSimple!J2:J1000,"&lt;=8/31/2017",DataSimple!M2:M1000,"Page (Honoree)",DataSimple!Y2:Y1000,"Europe")+COUNTIFS(DataSimple!J2:J1000,"&gt;=8/1/2018",DataSimple!J2:J1000,"&lt;=8/31/2018",DataSimple!M2:M1000,"Page (Honoree)",DataSimple!Y2:Y1000,"Europe")</f>
        <v>0</v>
      </c>
      <c r="K4">
        <f>COUNTIFS(DataSimple!J2:J1000,"&gt;=9/1/2017",DataSimple!J2:J1000,"&lt;=9/30/2017",DataSimple!M2:M1000,"Page (Honoree)",DataSimple!Y2:Y1000,"Europe")+COUNTIFS(DataSimple!J2:J1000,"&gt;=9/1/2018",DataSimple!J2:J1000,"&lt;=9/30/2018",DataSimple!M2:M1000,"Page (Honoree)",DataSimple!Y2:Y1000,"Europe")</f>
        <v>0</v>
      </c>
      <c r="L4">
        <f>COUNTIFS(DataSimple!J2:J1000,"&gt;=10/1/2017",DataSimple!J2:J1000,"&lt;=10/31/2017",DataSimple!M2:M1000,"Page (Honoree)",DataSimple!Y2:Y1000,"Europe")+COUNTIFS(DataSimple!J2:J1000,"&gt;=10/1/2018",DataSimple!J2:J1000,"&lt;=10/31/2018",DataSimple!M2:M1000,"Page (Honoree)",DataSimple!Y2:Y1000,"Europe")</f>
        <v>0</v>
      </c>
      <c r="M4">
        <f>COUNTIFS(DataSimple!J2:J1000,"&gt;=11/1/2017",DataSimple!J2:J1000,"&lt;=11/30/2017",DataSimple!M2:M1000,"Page (Honoree)",DataSimple!Y2:Y1000,"Europe")+COUNTIFS(DataSimple!J2:J1000,"&gt;=11/1/2018",DataSimple!J2:J1000,"&lt;=11/30/2018",DataSimple!M2:M1000,"Page (Honoree)",DataSimple!Y2:Y1000,"Europe")</f>
        <v>0</v>
      </c>
      <c r="N4">
        <f>COUNTIFS(DataSimple!J2:J1000,"&gt;=12/1/2017",DataSimple!J2:J1000,"&lt;=12/31/2017",DataSimple!M2:M1000,"Page (Honoree)",DataSimple!Y2:Y1000,"Europe")+COUNTIFS(DataSimple!J2:J1000,"&gt;=12/1/2018",DataSimple!J2:J1000,"&lt;=12/31/2018",DataSimple!M2:M1000,"Page (Honoree)",DataSimple!Y2:Y1000,"Europe")</f>
        <v>0</v>
      </c>
      <c r="O4" s="22">
        <f t="shared" si="0"/>
        <v>2</v>
      </c>
      <c r="Q4">
        <v>0</v>
      </c>
      <c r="R4" s="1">
        <f t="shared" si="1"/>
        <v>0</v>
      </c>
    </row>
    <row r="5" spans="1:18" x14ac:dyDescent="0.5">
      <c r="A5" t="s">
        <v>8559</v>
      </c>
      <c r="B5">
        <f>COUNTIFS(DataSimple!J2:J1000,"&gt;=1/1/1980",DataSimple!J2:J1000,"&lt;=6/30/2017",DataSimple!M2:M1000,"Page (Honoree)",DataSimple!Y2:Y1000,"Middle East/Africa")</f>
        <v>0</v>
      </c>
      <c r="C5">
        <f>COUNTIFS(DataSimple!J2:J1000,"&gt;=1/1/2018",DataSimple!J2:J1000,"&lt;=1/31/2018",DataSimple!M2:M1000,"Page (Honoree)",DataSimple!Y2:Y1000,"Middle East/Africa")</f>
        <v>0</v>
      </c>
      <c r="D5">
        <f>COUNTIFS(DataSimple!J2:J1000,"&gt;=2/1/2018",DataSimple!J2:J1000,"&lt;=2/28/2018",DataSimple!M2:M1000,"Page (Honoree)",DataSimple!Y2:Y1000,"Middle East/Africa")</f>
        <v>0</v>
      </c>
      <c r="E5">
        <f>COUNTIFS(DataSimple!J2:J1000,"&gt;=3/1/2018",DataSimple!J2:J1000,"&lt;=3/31/2018",DataSimple!M2:M1000,"Page (Honoree)",DataSimple!Y2:Y1000,"Middle East/Africa")</f>
        <v>0</v>
      </c>
      <c r="F5">
        <f>COUNTIFS(DataSimple!J2:J1000,"&gt;=4/1/2018",DataSimple!J2:J1000,"&lt;=4/30/2018",DataSimple!M2:M1000,"Page (Honoree)",DataSimple!Y2:Y1000,"Middle East/Africa")</f>
        <v>0</v>
      </c>
      <c r="G5">
        <f>COUNTIFS(DataSimple!J2:J1000,"&gt;=5/1/2018",DataSimple!J2:J1000,"&lt;=5/31/2018",DataSimple!M2:M1000,"Page (Honoree)",DataSimple!Y2:Y1000,"Middle East/Africa")</f>
        <v>0</v>
      </c>
      <c r="H5">
        <f>COUNTIFS(DataSimple!J2:J1000,"&gt;=6/1/2018",DataSimple!J2:J1000,"&lt;=6/30/2018",DataSimple!M2:M1000,"Page (Honoree)",DataSimple!Y2:Y1000,"Middle East/Africa")</f>
        <v>0</v>
      </c>
      <c r="I5">
        <f>COUNTIFS(DataSimple!J2:J1000,"&gt;=7/1/2017",DataSimple!J2:J1000,"&lt;=7/31/2017",DataSimple!M2:M1000,"Page (Honoree)",DataSimple!Y2:Y1000,"Middle East/Africa")+COUNTIFS(DataSimple!J2:J1000,"&gt;=7/1/2018",DataSimple!J2:J1000,"&lt;=7/31/2018",DataSimple!M2:M1000,"Page (Honoree)",DataSimple!Y2:Y1000,"Middle East/Africa")</f>
        <v>0</v>
      </c>
      <c r="J5">
        <f>COUNTIFS(DataSimple!J2:J1000,"&gt;=8/1/2017",DataSimple!J2:J1000,"&lt;=8/31/2017",DataSimple!M2:M1000,"Page (Honoree)",DataSimple!Y2:Y1000,"Middle East/Africa")+COUNTIFS(DataSimple!J2:J1000,"&gt;=8/1/2018",DataSimple!J2:J1000,"&lt;=8/31/2018",DataSimple!M2:M1000,"Page (Honoree)",DataSimple!Y2:Y1000,"Middle East/Africa")</f>
        <v>0</v>
      </c>
      <c r="K5">
        <f>COUNTIFS(DataSimple!J2:J1000,"&gt;=9/1/2017",DataSimple!J2:J1000,"&lt;=9/30/2017",DataSimple!M2:M1000,"Page (Honoree)",DataSimple!Y2:Y1000,"Middle East/Africa")+COUNTIFS(DataSimple!J2:J1000,"&gt;=9/1/2018",DataSimple!J2:J1000,"&lt;=9/30/2018",DataSimple!M2:M1000,"Page (Honoree)",DataSimple!Y2:Y1000,"Middle East/Africa")</f>
        <v>0</v>
      </c>
      <c r="L5">
        <f>COUNTIFS(DataSimple!J2:J1000,"&gt;=10/1/2017",DataSimple!J2:J1000,"&lt;=10/31/2017",DataSimple!M2:M1000,"Page (Honoree)",DataSimple!Y2:Y1000,"Middle East/Africa")+COUNTIFS(DataSimple!J2:J1000,"&gt;=10/1/2018",DataSimple!J2:J1000,"&lt;=10/31/2018",DataSimple!M2:M1000,"Page (Honoree)",DataSimple!Y2:Y1000,"Middle East/Africa")</f>
        <v>0</v>
      </c>
      <c r="M5">
        <f>COUNTIFS(DataSimple!J2:J1000,"&gt;=11/1/2017",DataSimple!J2:J1000,"&lt;=11/30/2017",DataSimple!M2:M1000,"Page (Honoree)",DataSimple!Y2:Y1000,"Middle East/Africa")+COUNTIFS(DataSimple!J2:J1000,"&gt;=11/1/2018",DataSimple!J2:J1000,"&lt;=11/30/2018",DataSimple!M2:M1000,"Page (Honoree)",DataSimple!Y2:Y1000,"Middle East/Africa")</f>
        <v>0</v>
      </c>
      <c r="N5">
        <f>COUNTIFS(DataSimple!J2:J1000,"&gt;=12/1/2017",DataSimple!J2:J1000,"&lt;=12/31/2017",DataSimple!M2:M1000,"Page (Honoree)",DataSimple!Y2:Y1000,"Middle East/Africa")+COUNTIFS(DataSimple!J2:J1000,"&gt;=12/1/2018",DataSimple!J2:J1000,"&lt;=12/31/2018",DataSimple!M2:M1000,"Page (Honoree)",DataSimple!Y2:Y1000,"Middle East/Africa")</f>
        <v>0</v>
      </c>
      <c r="O5" s="22">
        <f t="shared" si="0"/>
        <v>0</v>
      </c>
      <c r="Q5">
        <v>0</v>
      </c>
      <c r="R5" s="1">
        <f t="shared" si="1"/>
        <v>0</v>
      </c>
    </row>
    <row r="6" spans="1:18" x14ac:dyDescent="0.5">
      <c r="A6" t="s">
        <v>8560</v>
      </c>
      <c r="B6">
        <f>COUNTIFS(DataSimple!J2:J1000,"&gt;=1/1/1980",DataSimple!J2:J1000,"&lt;=6/30/2017",DataSimple!M2:M1000,"Page (Honoree)",DataSimple!Y2:Y1000,"Asia:Other")</f>
        <v>0</v>
      </c>
      <c r="C6">
        <f>COUNTIFS(DataSimple!J2:J1000,"&gt;=1/1/2018",DataSimple!J2:J1000,"&lt;=1/31/2018",DataSimple!M2:M1000,"Page (Honoree)",DataSimple!Y2:Y1000,"Asia:Other")</f>
        <v>0</v>
      </c>
      <c r="D6">
        <f>COUNTIFS(DataSimple!J2:J1000,"&gt;=2/1/2018",DataSimple!J2:J1000,"&lt;=2/28/2018",DataSimple!M2:M1000,"Page (Honoree)",DataSimple!Y2:Y1000,"Asia:Other")</f>
        <v>0</v>
      </c>
      <c r="E6">
        <f>COUNTIFS(DataSimple!J2:J1000,"&gt;=3/1/2018",DataSimple!J2:J1000,"&lt;=3/31/2018",DataSimple!M2:M1000,"Page (Honoree)",DataSimple!Y2:Y1000,"Asia:Other")</f>
        <v>0</v>
      </c>
      <c r="F6">
        <f>COUNTIFS(DataSimple!J2:J1000,"&gt;=4/1/2018",DataSimple!J2:J1000,"&lt;=4/30/2018",DataSimple!M2:M1000,"Page (Honoree)",DataSimple!Y2:Y1000,"Asia:Other")</f>
        <v>0</v>
      </c>
      <c r="G6">
        <f>COUNTIFS(DataSimple!J2:J1000,"&gt;=5/1/2018",DataSimple!J2:J1000,"&lt;=5/31/2018",DataSimple!M2:M1000,"Page (Honoree)",DataSimple!Y2:Y1000,"Asia:Other")</f>
        <v>0</v>
      </c>
      <c r="H6">
        <f>COUNTIFS(DataSimple!J2:J1000,"&gt;=6/1/2018",DataSimple!J2:J1000,"&lt;=6/30/2018",DataSimple!M2:M1000,"Page (Honoree)",DataSimple!Y2:Y1000,"Asia:Other")</f>
        <v>0</v>
      </c>
      <c r="I6">
        <f>COUNTIFS(DataSimple!J2:J1000,"&gt;=7/1/2017",DataSimple!J2:J1000,"&lt;=7/31/2017",DataSimple!M2:M1000,"Page (Honoree)",DataSimple!Y2:Y1000,"Asia:Other")+COUNTIFS(DataSimple!J2:J1000,"&gt;=7/1/2018",DataSimple!J2:J1000,"&lt;=7/31/2018",DataSimple!M2:M1000,"Page (Honoree)",DataSimple!Y2:Y1000,"Asia:Other")</f>
        <v>0</v>
      </c>
      <c r="J6">
        <f>COUNTIFS(DataSimple!J2:J1000,"&gt;=8/1/2017",DataSimple!J2:J1000,"&lt;=8/31/2017",DataSimple!M2:M1000,"Page (Honoree)",DataSimple!Y2:Y1000,"Asia:Other")+COUNTIFS(DataSimple!J2:J1000,"&gt;=8/1/2018",DataSimple!J2:J1000,"&lt;=8/31/2018",DataSimple!M2:M1000,"Page (Honoree)",DataSimple!Y2:Y1000,"Asia:Other")</f>
        <v>0</v>
      </c>
      <c r="K6">
        <f>COUNTIFS(DataSimple!J2:J1000,"&gt;=9/1/2017",DataSimple!J2:J1000,"&lt;=9/30/2017",DataSimple!M2:M1000,"Page (Honoree)",DataSimple!Y2:Y1000,"Asia:Other")+COUNTIFS(DataSimple!J2:J1000,"&gt;=9/1/2018",DataSimple!J2:J1000,"&lt;=9/30/2018",DataSimple!M2:M1000,"Page (Honoree)",DataSimple!Y2:Y1000,"Asia:Other")</f>
        <v>0</v>
      </c>
      <c r="L6">
        <f>COUNTIFS(DataSimple!J2:J1000,"&gt;=10/1/2017",DataSimple!J2:J1000,"&lt;=10/31/2017",DataSimple!M2:M1000,"Page (Honoree)",DataSimple!Y2:Y1000,"Asia:Other")+COUNTIFS(DataSimple!J2:J1000,"&gt;=10/1/2018",DataSimple!J2:J1000,"&lt;=10/31/2018",DataSimple!M2:M1000,"Page (Honoree)",DataSimple!Y2:Y1000,"Asia:Other")</f>
        <v>0</v>
      </c>
      <c r="M6">
        <f>COUNTIFS(DataSimple!J2:J1000,"&gt;=11/1/2017",DataSimple!J2:J1000,"&lt;=11/30/2017",DataSimple!M2:M1000,"Page (Honoree)",DataSimple!Y2:Y1000,"Asia:Other")+COUNTIFS(DataSimple!J2:J1000,"&gt;=11/1/2018",DataSimple!J2:J1000,"&lt;=11/30/2018",DataSimple!M2:M1000,"Page (Honoree)",DataSimple!Y2:Y1000,"Asia:Other")</f>
        <v>0</v>
      </c>
      <c r="N6">
        <f>COUNTIFS(DataSimple!J2:J1000,"&gt;=12/1/2017",DataSimple!J2:J1000,"&lt;=12/31/2017",DataSimple!M2:M1000,"Page (Honoree)",DataSimple!Y2:Y1000,"Asia:Other")+COUNTIFS(DataSimple!J2:J1000,"&gt;=12/1/2018",DataSimple!J2:J1000,"&lt;=12/31/2018",DataSimple!M2:M1000,"Page (Honoree)",DataSimple!Y2:Y1000,"Asia:Other")</f>
        <v>0</v>
      </c>
      <c r="O6" s="22">
        <f t="shared" si="0"/>
        <v>0</v>
      </c>
      <c r="Q6">
        <v>0</v>
      </c>
      <c r="R6" s="1">
        <f t="shared" si="1"/>
        <v>0</v>
      </c>
    </row>
    <row r="7" spans="1:18" x14ac:dyDescent="0.5">
      <c r="A7" t="s">
        <v>4147</v>
      </c>
      <c r="B7">
        <f>COUNTIFS(DataSimple!J2:J1000,"&gt;=1/1/1980",DataSimple!J2:J1000,"&lt;=6/30/2017",DataSimple!M2:M1000,"Page (Honoree)",DataSimple!Y2:Y1000,"Australia/NZ")</f>
        <v>0</v>
      </c>
      <c r="C7">
        <f>COUNTIFS(DataSimple!J2:J1000,"&gt;=1/1/2018",DataSimple!J2:J1000,"&lt;=1/31/2018",DataSimple!M2:M1000,"Page (Honoree)",DataSimple!Y2:Y1000,"Australia/NZ")</f>
        <v>0</v>
      </c>
      <c r="D7">
        <f>COUNTIFS(DataSimple!J2:J1000,"&gt;=2/1/2018",DataSimple!J2:J1000,"&lt;=2/28/2018",DataSimple!M2:M1000,"Page (Honoree)",DataSimple!Y2:Y1000,"Australia/NZ")</f>
        <v>0</v>
      </c>
      <c r="E7">
        <f>COUNTIFS(DataSimple!J2:J1000,"&gt;=3/1/2018",DataSimple!J2:J1000,"&lt;=3/31/2018",DataSimple!M2:M1000,"Page (Honoree)",DataSimple!Y2:Y1000,"Australia/NZ")</f>
        <v>0</v>
      </c>
      <c r="F7">
        <f>COUNTIFS(DataSimple!J2:J1000,"&gt;=4/1/2018",DataSimple!J2:J1000,"&lt;=4/30/2018",DataSimple!M2:M1000,"Page (Honoree)",DataSimple!Y2:Y1000,"Australia/NZ")</f>
        <v>0</v>
      </c>
      <c r="G7">
        <f>COUNTIFS(DataSimple!J2:J1000,"&gt;=5/1/2018",DataSimple!J2:J1000,"&lt;=5/31/2018",DataSimple!M2:M1000,"Page (Honoree)",DataSimple!Y2:Y1000,"Australia/NZ")</f>
        <v>0</v>
      </c>
      <c r="H7">
        <f>COUNTIFS(DataSimple!J2:J1000,"&gt;=6/1/2018",DataSimple!J2:J1000,"&lt;=6/30/2018",DataSimple!M2:M1000,"Page (Honoree)",DataSimple!Y2:Y1000,"Australia/NZ")</f>
        <v>0</v>
      </c>
      <c r="I7">
        <f>COUNTIFS(DataSimple!J2:J1000,"&gt;=7/1/2017",DataSimple!J2:J1000,"&lt;=7/31/2017",DataSimple!M2:M1000,"Page (Honoree)",DataSimple!Y2:Y1000,"Australia/NZ")+COUNTIFS(DataSimple!J2:J1000,"&gt;=7/1/2018",DataSimple!J2:J1000,"&lt;=7/31/2018",DataSimple!M2:M1000,"Page (Honoree)",DataSimple!Y2:Y1000,"Australia/NZ")</f>
        <v>0</v>
      </c>
      <c r="J7">
        <f>COUNTIFS(DataSimple!J2:J1000,"&gt;=8/1/2017",DataSimple!J2:J1000,"&lt;=8/31/2017",DataSimple!M2:M1000,"Page (Honoree)",DataSimple!Y2:Y1000,"Australia/NZ")+COUNTIFS(DataSimple!J2:J1000,"&gt;=8/1/2018",DataSimple!J2:J1000,"&lt;=8/31/2018",DataSimple!M2:M1000,"Page (Honoree)",DataSimple!Y2:Y1000,"Australia/NZ")</f>
        <v>0</v>
      </c>
      <c r="K7">
        <f>COUNTIFS(DataSimple!J2:J1000,"&gt;=9/1/2017",DataSimple!J2:J1000,"&lt;=9/30/2017",DataSimple!M2:M1000,"Page (Honoree)",DataSimple!Y2:Y1000,"Australia/NZ")+COUNTIFS(DataSimple!J2:J1000,"&gt;=9/1/2018",DataSimple!J2:J1000,"&lt;=9/30/2018",DataSimple!M2:M1000,"Page (Honoree)",DataSimple!Y2:Y1000,"Australia/NZ")</f>
        <v>0</v>
      </c>
      <c r="L7">
        <f>COUNTIFS(DataSimple!J2:J1000,"&gt;=10/1/2017",DataSimple!J2:J1000,"&lt;=10/31/2017",DataSimple!M2:M1000,"Page (Honoree)",DataSimple!Y2:Y1000,"Australia/NZ")+COUNTIFS(DataSimple!J2:J1000,"&gt;=10/1/2018",DataSimple!J2:J1000,"&lt;=10/31/2018",DataSimple!M2:M1000,"Page (Honoree)",DataSimple!Y2:Y1000,"Australia/NZ")</f>
        <v>0</v>
      </c>
      <c r="M7">
        <f>COUNTIFS(DataSimple!J2:J1000,"&gt;=11/1/2017",DataSimple!J2:J1000,"&lt;=11/30/2017",DataSimple!M2:M1000,"Page (Honoree)",DataSimple!Y2:Y1000,"Australia/NZ")+COUNTIFS(DataSimple!J2:J1000,"&gt;=11/1/2018",DataSimple!J2:J1000,"&lt;=11/30/2018",DataSimple!M2:M1000,"Page (Honoree)",DataSimple!Y2:Y1000,"Australia/NZ")</f>
        <v>0</v>
      </c>
      <c r="N7">
        <f>COUNTIFS(DataSimple!J2:J1000,"&gt;=12/1/2017",DataSimple!J2:J1000,"&lt;=12/31/2017",DataSimple!M2:M1000,"Page (Honoree)",DataSimple!Y2:Y1000,"Australia/NZ")+COUNTIFS(DataSimple!J2:J1000,"&gt;=12/1/2018",DataSimple!J2:J1000,"&lt;=12/31/2018",DataSimple!M2:M1000,"Page (Honoree)",DataSimple!Y2:Y1000,"Australia/NZ")</f>
        <v>0</v>
      </c>
      <c r="O7" s="22">
        <f>SUM(B7:N7)</f>
        <v>0</v>
      </c>
      <c r="Q7">
        <v>0</v>
      </c>
      <c r="R7" s="1">
        <f t="shared" si="1"/>
        <v>0</v>
      </c>
    </row>
    <row r="8" spans="1:18" x14ac:dyDescent="0.5">
      <c r="A8" t="s">
        <v>2512</v>
      </c>
      <c r="B8">
        <f>COUNTIFS(DataSimple!J2:J1000,"&gt;=1/1/1980",DataSimple!J2:J1000,"&lt;=6/30/2017",DataSimple!M2:M1000,"Page (Honoree)",DataSimple!Y2:Y1000,"Asia:India")</f>
        <v>0</v>
      </c>
      <c r="C8">
        <f>COUNTIFS(DataSimple!J2:J1000,"&gt;=1/1/2018",DataSimple!J2:J1000,"&lt;=1/31/2018",DataSimple!M2:M1000,"Page (Honoree)",DataSimple!Y2:Y1000,"Asia:India")</f>
        <v>0</v>
      </c>
      <c r="D8">
        <f>COUNTIFS(DataSimple!J2:J1000,"&gt;=2/1/2018",DataSimple!J2:J1000,"&lt;=2/28/2018",DataSimple!M2:M1000,"Page (Honoree)",DataSimple!Y2:Y1000,"Asia:India")</f>
        <v>0</v>
      </c>
      <c r="E8">
        <f>COUNTIFS(DataSimple!J2:J1000,"&gt;=3/1/2018",DataSimple!J2:J1000,"&lt;=3/31/2018",DataSimple!M2:M1000,"Page (Honoree)",DataSimple!Y2:Y1000,"Asia:India")</f>
        <v>0</v>
      </c>
      <c r="F8">
        <f>COUNTIFS(DataSimple!J2:J1000,"&gt;=4/1/2018",DataSimple!J2:J1000,"&lt;=4/30/2018",DataSimple!M2:M1000,"Page (Honoree)",DataSimple!Y2:Y1000,"Asia:India")</f>
        <v>0</v>
      </c>
      <c r="G8">
        <f>COUNTIFS(DataSimple!J2:J1000,"&gt;=5/1/2018",DataSimple!J2:J1000,"&lt;=5/31/2018",DataSimple!M2:M1000,"Page (Honoree)",DataSimple!Y2:Y1000,"Asia:India")</f>
        <v>0</v>
      </c>
      <c r="H8">
        <f>COUNTIFS(DataSimple!J2:J1000,"&gt;=6/1/2018",DataSimple!J2:J1000,"&lt;=6/30/2018",DataSimple!M2:M1000,"Page (Honoree)",DataSimple!Y2:Y1000,"Asia:India")</f>
        <v>0</v>
      </c>
      <c r="I8">
        <f>COUNTIFS(DataSimple!J2:J1000,"&gt;=7/1/2017",DataSimple!J2:J1000,"&lt;=7/31/2017",DataSimple!M2:M1000,"Page (Honoree)",DataSimple!Y2:Y1000,"Asia:India")+COUNTIFS(DataSimple!J2:J1000,"&gt;=7/1/2018",DataSimple!J2:J1000,"&lt;=7/31/2018",DataSimple!M2:M1000,"Page (Honoree)",DataSimple!Y2:Y1000,"Asia:India")</f>
        <v>0</v>
      </c>
      <c r="J8">
        <f>COUNTIFS(DataSimple!J2:J1000,"&gt;=8/1/2017",DataSimple!J2:J1000,"&lt;=8/31/2017",DataSimple!M2:M1000,"Page (Honoree)",DataSimple!Y2:Y1000,"Asia:India")+COUNTIFS(DataSimple!J2:J1000,"&gt;=8/1/2018",DataSimple!J2:J1000,"&lt;=8/31/2018",DataSimple!M2:M1000,"Page (Honoree)",DataSimple!Y2:Y1000,"Asia:India")</f>
        <v>0</v>
      </c>
      <c r="K8">
        <f>COUNTIFS(DataSimple!J2:J1000,"&gt;=9/1/2017",DataSimple!J2:J1000,"&lt;=9/30/2017",DataSimple!M2:M1000,"Page (Honoree)",DataSimple!Y2:Y1000,"Asia:India")+COUNTIFS(DataSimple!J2:J1000,"&gt;=9/1/2018",DataSimple!J2:J1000,"&lt;=9/30/2018",DataSimple!M2:M1000,"Page (Honoree)",DataSimple!Y2:Y1000,"Asia:India")</f>
        <v>0</v>
      </c>
      <c r="L8">
        <f>COUNTIFS(DataSimple!J2:J1000,"&gt;=10/1/2017",DataSimple!J2:J1000,"&lt;=10/31/2017",DataSimple!M2:M1000,"Page (Honoree)",DataSimple!Y2:Y1000,"Asia:India")+COUNTIFS(DataSimple!J2:J1000,"&gt;=10/1/2018",DataSimple!J2:J1000,"&lt;=10/31/2018",DataSimple!M2:M1000,"Page (Honoree)",DataSimple!Y2:Y1000,"Asia:India")</f>
        <v>0</v>
      </c>
      <c r="M8">
        <f>COUNTIFS(DataSimple!J2:J1000,"&gt;=11/1/2017",DataSimple!J2:J1000,"&lt;=11/30/2017",DataSimple!M2:M1000,"Page (Honoree)",DataSimple!Y2:Y1000,"Asia:India")+COUNTIFS(DataSimple!J2:J1000,"&gt;=11/1/2018",DataSimple!J2:J1000,"&lt;=11/30/2018",DataSimple!M2:M1000,"Page (Honoree)",DataSimple!Y2:Y1000,"Asia:India")</f>
        <v>0</v>
      </c>
      <c r="N8">
        <f>COUNTIFS(DataSimple!J2:J1000,"&gt;=12/1/2017",DataSimple!J2:J1000,"&lt;=12/31/2017",DataSimple!M2:M1000,"Page (Honoree)",DataSimple!Y2:Y1000,"Asia:India")+COUNTIFS(DataSimple!J2:J1000,"&gt;=12/1/2018",DataSimple!J2:J1000,"&lt;=12/31/2018",DataSimple!M2:M1000,"Page (Honoree)",DataSimple!Y2:Y1000,"Asia:India")</f>
        <v>0</v>
      </c>
      <c r="O8" s="22">
        <f t="shared" si="0"/>
        <v>0</v>
      </c>
      <c r="Q8">
        <v>0</v>
      </c>
      <c r="R8" s="1">
        <f t="shared" si="1"/>
        <v>0</v>
      </c>
    </row>
    <row r="9" spans="1:18" x14ac:dyDescent="0.5">
      <c r="A9" t="s">
        <v>8561</v>
      </c>
      <c r="B9">
        <f>COUNTIFS(DataSimple!J2:J1000,"&gt;=1/1/1980",DataSimple!J2:J1000,"&lt;=6/30/2017",DataSimple!M2:M1000,"Page (Honoree)",DataSimple!Y2:Y1000,"Latin America")</f>
        <v>0</v>
      </c>
      <c r="C9">
        <f>COUNTIFS(DataSimple!J2:J1000,"&gt;=1/1/2018",DataSimple!J2:J1000,"&lt;=1/31/2018",DataSimple!M2:M1000,"Page (Honoree)",DataSimple!Y2:Y1000,"Latin America")</f>
        <v>0</v>
      </c>
      <c r="D9">
        <f>COUNTIFS(DataSimple!J2:J1000,"&gt;=2/1/2018",DataSimple!J2:J1000,"&lt;=2/28/2018",DataSimple!M2:M1000,"Page (Honoree)",DataSimple!Y2:Y1000,"Latin America")</f>
        <v>0</v>
      </c>
      <c r="E9">
        <f>COUNTIFS(DataSimple!J2:J1000,"&gt;=3/1/2018",DataSimple!J2:J1000,"&lt;=3/31/2018",DataSimple!M2:M1000,"Page (Honoree)",DataSimple!Y2:Y1000,"Latin America")</f>
        <v>0</v>
      </c>
      <c r="F9">
        <f>COUNTIFS(DataSimple!J2:J1000,"&gt;=4/1/2018",DataSimple!J2:J1000,"&lt;=4/30/2018",DataSimple!M2:M1000,"Page (Honoree)",DataSimple!Y2:Y1000,"Latin America")</f>
        <v>0</v>
      </c>
      <c r="G9">
        <f>COUNTIFS(DataSimple!J2:J1000,"&gt;=5/1/2018",DataSimple!J2:J1000,"&lt;=5/31/2018",DataSimple!M2:M1000,"Page (Honoree)",DataSimple!Y2:Y1000,"Latin America")</f>
        <v>0</v>
      </c>
      <c r="H9">
        <f>COUNTIFS(DataSimple!J2:J1000,"&gt;=6/1/2018",DataSimple!J2:J1000,"&lt;=6/30/2018",DataSimple!M2:M1000,"Page (Honoree)",DataSimple!Y2:Y1000,"Latin America")</f>
        <v>0</v>
      </c>
      <c r="I9">
        <f>COUNTIFS(DataSimple!J2:J1000,"&gt;=7/1/2017",DataSimple!J2:J1000,"&lt;=7/31/2017",DataSimple!M2:M1000,"Page (Honoree)",DataSimple!Y2:Y1000,"Latin America")+COUNTIFS(DataSimple!J2:J1000,"&gt;=7/1/2018",DataSimple!J2:J1000,"&lt;=7/31/2018",DataSimple!M2:M1000,"Page (Honoree)",DataSimple!Y2:Y1000,"Latin America")</f>
        <v>0</v>
      </c>
      <c r="J9">
        <f>COUNTIFS(DataSimple!J2:J1000,"&gt;=8/1/2017",DataSimple!J2:J1000,"&lt;=8/31/2017",DataSimple!M2:M1000,"Page (Honoree)",DataSimple!Y2:Y1000,"Latin America")+COUNTIFS(DataSimple!J2:J1000,"&gt;=8/1/2018",DataSimple!J2:J1000,"&lt;=8/31/2018",DataSimple!M2:M1000,"Page (Honoree)",DataSimple!Y2:Y1000,"Latin America")</f>
        <v>0</v>
      </c>
      <c r="K9">
        <f>COUNTIFS(DataSimple!J2:J1000,"&gt;=9/1/2017",DataSimple!J2:J1000,"&lt;=9/30/2017",DataSimple!M2:M1000,"Page (Honoree)",DataSimple!Y2:Y1000,"Latin America")+COUNTIFS(DataSimple!J2:J1000,"&gt;=9/1/2018",DataSimple!J2:J1000,"&lt;=9/30/2018",DataSimple!M2:M1000,"Page (Honoree)",DataSimple!Y2:Y1000,"Latin America")</f>
        <v>0</v>
      </c>
      <c r="L9">
        <f>COUNTIFS(DataSimple!J2:J1000,"&gt;=10/1/2017",DataSimple!J2:J1000,"&lt;=10/31/2017",DataSimple!M2:M1000,"Page (Honoree)",DataSimple!Y2:Y1000,"Latin America")+COUNTIFS(DataSimple!J2:J1000,"&gt;=10/1/2018",DataSimple!J2:J1000,"&lt;=10/31/2018",DataSimple!M2:M1000,"Page (Honoree)",DataSimple!Y2:Y1000,"Latin America")</f>
        <v>0</v>
      </c>
      <c r="M9">
        <f>COUNTIFS(DataSimple!J2:J1000,"&gt;=11/1/2017",DataSimple!J2:J1000,"&lt;=11/30/2017",DataSimple!M2:M1000,"Page (Honoree)",DataSimple!Y2:Y1000,"Latin America")+COUNTIFS(DataSimple!J2:J1000,"&gt;=11/1/2018",DataSimple!J2:J1000,"&lt;=11/30/2018",DataSimple!M2:M1000,"Page (Honoree)",DataSimple!Y2:Y1000,"Latin America")</f>
        <v>0</v>
      </c>
      <c r="N9">
        <f>COUNTIFS(DataSimple!J2:J1000,"&gt;=12/1/2017",DataSimple!J2:J1000,"&lt;=12/31/2017",DataSimple!M2:M1000,"Page (Honoree)",DataSimple!Y2:Y1000,"Latin America")+COUNTIFS(DataSimple!J2:J1000,"&gt;=12/1/2018",DataSimple!J2:J1000,"&lt;=12/31/2018",DataSimple!M2:M1000,"Page (Honoree)",DataSimple!Y2:Y1000,"Latin America")</f>
        <v>0</v>
      </c>
      <c r="O9" s="22">
        <f t="shared" si="0"/>
        <v>0</v>
      </c>
      <c r="Q9">
        <v>0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32</v>
      </c>
      <c r="C11" s="4">
        <f>SUM(C2:C9)</f>
        <v>0</v>
      </c>
      <c r="D11" s="4">
        <f t="shared" ref="D11:N11" si="2">SUM(D2:D9)</f>
        <v>0</v>
      </c>
      <c r="E11" s="4">
        <f t="shared" si="2"/>
        <v>0</v>
      </c>
      <c r="F11" s="4">
        <f t="shared" si="2"/>
        <v>0</v>
      </c>
      <c r="G11" s="4">
        <f t="shared" si="2"/>
        <v>0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4">
        <f t="shared" si="2"/>
        <v>0</v>
      </c>
      <c r="N11" s="4">
        <f t="shared" si="2"/>
        <v>0</v>
      </c>
      <c r="O11" s="22">
        <f>SUM(B11:N11)</f>
        <v>32</v>
      </c>
      <c r="R11" s="26">
        <f>SUM(R2:R9)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6F04-ED73-4825-9B60-305198147FB9}">
  <dimension ref="A1:R11"/>
  <sheetViews>
    <sheetView workbookViewId="0">
      <selection activeCell="D2" sqref="D2"/>
    </sheetView>
  </sheetViews>
  <sheetFormatPr defaultRowHeight="14.35" x14ac:dyDescent="0.5"/>
  <sheetData>
    <row r="1" spans="1:18" x14ac:dyDescent="0.5">
      <c r="A1" s="3" t="s">
        <v>127</v>
      </c>
      <c r="B1" s="3" t="s">
        <v>8566</v>
      </c>
      <c r="C1" s="3" t="s">
        <v>1218</v>
      </c>
      <c r="D1" s="3" t="s">
        <v>8562</v>
      </c>
      <c r="E1" s="3" t="s">
        <v>8563</v>
      </c>
      <c r="F1" s="3" t="s">
        <v>8564</v>
      </c>
      <c r="G1" s="3" t="s">
        <v>8565</v>
      </c>
      <c r="H1" s="3" t="s">
        <v>8567</v>
      </c>
      <c r="I1" s="3" t="s">
        <v>8568</v>
      </c>
      <c r="J1" s="3" t="s">
        <v>4</v>
      </c>
      <c r="K1" s="3" t="s">
        <v>8569</v>
      </c>
      <c r="L1" s="3" t="s">
        <v>8</v>
      </c>
      <c r="M1" s="3" t="s">
        <v>9</v>
      </c>
      <c r="N1" s="3" t="s">
        <v>10</v>
      </c>
      <c r="Q1" s="3" t="s">
        <v>8572</v>
      </c>
      <c r="R1" s="3" t="s">
        <v>8571</v>
      </c>
    </row>
    <row r="2" spans="1:18" x14ac:dyDescent="0.5">
      <c r="A2" t="s">
        <v>74</v>
      </c>
      <c r="B2">
        <f>COUNTIFS(DataSimple!J2:J1000,"&gt;=1/1/1980",DataSimple!J2:J1000,"&lt;=6/30/2017",DataSimple!M2:M1000,"Page (Retired)",DataSimple!Y2:Y1000,"United States")</f>
        <v>27</v>
      </c>
      <c r="C2">
        <f>COUNTIFS(DataSimple!J2:J1000,"&gt;=1/1/2018",DataSimple!J2:J1000,"&lt;=1/31/2018",DataSimple!M2:M1000,"Page (Retired)",DataSimple!Y2:Y1000,"United States")</f>
        <v>0</v>
      </c>
      <c r="D2">
        <f>COUNTIFS(DataSimple!J2:J1000,"&gt;=2/1/2018",DataSimple!J2:J1000,"&lt;=2/28/2018",DataSimple!M2:M1000,"Page (Retired)",DataSimple!Y2:Y1000,"United States")</f>
        <v>0</v>
      </c>
      <c r="E2">
        <f>COUNTIFS(DataSimple!J2:J1000,"&gt;=3/1/2018",DataSimple!J2:J1000,"&lt;=3/31/2018",DataSimple!M2:M1000,"Page (Retired)",DataSimple!Y2:Y1000,"United States")</f>
        <v>0</v>
      </c>
      <c r="F2">
        <f>COUNTIFS(DataSimple!J2:J1000,"&gt;=4/1/2018",DataSimple!J2:J1000,"&lt;=4/30/2018",DataSimple!M2:M1000,"Page (Retired)",DataSimple!Y2:Y1000,"United States")</f>
        <v>0</v>
      </c>
      <c r="G2">
        <f>COUNTIFS(DataSimple!J2:J1000,"&gt;=5/1/2018",DataSimple!J2:J1000,"&lt;=5/31/2018",DataSimple!M2:M1000,"Page (Retired)",DataSimple!Y2:Y1000,"United States")</f>
        <v>0</v>
      </c>
      <c r="H2">
        <f>COUNTIFS(DataSimple!J2:J1000,"&gt;=6/1/2018",DataSimple!J2:J1000,"&lt;=6/30/2018",DataSimple!M2:M1000,"Page (Retired)",DataSimple!Y2:Y1000,"United States")</f>
        <v>0</v>
      </c>
      <c r="I2">
        <f>COUNTIFS(DataSimple!J2:J1000,"&gt;=7/1/2017",DataSimple!J2:J1000,"&lt;=7/31/2017",DataSimple!M2:M1000,"Page (Retired)",DataSimple!Y2:Y1000,"United States")+COUNTIFS(DataSimple!J2:J1000,"&gt;=7/1/2018",DataSimple!J2:J1000,"&lt;=7/31/2018",DataSimple!M2:M1000,"Page (Retired)",DataSimple!Y2:Y1000,"United States")</f>
        <v>0</v>
      </c>
      <c r="J2">
        <f>COUNTIFS(DataSimple!J2:J1000,"&gt;=8/1/2017",DataSimple!J2:J1000,"&lt;=8/31/2017",DataSimple!M2:M1000,"Page (Retired)",DataSimple!Y2:Y1000,"United States")+COUNTIFS(DataSimple!J2:J1000,"&gt;=8/1/2018",DataSimple!J2:J1000,"&lt;=8/31/2018",DataSimple!M2:M1000,"Page (Retired)",DataSimple!Y2:Y1000,"United States")</f>
        <v>0</v>
      </c>
      <c r="K2">
        <f>COUNTIFS(DataSimple!J2:J1000,"&gt;=9/1/2017",DataSimple!J2:J1000,"&lt;=9/30/2017",DataSimple!M2:M1000,"Page (Retired)",DataSimple!Y2:Y1000,"United States")+COUNTIFS(DataSimple!J2:J1000,"&gt;=9/1/2018",DataSimple!J2:J1000,"&lt;=9/30/2018",DataSimple!M2:M1000,"Page (Retired)",DataSimple!Y2:Y1000,"United States")</f>
        <v>0</v>
      </c>
      <c r="L2">
        <f>COUNTIFS(DataSimple!J2:J1000,"&gt;=10/1/2017",DataSimple!J2:J1000,"&lt;=10/31/2017",DataSimple!M2:M1000,"Page (Retired)",DataSimple!Y2:Y1000,"United States")+COUNTIFS(DataSimple!J2:J1000,"&gt;=10/1/2018",DataSimple!J2:J1000,"&lt;=10/31/2018",DataSimple!M2:M1000,"Page (Retired)",DataSimple!Y2:Y1000,"United States")</f>
        <v>0</v>
      </c>
      <c r="M2">
        <f>COUNTIFS(DataSimple!J2:J1000,"&gt;=11/1/2017",DataSimple!J2:J1000,"&lt;=11/30/2017",DataSimple!M2:M1000,"Page (Retired)",DataSimple!Y2:Y1000,"United States")+COUNTIFS(DataSimple!J2:J1000,"&gt;=11/1/2018",DataSimple!J2:J1000,"&lt;=11/30/2018",DataSimple!M2:M1000,"Page (Retired)",DataSimple!Y2:Y1000,"United States")</f>
        <v>0</v>
      </c>
      <c r="N2">
        <f>COUNTIFS(DataSimple!J2:J1000,"&gt;=12/1/2017",DataSimple!J2:J1000,"&lt;=12/31/2017",DataSimple!M2:M1000,"Page (Retired)",DataSimple!Y2:Y1000,"United States")+COUNTIFS(DataSimple!J2:J1000,"&gt;=12/1/2018",DataSimple!J2:J1000,"&lt;=12/31/2018",DataSimple!M2:M1000,"Page (Retired)",DataSimple!Y2:Y1000,"United States")</f>
        <v>0</v>
      </c>
      <c r="O2" s="22">
        <f t="shared" ref="O2:O9" si="0">SUM(B2:N2)</f>
        <v>27</v>
      </c>
      <c r="Q2">
        <v>1045</v>
      </c>
      <c r="R2" s="1">
        <f>PRODUCT(B2,Q2)+PRODUCT(C2,Q2)+PRODUCT(D2,Q2,(11/12))+PRODUCT(E2,Q2,(10/12))+PRODUCT(F2,Q2,(9/12))+PRODUCT(G2,Q2,(8/12))+PRODUCT(H2,Q2,(7/12))+PRODUCT(I2,Q2,(6/12))+PRODUCT(J2,Q2,(5/12))+PRODUCT(K2,Q2,(4/12))+PRODUCT(L2,Q2,(3/12))+PRODUCT(M2,Q2,(2/12))+PRODUCT(N2,Q2,(1/12))</f>
        <v>28215</v>
      </c>
    </row>
    <row r="3" spans="1:18" x14ac:dyDescent="0.5">
      <c r="A3" t="s">
        <v>1633</v>
      </c>
      <c r="B3">
        <f>COUNTIFS(DataSimple!J2:J1000,"&gt;=1/1/1980",DataSimple!J2:J1000,"&lt;=6/30/2017",DataSimple!M2:M1000,"Page (Retired)",DataSimple!Y2:Y1000,"Canada")</f>
        <v>0</v>
      </c>
      <c r="C3">
        <f>COUNTIFS(DataSimple!J2:J1000,"&gt;=1/1/2018",DataSimple!J2:J1000,"&lt;=1/31/2018",DataSimple!M2:M1000,"Page (Retired)",DataSimple!Y2:Y1000,"Canada")</f>
        <v>0</v>
      </c>
      <c r="D3">
        <f>COUNTIFS(DataSimple!J2:J1000,"&gt;=2/1/2018",DataSimple!J2:J1000,"&lt;=2/28/2018",DataSimple!M2:M1000,"Page (Retired)",DataSimple!Y2:Y1000,"Canada")</f>
        <v>0</v>
      </c>
      <c r="E3">
        <f>COUNTIFS(DataSimple!J2:J1000,"&gt;=3/1/2018",DataSimple!J2:J1000,"&lt;=3/31/2018",DataSimple!M2:M1000,"Page (Retired)",DataSimple!Y2:Y1000,"Canada")</f>
        <v>0</v>
      </c>
      <c r="F3">
        <f>COUNTIFS(DataSimple!J2:J1000,"&gt;=4/1/2018",DataSimple!J2:J1000,"&lt;=4/30/2018",DataSimple!M2:M1000,"Page (Retired)",DataSimple!Y2:Y1000,"Canada")</f>
        <v>0</v>
      </c>
      <c r="G3">
        <f>COUNTIFS(DataSimple!J2:J1000,"&gt;=5/1/2018",DataSimple!J2:J1000,"&lt;=5/31/2018",DataSimple!M2:M1000,"Page (Retired)",DataSimple!Y2:Y1000,"Canada")</f>
        <v>0</v>
      </c>
      <c r="H3">
        <f>COUNTIFS(DataSimple!J2:J1000,"&gt;=6/1/2018",DataSimple!J2:J1000,"&lt;=6/30/2018",DataSimple!M2:M1000,"Page (Retired)",DataSimple!Y2:Y1000,"Canada")</f>
        <v>0</v>
      </c>
      <c r="I3">
        <f>COUNTIFS(DataSimple!J2:J1000,"&gt;=7/1/2017",DataSimple!J2:J1000,"&lt;=7/31/2017",DataSimple!M2:M1000,"Page (Retired)",DataSimple!Y2:Y1000,"Canada")+COUNTIFS(DataSimple!J2:J1000,"&gt;=7/1/2018",DataSimple!J2:J1000,"&lt;=7/31/2018",DataSimple!M2:M1000,"Page (Retired)",DataSimple!Y2:Y1000,"Canada")</f>
        <v>0</v>
      </c>
      <c r="J3">
        <f>COUNTIFS(DataSimple!J2:J1000,"&gt;=8/1/2017",DataSimple!J2:J1000,"&lt;=8/31/2017",DataSimple!M2:M1000,"Page (Retired)",DataSimple!Y2:Y1000,"Canada")+COUNTIFS(DataSimple!J2:J1000,"&gt;=8/1/2018",DataSimple!J2:J1000,"&lt;=8/31/2018",DataSimple!M2:M1000,"Page (Retired)",DataSimple!Y2:Y1000,"Canada")</f>
        <v>0</v>
      </c>
      <c r="K3">
        <f>COUNTIFS(DataSimple!J2:J1000,"&gt;=9/1/2017",DataSimple!J2:J1000,"&lt;=9/30/2017",DataSimple!M2:M1000,"Page (Retired)",DataSimple!Y2:Y1000,"Canada")+COUNTIFS(DataSimple!J2:J1000,"&gt;=9/1/2018",DataSimple!J2:J1000,"&lt;=9/30/2018",DataSimple!M2:M1000,"Page (Retired)",DataSimple!Y2:Y1000,"Canada")</f>
        <v>0</v>
      </c>
      <c r="L3">
        <f>COUNTIFS(DataSimple!J2:J1000,"&gt;=10/1/2017",DataSimple!J2:J1000,"&lt;=10/31/2017",DataSimple!M2:M1000,"Page (Retired)",DataSimple!Y2:Y1000,"Canada")+COUNTIFS(DataSimple!J2:J1000,"&gt;=10/1/2018",DataSimple!J2:J1000,"&lt;=10/31/2018",DataSimple!M2:M1000,"Page (Retired)",DataSimple!Y2:Y1000,"Canada")</f>
        <v>0</v>
      </c>
      <c r="M3">
        <f>COUNTIFS(DataSimple!J2:J1000,"&gt;=11/1/2017",DataSimple!J2:J1000,"&lt;=11/30/2017",DataSimple!M2:M1000,"Page (Retired)",DataSimple!Y2:Y1000,"Canada")+COUNTIFS(DataSimple!J2:J1000,"&gt;=11/1/2018",DataSimple!J2:J1000,"&lt;=11/30/2018",DataSimple!M2:M1000,"Page (Retired)",DataSimple!Y2:Y1000,"Canada")</f>
        <v>0</v>
      </c>
      <c r="N3">
        <f>COUNTIFS(DataSimple!J2:J1000,"&gt;=12/1/2017",DataSimple!J2:J1000,"&lt;=12/31/2017",DataSimple!M2:M1000,"Page (Retired)",DataSimple!Y2:Y1000,"Canada")+COUNTIFS(DataSimple!J2:J1000,"&gt;=12/1/2018",DataSimple!J2:J1000,"&lt;=12/31/2018",DataSimple!M2:M1000,"Page (Retired)",DataSimple!Y2:Y1000,"Canada")</f>
        <v>0</v>
      </c>
      <c r="O3" s="22">
        <f t="shared" si="0"/>
        <v>0</v>
      </c>
      <c r="Q3">
        <v>1045</v>
      </c>
      <c r="R3" s="1">
        <f t="shared" ref="R3:R9" si="1">PRODUCT(B3,Q3)+PRODUCT(C3,Q3)+PRODUCT(D3,Q3,(11/12))+PRODUCT(E3,Q3,(10/12))+PRODUCT(F3,Q3,(9/12))+PRODUCT(G3,Q3,(8/12))+PRODUCT(H3,Q3,(7/12))+PRODUCT(I3,Q3,(6/12))+PRODUCT(J3,Q3,(5/12))+PRODUCT(K3,Q3,(4/12))+PRODUCT(L3,Q3,(3/12))+PRODUCT(M3,Q3,(2/12))+PRODUCT(N3,Q3,(1/12))</f>
        <v>0</v>
      </c>
    </row>
    <row r="4" spans="1:18" x14ac:dyDescent="0.5">
      <c r="A4" t="s">
        <v>744</v>
      </c>
      <c r="B4">
        <f>COUNTIFS(DataSimple!J2:J1000,"&gt;=1/1/1980",DataSimple!J2:J1000,"&lt;=6/30/2017",DataSimple!M2:M1000,"Page (Retired)",DataSimple!Y2:Y1000,"Europe")</f>
        <v>1</v>
      </c>
      <c r="C4">
        <f>COUNTIFS(DataSimple!J2:J1000,"&gt;=1/1/2018",DataSimple!J2:J1000,"&lt;=1/31/2018",DataSimple!M2:M1000,"Page (Retired)",DataSimple!Y2:Y1000,"Europe")</f>
        <v>0</v>
      </c>
      <c r="D4">
        <f>COUNTIFS(DataSimple!J2:J1000,"&gt;=2/1/2018",DataSimple!J2:J1000,"&lt;=2/28/2018",DataSimple!M2:M1000,"Page (Retired)",DataSimple!Y2:Y1000,"Europe")</f>
        <v>0</v>
      </c>
      <c r="E4">
        <f>COUNTIFS(DataSimple!J2:J1000,"&gt;=3/1/2018",DataSimple!J2:J1000,"&lt;=3/31/2018",DataSimple!M2:M1000,"Page (Retired)",DataSimple!Y2:Y1000,"Europe")</f>
        <v>0</v>
      </c>
      <c r="F4">
        <f>COUNTIFS(DataSimple!J2:J1000,"&gt;=4/1/2018",DataSimple!J2:J1000,"&lt;=4/30/2018",DataSimple!M2:M1000,"Page (Retired)",DataSimple!Y2:Y1000,"Europe")</f>
        <v>0</v>
      </c>
      <c r="G4">
        <f>COUNTIFS(DataSimple!J2:J1000,"&gt;=5/1/2018",DataSimple!J2:J1000,"&lt;=5/31/2018",DataSimple!M2:M1000,"Page (Retired)",DataSimple!Y2:Y1000,"Europe")</f>
        <v>0</v>
      </c>
      <c r="H4">
        <f>COUNTIFS(DataSimple!J2:J1000,"&gt;=6/1/2018",DataSimple!J2:J1000,"&lt;=6/30/2018",DataSimple!M2:M1000,"Page (Retired)",DataSimple!Y2:Y1000,"Europe")</f>
        <v>0</v>
      </c>
      <c r="I4">
        <f>COUNTIFS(DataSimple!J2:J1000,"&gt;=7/1/2017",DataSimple!J2:J1000,"&lt;=7/31/2017",DataSimple!M2:M1000,"Page (Retired)",DataSimple!Y2:Y1000,"Europe")+COUNTIFS(DataSimple!J2:J1000,"&gt;=7/1/2018",DataSimple!J2:J1000,"&lt;=7/31/2018",DataSimple!M2:M1000,"Page (Retired)",DataSimple!Y2:Y1000,"Europe")</f>
        <v>0</v>
      </c>
      <c r="J4">
        <f>COUNTIFS(DataSimple!J2:J1000,"&gt;=8/1/2017",DataSimple!J2:J1000,"&lt;=8/31/2017",DataSimple!M2:M1000,"Page (Retired)",DataSimple!Y2:Y1000,"Europe")+COUNTIFS(DataSimple!J2:J1000,"&gt;=8/1/2018",DataSimple!J2:J1000,"&lt;=8/31/2018",DataSimple!M2:M1000,"Page (Retired)",DataSimple!Y2:Y1000,"Europe")</f>
        <v>0</v>
      </c>
      <c r="K4">
        <f>COUNTIFS(DataSimple!J2:J1000,"&gt;=9/1/2017",DataSimple!J2:J1000,"&lt;=9/30/2017",DataSimple!M2:M1000,"Page (Retired)",DataSimple!Y2:Y1000,"Europe")+COUNTIFS(DataSimple!J2:J1000,"&gt;=9/1/2018",DataSimple!J2:J1000,"&lt;=9/30/2018",DataSimple!M2:M1000,"Page (Retired)",DataSimple!Y2:Y1000,"Europe")</f>
        <v>0</v>
      </c>
      <c r="L4">
        <f>COUNTIFS(DataSimple!J2:J1000,"&gt;=10/1/2017",DataSimple!J2:J1000,"&lt;=10/31/2017",DataSimple!M2:M1000,"Page (Retired)",DataSimple!Y2:Y1000,"Europe")+COUNTIFS(DataSimple!J2:J1000,"&gt;=10/1/2018",DataSimple!J2:J1000,"&lt;=10/31/2018",DataSimple!M2:M1000,"Page (Retired)",DataSimple!Y2:Y1000,"Europe")</f>
        <v>0</v>
      </c>
      <c r="M4">
        <f>COUNTIFS(DataSimple!J2:J1000,"&gt;=11/1/2017",DataSimple!J2:J1000,"&lt;=11/30/2017",DataSimple!M2:M1000,"Page (Retired)",DataSimple!Y2:Y1000,"Europe")+COUNTIFS(DataSimple!J2:J1000,"&gt;=11/1/2018",DataSimple!J2:J1000,"&lt;=11/30/2018",DataSimple!M2:M1000,"Page (Retired)",DataSimple!Y2:Y1000,"Europe")</f>
        <v>0</v>
      </c>
      <c r="N4">
        <f>COUNTIFS(DataSimple!J2:J1000,"&gt;=12/1/2017",DataSimple!J2:J1000,"&lt;=12/31/2017",DataSimple!M2:M1000,"Page (Retired)",DataSimple!Y2:Y1000,"Europe")+COUNTIFS(DataSimple!J2:J1000,"&gt;=12/1/2018",DataSimple!J2:J1000,"&lt;=12/31/2018",DataSimple!M2:M1000,"Page (Retired)",DataSimple!Y2:Y1000,"Europe")</f>
        <v>0</v>
      </c>
      <c r="O4" s="22">
        <f t="shared" si="0"/>
        <v>1</v>
      </c>
      <c r="Q4">
        <v>1045</v>
      </c>
      <c r="R4" s="1">
        <f t="shared" si="1"/>
        <v>1045</v>
      </c>
    </row>
    <row r="5" spans="1:18" x14ac:dyDescent="0.5">
      <c r="A5" t="s">
        <v>8559</v>
      </c>
      <c r="B5">
        <f>COUNTIFS(DataSimple!J2:J1000,"&gt;=1/1/1980",DataSimple!J2:J1000,"&lt;=6/30/2017",DataSimple!M2:M1000,"Page (Retired)",DataSimple!Y2:Y1000,"Middle East/Africa")</f>
        <v>0</v>
      </c>
      <c r="C5">
        <f>COUNTIFS(DataSimple!J2:J1000,"&gt;=1/1/2018",DataSimple!J2:J1000,"&lt;=1/31/2018",DataSimple!M2:M1000,"Page (Retired)",DataSimple!Y2:Y1000,"Middle East/Africa")</f>
        <v>0</v>
      </c>
      <c r="D5">
        <f>COUNTIFS(DataSimple!J2:J1000,"&gt;=2/1/2018",DataSimple!J2:J1000,"&lt;=2/28/2018",DataSimple!M2:M1000,"Page (Retired)",DataSimple!Y2:Y1000,"Middle East/Africa")</f>
        <v>0</v>
      </c>
      <c r="E5">
        <f>COUNTIFS(DataSimple!J2:J1000,"&gt;=3/1/2018",DataSimple!J2:J1000,"&lt;=3/31/2018",DataSimple!M2:M1000,"Page (Retired)",DataSimple!Y2:Y1000,"Middle East/Africa")</f>
        <v>0</v>
      </c>
      <c r="F5">
        <f>COUNTIFS(DataSimple!J2:J1000,"&gt;=4/1/2018",DataSimple!J2:J1000,"&lt;=4/30/2018",DataSimple!M2:M1000,"Page (Retired)",DataSimple!Y2:Y1000,"Middle East/Africa")</f>
        <v>0</v>
      </c>
      <c r="G5">
        <f>COUNTIFS(DataSimple!J2:J1000,"&gt;=5/1/2018",DataSimple!J2:J1000,"&lt;=5/31/2018",DataSimple!M2:M1000,"Page (Retired)",DataSimple!Y2:Y1000,"Middle East/Africa")</f>
        <v>0</v>
      </c>
      <c r="H5">
        <f>COUNTIFS(DataSimple!J2:J1000,"&gt;=6/1/2018",DataSimple!J2:J1000,"&lt;=6/30/2018",DataSimple!M2:M1000,"Page (Retired)",DataSimple!Y2:Y1000,"Middle East/Africa")</f>
        <v>0</v>
      </c>
      <c r="I5">
        <f>COUNTIFS(DataSimple!J2:J1000,"&gt;=7/1/2017",DataSimple!J2:J1000,"&lt;=7/31/2017",DataSimple!M2:M1000,"Page (Retired)",DataSimple!Y2:Y1000,"Middle East/Africa")+COUNTIFS(DataSimple!J2:J1000,"&gt;=7/1/2018",DataSimple!J2:J1000,"&lt;=7/31/2018",DataSimple!M2:M1000,"Page (Retired)",DataSimple!Y2:Y1000,"Middle East/Africa")</f>
        <v>0</v>
      </c>
      <c r="J5">
        <f>COUNTIFS(DataSimple!J2:J1000,"&gt;=8/1/2017",DataSimple!J2:J1000,"&lt;=8/31/2017",DataSimple!M2:M1000,"Page (Retired)",DataSimple!Y2:Y1000,"Middle East/Africa")+COUNTIFS(DataSimple!J2:J1000,"&gt;=8/1/2018",DataSimple!J2:J1000,"&lt;=8/31/2018",DataSimple!M2:M1000,"Page (Retired)",DataSimple!Y2:Y1000,"Middle East/Africa")</f>
        <v>0</v>
      </c>
      <c r="K5">
        <f>COUNTIFS(DataSimple!J2:J1000,"&gt;=9/1/2017",DataSimple!J2:J1000,"&lt;=9/30/2017",DataSimple!M2:M1000,"Page (Retired)",DataSimple!Y2:Y1000,"Middle East/Africa")+COUNTIFS(DataSimple!J2:J1000,"&gt;=9/1/2018",DataSimple!J2:J1000,"&lt;=9/30/2018",DataSimple!M2:M1000,"Page (Retired)",DataSimple!Y2:Y1000,"Middle East/Africa")</f>
        <v>0</v>
      </c>
      <c r="L5">
        <f>COUNTIFS(DataSimple!J2:J1000,"&gt;=10/1/2017",DataSimple!J2:J1000,"&lt;=10/31/2017",DataSimple!M2:M1000,"Page (Retired)",DataSimple!Y2:Y1000,"Middle East/Africa")+COUNTIFS(DataSimple!J2:J1000,"&gt;=10/1/2018",DataSimple!J2:J1000,"&lt;=10/31/2018",DataSimple!M2:M1000,"Page (Retired)",DataSimple!Y2:Y1000,"Middle East/Africa")</f>
        <v>0</v>
      </c>
      <c r="M5">
        <f>COUNTIFS(DataSimple!J2:J1000,"&gt;=11/1/2017",DataSimple!J2:J1000,"&lt;=11/30/2017",DataSimple!M2:M1000,"Page (Retired)",DataSimple!Y2:Y1000,"Middle East/Africa")+COUNTIFS(DataSimple!J2:J1000,"&gt;=11/1/2018",DataSimple!J2:J1000,"&lt;=11/30/2018",DataSimple!M2:M1000,"Page (Retired)",DataSimple!Y2:Y1000,"Middle East/Africa")</f>
        <v>0</v>
      </c>
      <c r="N5">
        <f>COUNTIFS(DataSimple!J2:J1000,"&gt;=12/1/2017",DataSimple!J2:J1000,"&lt;=12/31/2017",DataSimple!M2:M1000,"Page (Retired)",DataSimple!Y2:Y1000,"Middle East/Africa")+COUNTIFS(DataSimple!J2:J1000,"&gt;=12/1/2018",DataSimple!J2:J1000,"&lt;=12/31/2018",DataSimple!M2:M1000,"Page (Retired)",DataSimple!Y2:Y1000,"Middle East/Africa")</f>
        <v>0</v>
      </c>
      <c r="O5" s="22">
        <f t="shared" si="0"/>
        <v>0</v>
      </c>
      <c r="Q5">
        <v>1045</v>
      </c>
      <c r="R5" s="1">
        <f t="shared" si="1"/>
        <v>0</v>
      </c>
    </row>
    <row r="6" spans="1:18" x14ac:dyDescent="0.5">
      <c r="A6" t="s">
        <v>8560</v>
      </c>
      <c r="B6">
        <f>COUNTIFS(DataSimple!J2:J1000,"&gt;=1/1/1980",DataSimple!J2:J1000,"&lt;=6/30/2017",DataSimple!M2:M1000,"Page (Retired)",DataSimple!Y2:Y1000,"Asia:Other")</f>
        <v>0</v>
      </c>
      <c r="C6">
        <f>COUNTIFS(DataSimple!J2:J1000,"&gt;=1/1/2018",DataSimple!J2:J1000,"&lt;=1/31/2018",DataSimple!M2:M1000,"Page (Retired)",DataSimple!Y2:Y1000,"Asia:Other")</f>
        <v>0</v>
      </c>
      <c r="D6">
        <f>COUNTIFS(DataSimple!J2:J1000,"&gt;=2/1/2018",DataSimple!J2:J1000,"&lt;=2/28/2018",DataSimple!M2:M1000,"Page (Retired)",DataSimple!Y2:Y1000,"Asia:Other")</f>
        <v>0</v>
      </c>
      <c r="E6">
        <f>COUNTIFS(DataSimple!J2:J1000,"&gt;=3/1/2018",DataSimple!J2:J1000,"&lt;=3/31/2018",DataSimple!M2:M1000,"Page (Retired)",DataSimple!Y2:Y1000,"Asia:Other")</f>
        <v>0</v>
      </c>
      <c r="F6">
        <f>COUNTIFS(DataSimple!J2:J1000,"&gt;=4/1/2018",DataSimple!J2:J1000,"&lt;=4/30/2018",DataSimple!M2:M1000,"Page (Retired)",DataSimple!Y2:Y1000,"Asia:Other")</f>
        <v>0</v>
      </c>
      <c r="G6">
        <f>COUNTIFS(DataSimple!J2:J1000,"&gt;=5/1/2018",DataSimple!J2:J1000,"&lt;=5/31/2018",DataSimple!M2:M1000,"Page (Retired)",DataSimple!Y2:Y1000,"Asia:Other")</f>
        <v>0</v>
      </c>
      <c r="H6">
        <f>COUNTIFS(DataSimple!J2:J1000,"&gt;=6/1/2018",DataSimple!J2:J1000,"&lt;=6/30/2018",DataSimple!M2:M1000,"Page (Retired)",DataSimple!Y2:Y1000,"Asia:Other")</f>
        <v>0</v>
      </c>
      <c r="I6">
        <f>COUNTIFS(DataSimple!J2:J1000,"&gt;=7/1/2017",DataSimple!J2:J1000,"&lt;=7/31/2017",DataSimple!M2:M1000,"Page (Retired)",DataSimple!Y2:Y1000,"Asia:Other")+COUNTIFS(DataSimple!J2:J1000,"&gt;=7/1/2018",DataSimple!J2:J1000,"&lt;=7/31/2018",DataSimple!M2:M1000,"Page (Retired)",DataSimple!Y2:Y1000,"Asia:Other")</f>
        <v>0</v>
      </c>
      <c r="J6">
        <f>COUNTIFS(DataSimple!J2:J1000,"&gt;=8/1/2017",DataSimple!J2:J1000,"&lt;=8/31/2017",DataSimple!M2:M1000,"Page (Retired)",DataSimple!Y2:Y1000,"Asia:Other")+COUNTIFS(DataSimple!J2:J1000,"&gt;=8/1/2018",DataSimple!J2:J1000,"&lt;=8/31/2018",DataSimple!M2:M1000,"Page (Retired)",DataSimple!Y2:Y1000,"Asia:Other")</f>
        <v>0</v>
      </c>
      <c r="K6">
        <f>COUNTIFS(DataSimple!J2:J1000,"&gt;=9/1/2017",DataSimple!J2:J1000,"&lt;=9/30/2017",DataSimple!M2:M1000,"Page (Retired)",DataSimple!Y2:Y1000,"Asia:Other")+COUNTIFS(DataSimple!J2:J1000,"&gt;=9/1/2018",DataSimple!J2:J1000,"&lt;=9/30/2018",DataSimple!M2:M1000,"Page (Retired)",DataSimple!Y2:Y1000,"Asia:Other")</f>
        <v>0</v>
      </c>
      <c r="L6">
        <f>COUNTIFS(DataSimple!J2:J1000,"&gt;=10/1/2017",DataSimple!J2:J1000,"&lt;=10/31/2017",DataSimple!M2:M1000,"Page (Retired)",DataSimple!Y2:Y1000,"Asia:Other")+COUNTIFS(DataSimple!J2:J1000,"&gt;=10/1/2018",DataSimple!J2:J1000,"&lt;=10/31/2018",DataSimple!M2:M1000,"Page (Retired)",DataSimple!Y2:Y1000,"Asia:Other")</f>
        <v>0</v>
      </c>
      <c r="M6">
        <f>COUNTIFS(DataSimple!J2:J1000,"&gt;=11/1/2017",DataSimple!J2:J1000,"&lt;=11/30/2017",DataSimple!M2:M1000,"Page (Retired)",DataSimple!Y2:Y1000,"Asia:Other")+COUNTIFS(DataSimple!J2:J1000,"&gt;=11/1/2018",DataSimple!J2:J1000,"&lt;=11/30/2018",DataSimple!M2:M1000,"Page (Retired)",DataSimple!Y2:Y1000,"Asia:Other")</f>
        <v>0</v>
      </c>
      <c r="N6">
        <f>COUNTIFS(DataSimple!J2:J1000,"&gt;=12/1/2017",DataSimple!J2:J1000,"&lt;=12/31/2017",DataSimple!M2:M1000,"Page (Retired)",DataSimple!Y2:Y1000,"Asia:Other")+COUNTIFS(DataSimple!J2:J1000,"&gt;=12/1/2018",DataSimple!J2:J1000,"&lt;=12/31/2018",DataSimple!M2:M1000,"Page (Retired)",DataSimple!Y2:Y1000,"Asia:Other")</f>
        <v>0</v>
      </c>
      <c r="O6" s="22">
        <f t="shared" si="0"/>
        <v>0</v>
      </c>
      <c r="Q6">
        <v>1045</v>
      </c>
      <c r="R6" s="1">
        <f t="shared" si="1"/>
        <v>0</v>
      </c>
    </row>
    <row r="7" spans="1:18" x14ac:dyDescent="0.5">
      <c r="A7" t="s">
        <v>4147</v>
      </c>
      <c r="B7">
        <f>COUNTIFS(DataSimple!J2:J1000,"&gt;=1/1/1980",DataSimple!J2:J1000,"&lt;=6/30/2017",DataSimple!M2:M1000,"Page (Retired)",DataSimple!Y2:Y1000,"Australia/NZ")</f>
        <v>0</v>
      </c>
      <c r="C7">
        <f>COUNTIFS(DataSimple!J2:J1000,"&gt;=1/1/2018",DataSimple!J2:J1000,"&lt;=1/31/2018",DataSimple!M2:M1000,"Page (Retired)",DataSimple!Y2:Y1000,"Australia/NZ")</f>
        <v>0</v>
      </c>
      <c r="D7">
        <f>COUNTIFS(DataSimple!J2:J1000,"&gt;=2/1/2018",DataSimple!J2:J1000,"&lt;=2/28/2018",DataSimple!M2:M1000,"Page (Retired)",DataSimple!Y2:Y1000,"Australia/NZ")</f>
        <v>0</v>
      </c>
      <c r="E7">
        <f>COUNTIFS(DataSimple!J2:J1000,"&gt;=3/1/2018",DataSimple!J2:J1000,"&lt;=3/31/2018",DataSimple!M2:M1000,"Page (Retired)",DataSimple!Y2:Y1000,"Australia/NZ")</f>
        <v>0</v>
      </c>
      <c r="F7">
        <f>COUNTIFS(DataSimple!J2:J1000,"&gt;=4/1/2018",DataSimple!J2:J1000,"&lt;=4/30/2018",DataSimple!M2:M1000,"Page (Retired)",DataSimple!Y2:Y1000,"Australia/NZ")</f>
        <v>0</v>
      </c>
      <c r="G7">
        <f>COUNTIFS(DataSimple!J2:J1000,"&gt;=5/1/2018",DataSimple!J2:J1000,"&lt;=5/31/2018",DataSimple!M2:M1000,"Page (Retired)",DataSimple!Y2:Y1000,"Australia/NZ")</f>
        <v>0</v>
      </c>
      <c r="H7">
        <f>COUNTIFS(DataSimple!J2:J1000,"&gt;=6/1/2018",DataSimple!J2:J1000,"&lt;=6/30/2018",DataSimple!M2:M1000,"Page (Retired)",DataSimple!Y2:Y1000,"Australia/NZ")</f>
        <v>0</v>
      </c>
      <c r="I7">
        <f>COUNTIFS(DataSimple!J2:J1000,"&gt;=7/1/2017",DataSimple!J2:J1000,"&lt;=7/31/2017",DataSimple!M2:M1000,"Page (Retired)",DataSimple!Y2:Y1000,"Australia/NZ")+COUNTIFS(DataSimple!J2:J1000,"&gt;=7/1/2018",DataSimple!J2:J1000,"&lt;=7/31/2018",DataSimple!M2:M1000,"Page (Retired)",DataSimple!Y2:Y1000,"Australia/NZ")</f>
        <v>0</v>
      </c>
      <c r="J7">
        <f>COUNTIFS(DataSimple!J2:J1000,"&gt;=8/1/2017",DataSimple!J2:J1000,"&lt;=8/31/2017",DataSimple!M2:M1000,"Page (Retired)",DataSimple!Y2:Y1000,"Australia/NZ")+COUNTIFS(DataSimple!J2:J1000,"&gt;=8/1/2018",DataSimple!J2:J1000,"&lt;=8/31/2018",DataSimple!M2:M1000,"Page (Retired)",DataSimple!Y2:Y1000,"Australia/NZ")</f>
        <v>0</v>
      </c>
      <c r="K7">
        <f>COUNTIFS(DataSimple!J2:J1000,"&gt;=9/1/2017",DataSimple!J2:J1000,"&lt;=9/30/2017",DataSimple!M2:M1000,"Page (Retired)",DataSimple!Y2:Y1000,"Australia/NZ")+COUNTIFS(DataSimple!J2:J1000,"&gt;=9/1/2018",DataSimple!J2:J1000,"&lt;=9/30/2018",DataSimple!M2:M1000,"Page (Retired)",DataSimple!Y2:Y1000,"Australia/NZ")</f>
        <v>0</v>
      </c>
      <c r="L7">
        <f>COUNTIFS(DataSimple!J2:J1000,"&gt;=10/1/2017",DataSimple!J2:J1000,"&lt;=10/31/2017",DataSimple!M2:M1000,"Page (Retired)",DataSimple!Y2:Y1000,"Australia/NZ")+COUNTIFS(DataSimple!J2:J1000,"&gt;=10/1/2018",DataSimple!J2:J1000,"&lt;=10/31/2018",DataSimple!M2:M1000,"Page (Retired)",DataSimple!Y2:Y1000,"Australia/NZ")</f>
        <v>0</v>
      </c>
      <c r="M7">
        <f>COUNTIFS(DataSimple!J2:J1000,"&gt;=11/1/2017",DataSimple!J2:J1000,"&lt;=11/30/2017",DataSimple!M2:M1000,"Page (Retired)",DataSimple!Y2:Y1000,"Australia/NZ")+COUNTIFS(DataSimple!J2:J1000,"&gt;=11/1/2018",DataSimple!J2:J1000,"&lt;=11/30/2018",DataSimple!M2:M1000,"Page (Retired)",DataSimple!Y2:Y1000,"Australia/NZ")</f>
        <v>0</v>
      </c>
      <c r="N7">
        <f>COUNTIFS(DataSimple!J2:J1000,"&gt;=12/1/2017",DataSimple!J2:J1000,"&lt;=12/31/2017",DataSimple!M2:M1000,"Page (Retired)",DataSimple!Y2:Y1000,"Australia/NZ")+COUNTIFS(DataSimple!J2:J1000,"&gt;=12/1/2018",DataSimple!J2:J1000,"&lt;=12/31/2018",DataSimple!M2:M1000,"Page (Retired)",DataSimple!Y2:Y1000,"Australia/NZ")</f>
        <v>0</v>
      </c>
      <c r="O7" s="22">
        <f>SUM(B7:N7)</f>
        <v>0</v>
      </c>
      <c r="Q7">
        <v>1045</v>
      </c>
      <c r="R7" s="1">
        <f t="shared" si="1"/>
        <v>0</v>
      </c>
    </row>
    <row r="8" spans="1:18" x14ac:dyDescent="0.5">
      <c r="A8" t="s">
        <v>2512</v>
      </c>
      <c r="B8">
        <f>COUNTIFS(DataSimple!J2:J1000,"&gt;=1/1/1980",DataSimple!J2:J1000,"&lt;=6/30/2017",DataSimple!M2:M1000,"Page (Retired)",DataSimple!Y2:Y1000,"Asia:India")</f>
        <v>0</v>
      </c>
      <c r="C8">
        <f>COUNTIFS(DataSimple!J2:J1000,"&gt;=1/1/2018",DataSimple!J2:J1000,"&lt;=1/31/2018",DataSimple!M2:M1000,"Page (Retired)",DataSimple!Y2:Y1000,"Asia:India")</f>
        <v>0</v>
      </c>
      <c r="D8">
        <f>COUNTIFS(DataSimple!J2:J1000,"&gt;=2/1/2018",DataSimple!J2:J1000,"&lt;=2/28/2018",DataSimple!M2:M1000,"Page (Retired)",DataSimple!Y2:Y1000,"Asia:India")</f>
        <v>0</v>
      </c>
      <c r="E8">
        <f>COUNTIFS(DataSimple!J2:J1000,"&gt;=3/1/2018",DataSimple!J2:J1000,"&lt;=3/31/2018",DataSimple!M2:M1000,"Page (Retired)",DataSimple!Y2:Y1000,"Asia:India")</f>
        <v>0</v>
      </c>
      <c r="F8">
        <f>COUNTIFS(DataSimple!J2:J1000,"&gt;=4/1/2018",DataSimple!J2:J1000,"&lt;=4/30/2018",DataSimple!M2:M1000,"Page (Retired)",DataSimple!Y2:Y1000,"Asia:India")</f>
        <v>0</v>
      </c>
      <c r="G8">
        <f>COUNTIFS(DataSimple!J2:J1000,"&gt;=5/1/2018",DataSimple!J2:J1000,"&lt;=5/31/2018",DataSimple!M2:M1000,"Page (Retired)",DataSimple!Y2:Y1000,"Asia:India")</f>
        <v>0</v>
      </c>
      <c r="H8">
        <f>COUNTIFS(DataSimple!J2:J1000,"&gt;=6/1/2018",DataSimple!J2:J1000,"&lt;=6/30/2018",DataSimple!M2:M1000,"Page (Retired)",DataSimple!Y2:Y1000,"Asia:India")</f>
        <v>0</v>
      </c>
      <c r="I8">
        <f>COUNTIFS(DataSimple!J2:J1000,"&gt;=7/1/2017",DataSimple!J2:J1000,"&lt;=7/31/2017",DataSimple!M2:M1000,"Page (Retired)",DataSimple!Y2:Y1000,"Asia:India")+COUNTIFS(DataSimple!J2:J1000,"&gt;=7/1/2018",DataSimple!J2:J1000,"&lt;=7/31/2018",DataSimple!M2:M1000,"Page (Retired)",DataSimple!Y2:Y1000,"Asia:India")</f>
        <v>0</v>
      </c>
      <c r="J8">
        <f>COUNTIFS(DataSimple!J2:J1000,"&gt;=8/1/2017",DataSimple!J2:J1000,"&lt;=8/31/2017",DataSimple!M2:M1000,"Page (Retired)",DataSimple!Y2:Y1000,"Asia:India")+COUNTIFS(DataSimple!J2:J1000,"&gt;=8/1/2018",DataSimple!J2:J1000,"&lt;=8/31/2018",DataSimple!M2:M1000,"Page (Retired)",DataSimple!Y2:Y1000,"Asia:India")</f>
        <v>0</v>
      </c>
      <c r="K8">
        <f>COUNTIFS(DataSimple!J2:J1000,"&gt;=9/1/2017",DataSimple!J2:J1000,"&lt;=9/30/2017",DataSimple!M2:M1000,"Page (Retired)",DataSimple!Y2:Y1000,"Asia:India")+COUNTIFS(DataSimple!J2:J1000,"&gt;=9/1/2018",DataSimple!J2:J1000,"&lt;=9/30/2018",DataSimple!M2:M1000,"Page (Retired)",DataSimple!Y2:Y1000,"Asia:India")</f>
        <v>0</v>
      </c>
      <c r="L8">
        <f>COUNTIFS(DataSimple!J2:J1000,"&gt;=10/1/2017",DataSimple!J2:J1000,"&lt;=10/31/2017",DataSimple!M2:M1000,"Page (Retired)",DataSimple!Y2:Y1000,"Asia:India")+COUNTIFS(DataSimple!J2:J1000,"&gt;=10/1/2018",DataSimple!J2:J1000,"&lt;=10/31/2018",DataSimple!M2:M1000,"Page (Retired)",DataSimple!Y2:Y1000,"Asia:India")</f>
        <v>0</v>
      </c>
      <c r="M8">
        <f>COUNTIFS(DataSimple!J2:J1000,"&gt;=11/1/2017",DataSimple!J2:J1000,"&lt;=11/30/2017",DataSimple!M2:M1000,"Page (Retired)",DataSimple!Y2:Y1000,"Asia:India")+COUNTIFS(DataSimple!J2:J1000,"&gt;=11/1/2018",DataSimple!J2:J1000,"&lt;=11/30/2018",DataSimple!M2:M1000,"Page (Retired)",DataSimple!Y2:Y1000,"Asia:India")</f>
        <v>0</v>
      </c>
      <c r="N8">
        <f>COUNTIFS(DataSimple!J2:J1000,"&gt;=12/1/2017",DataSimple!J2:J1000,"&lt;=12/31/2017",DataSimple!M2:M1000,"Page (Retired)",DataSimple!Y2:Y1000,"Asia:India")+COUNTIFS(DataSimple!J2:J1000,"&gt;=12/1/2018",DataSimple!J2:J1000,"&lt;=12/31/2018",DataSimple!M2:M1000,"Page (Retired)",DataSimple!Y2:Y1000,"Asia:India")</f>
        <v>0</v>
      </c>
      <c r="O8" s="22">
        <f t="shared" si="0"/>
        <v>0</v>
      </c>
      <c r="Q8">
        <v>1045</v>
      </c>
      <c r="R8" s="1">
        <f t="shared" si="1"/>
        <v>0</v>
      </c>
    </row>
    <row r="9" spans="1:18" x14ac:dyDescent="0.5">
      <c r="A9" t="s">
        <v>8561</v>
      </c>
      <c r="B9">
        <f>COUNTIFS(DataSimple!J2:J1000,"&gt;=1/1/1980",DataSimple!J2:J1000,"&lt;=6/30/2017",DataSimple!M2:M1000,"Page (Retired)",DataSimple!Y2:Y1000,"Latin America")</f>
        <v>0</v>
      </c>
      <c r="C9">
        <f>COUNTIFS(DataSimple!J2:J1000,"&gt;=1/1/2018",DataSimple!J2:J1000,"&lt;=1/31/2018",DataSimple!M2:M1000,"Page (Retired)",DataSimple!Y2:Y1000,"Latin America")</f>
        <v>0</v>
      </c>
      <c r="D9">
        <f>COUNTIFS(DataSimple!J2:J1000,"&gt;=2/1/2018",DataSimple!J2:J1000,"&lt;=2/28/2018",DataSimple!M2:M1000,"Page (Retired)",DataSimple!Y2:Y1000,"Latin America")</f>
        <v>0</v>
      </c>
      <c r="E9">
        <f>COUNTIFS(DataSimple!J2:J1000,"&gt;=3/1/2018",DataSimple!J2:J1000,"&lt;=3/31/2018",DataSimple!M2:M1000,"Page (Retired)",DataSimple!Y2:Y1000,"Latin America")</f>
        <v>0</v>
      </c>
      <c r="F9">
        <f>COUNTIFS(DataSimple!J2:J1000,"&gt;=4/1/2018",DataSimple!J2:J1000,"&lt;=4/30/2018",DataSimple!M2:M1000,"Page (Retired)",DataSimple!Y2:Y1000,"Latin America")</f>
        <v>0</v>
      </c>
      <c r="G9">
        <f>COUNTIFS(DataSimple!J2:J1000,"&gt;=5/1/2018",DataSimple!J2:J1000,"&lt;=5/31/2018",DataSimple!M2:M1000,"Page (Retired)",DataSimple!Y2:Y1000,"Latin America")</f>
        <v>0</v>
      </c>
      <c r="H9">
        <f>COUNTIFS(DataSimple!J2:J1000,"&gt;=6/1/2018",DataSimple!J2:J1000,"&lt;=6/30/2018",DataSimple!M2:M1000,"Page (Retired)",DataSimple!Y2:Y1000,"Latin America")</f>
        <v>0</v>
      </c>
      <c r="I9">
        <f>COUNTIFS(DataSimple!J2:J1000,"&gt;=7/1/2017",DataSimple!J2:J1000,"&lt;=7/31/2017",DataSimple!M2:M1000,"Page (Retired)",DataSimple!Y2:Y1000,"Latin America")+COUNTIFS(DataSimple!J2:J1000,"&gt;=7/1/2018",DataSimple!J2:J1000,"&lt;=7/31/2018",DataSimple!M2:M1000,"Page (Retired)",DataSimple!Y2:Y1000,"Latin America")</f>
        <v>0</v>
      </c>
      <c r="J9">
        <f>COUNTIFS(DataSimple!J2:J1000,"&gt;=8/1/2017",DataSimple!J2:J1000,"&lt;=8/31/2017",DataSimple!M2:M1000,"Page (Retired)",DataSimple!Y2:Y1000,"Latin America")+COUNTIFS(DataSimple!J2:J1000,"&gt;=8/1/2018",DataSimple!J2:J1000,"&lt;=8/31/2018",DataSimple!M2:M1000,"Page (Retired)",DataSimple!Y2:Y1000,"Latin America")</f>
        <v>0</v>
      </c>
      <c r="K9">
        <f>COUNTIFS(DataSimple!J2:J1000,"&gt;=9/1/2017",DataSimple!J2:J1000,"&lt;=9/30/2017",DataSimple!M2:M1000,"Page (Retired)",DataSimple!Y2:Y1000,"Latin America")+COUNTIFS(DataSimple!J2:J1000,"&gt;=9/1/2018",DataSimple!J2:J1000,"&lt;=9/30/2018",DataSimple!M2:M1000,"Page (Retired)",DataSimple!Y2:Y1000,"Latin America")</f>
        <v>0</v>
      </c>
      <c r="L9">
        <f>COUNTIFS(DataSimple!J2:J1000,"&gt;=10/1/2017",DataSimple!J2:J1000,"&lt;=10/31/2017",DataSimple!M2:M1000,"Page (Retired)",DataSimple!Y2:Y1000,"Latin America")+COUNTIFS(DataSimple!J2:J1000,"&gt;=10/1/2018",DataSimple!J2:J1000,"&lt;=10/31/2018",DataSimple!M2:M1000,"Page (Retired)",DataSimple!Y2:Y1000,"Latin America")</f>
        <v>0</v>
      </c>
      <c r="M9">
        <f>COUNTIFS(DataSimple!J2:J1000,"&gt;=11/1/2017",DataSimple!J2:J1000,"&lt;=11/30/2017",DataSimple!M2:M1000,"Page (Retired)",DataSimple!Y2:Y1000,"Latin America")+COUNTIFS(DataSimple!J2:J1000,"&gt;=11/1/2018",DataSimple!J2:J1000,"&lt;=11/30/2018",DataSimple!M2:M1000,"Page (Retired)",DataSimple!Y2:Y1000,"Latin America")</f>
        <v>0</v>
      </c>
      <c r="N9">
        <f>COUNTIFS(DataSimple!J2:J1000,"&gt;=12/1/2017",DataSimple!J2:J1000,"&lt;=12/31/2017",DataSimple!M2:M1000,"Page (Retired)",DataSimple!Y2:Y1000,"Latin America")+COUNTIFS(DataSimple!J2:J1000,"&gt;=12/1/2018",DataSimple!J2:J1000,"&lt;=12/31/2018",DataSimple!M2:M1000,"Page (Retired)",DataSimple!Y2:Y1000,"Latin America")</f>
        <v>0</v>
      </c>
      <c r="O9" s="22">
        <f t="shared" si="0"/>
        <v>0</v>
      </c>
      <c r="Q9">
        <v>1045</v>
      </c>
      <c r="R9" s="1">
        <f t="shared" si="1"/>
        <v>0</v>
      </c>
    </row>
    <row r="10" spans="1:18" x14ac:dyDescent="0.5">
      <c r="O10" s="25"/>
    </row>
    <row r="11" spans="1:18" x14ac:dyDescent="0.5">
      <c r="A11" s="4" t="s">
        <v>11</v>
      </c>
      <c r="B11" s="4">
        <f>SUM(B2:B9)</f>
        <v>28</v>
      </c>
      <c r="C11" s="4">
        <f>SUM(C2:C9)</f>
        <v>0</v>
      </c>
      <c r="D11" s="4">
        <f t="shared" ref="D11:N11" si="2">SUM(D2:D9)</f>
        <v>0</v>
      </c>
      <c r="E11" s="4">
        <f t="shared" si="2"/>
        <v>0</v>
      </c>
      <c r="F11" s="4">
        <f t="shared" si="2"/>
        <v>0</v>
      </c>
      <c r="G11" s="4">
        <f t="shared" si="2"/>
        <v>0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4">
        <f t="shared" si="2"/>
        <v>0</v>
      </c>
      <c r="N11" s="4">
        <f t="shared" si="2"/>
        <v>0</v>
      </c>
      <c r="O11" s="22">
        <f>SUM(B11:N11)</f>
        <v>28</v>
      </c>
      <c r="R11" s="26">
        <f>SUM(R2:R9)</f>
        <v>29260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4403-8E05-44A6-A2A2-6A7B3CD1CDE7}">
  <dimension ref="A1:C20"/>
  <sheetViews>
    <sheetView workbookViewId="0">
      <selection activeCell="C20" sqref="A1:C20"/>
    </sheetView>
  </sheetViews>
  <sheetFormatPr defaultRowHeight="14.35" x14ac:dyDescent="0.5"/>
  <cols>
    <col min="1" max="1" width="10" bestFit="1" customWidth="1"/>
    <col min="2" max="2" width="9.234375" bestFit="1" customWidth="1"/>
    <col min="3" max="3" width="9.52734375" bestFit="1" customWidth="1"/>
  </cols>
  <sheetData>
    <row r="1" spans="1:3" x14ac:dyDescent="0.5">
      <c r="A1" s="3" t="s">
        <v>8555</v>
      </c>
      <c r="B1" s="4" t="s">
        <v>8577</v>
      </c>
      <c r="C1" s="4" t="s">
        <v>8578</v>
      </c>
    </row>
    <row r="2" spans="1:3" x14ac:dyDescent="0.5">
      <c r="A2" t="s">
        <v>68</v>
      </c>
      <c r="B2" s="2">
        <f ca="1">COUNTIFS(DataSimple!K2:K1000,"&lt;="&amp;TODAY(),DataSimple!M2:M1000,"Page (Corporate)",DataSimple!Y2:Y1000,"United States")</f>
        <v>11</v>
      </c>
      <c r="C2" s="29">
        <f ca="1">PRODUCT(B2,2625)</f>
        <v>28875</v>
      </c>
    </row>
    <row r="3" spans="1:3" x14ac:dyDescent="0.5">
      <c r="A3" t="s">
        <v>110</v>
      </c>
      <c r="B3" s="2">
        <f ca="1">COUNTIFS(DataSimple!K2:K1000,"&lt;="&amp;TODAY(),DataSimple!M2:M1000,"Page (Agency)",DataSimple!Y2:Y1000,"United States")</f>
        <v>1</v>
      </c>
      <c r="C3" s="29">
        <f ca="1">PRODUCT(B3,2625)</f>
        <v>2625</v>
      </c>
    </row>
    <row r="4" spans="1:3" x14ac:dyDescent="0.5">
      <c r="A4" t="s">
        <v>91</v>
      </c>
      <c r="B4" s="2">
        <f ca="1">COUNTIFS(DataSimple!K2:K1000,"&lt;="&amp;TODAY(),DataSimple!M2:M1000,"Page (Educator)",DataSimple!Y2:Y1000,"United States")</f>
        <v>1</v>
      </c>
      <c r="C4" s="29">
        <f ca="1">PRODUCT(B4,625)</f>
        <v>625</v>
      </c>
    </row>
    <row r="5" spans="1:3" x14ac:dyDescent="0.5">
      <c r="A5" t="s">
        <v>236</v>
      </c>
      <c r="B5" s="2">
        <f ca="1">COUNTIFS(DataSimple!K2:K1000,"&lt;="&amp;TODAY(),DataSimple!M2:M1000,"Page (Non-Profit)",DataSimple!Y2:Y1000,"United States")</f>
        <v>4</v>
      </c>
      <c r="C5" s="29">
        <f ca="1">PRODUCT(B5,1045)</f>
        <v>4180</v>
      </c>
    </row>
    <row r="6" spans="1:3" x14ac:dyDescent="0.5">
      <c r="A6" t="s">
        <v>5683</v>
      </c>
      <c r="B6" s="2">
        <f ca="1">COUNTIFS(DataSimple!K2:K1000,"&lt;="&amp;TODAY(),DataSimple!M2:M1000,"Page (Government)",DataSimple!Y2:Y1000,"United States")</f>
        <v>0</v>
      </c>
      <c r="C6" s="29">
        <f ca="1">PRODUCT(B6,1045)</f>
        <v>0</v>
      </c>
    </row>
    <row r="7" spans="1:3" x14ac:dyDescent="0.5">
      <c r="A7" t="s">
        <v>1252</v>
      </c>
      <c r="B7" s="2">
        <f ca="1">COUNTIFS(DataSimple!K2:K1000,"&lt;="&amp;TODAY(),DataSimple!M2:M1000,"Page (Executive Search)",DataSimple!Y2:Y1000,"United States")</f>
        <v>0</v>
      </c>
      <c r="C7" s="29">
        <f ca="1">PRODUCT(B7,2625)</f>
        <v>0</v>
      </c>
    </row>
    <row r="8" spans="1:3" x14ac:dyDescent="0.5">
      <c r="A8" t="s">
        <v>8556</v>
      </c>
      <c r="B8" s="2">
        <f ca="1">COUNTIFS(DataSimple!K2:K1000,"&lt;="&amp;TODAY(),DataSimple!M2:M1000,"Page (Honoree)",DataSimple!Y2:Y1000,"United States")</f>
        <v>0</v>
      </c>
      <c r="C8" s="29">
        <f ca="1">PRODUCT(B8,0)</f>
        <v>0</v>
      </c>
    </row>
    <row r="9" spans="1:3" x14ac:dyDescent="0.5">
      <c r="A9" t="s">
        <v>127</v>
      </c>
      <c r="B9" s="2">
        <f ca="1">COUNTIFS(DataSimple!K2:K1000,"&lt;="&amp;TODAY(),DataSimple!M2:M1000,"Page (Retired)",DataSimple!Y2:Y1000,"United States")</f>
        <v>0</v>
      </c>
      <c r="C9" s="29">
        <f ca="1">PRODUCT(B9,1045)</f>
        <v>0</v>
      </c>
    </row>
    <row r="10" spans="1:3" x14ac:dyDescent="0.5">
      <c r="A10" t="s">
        <v>660</v>
      </c>
      <c r="B10" s="2">
        <f ca="1">COUNTIFS(DataSimple!K2:K1000,"&lt;="&amp;TODAY(),DataSimple!M2:M1000,"Page (Life)",DataSimple!Y2:Y1000,"United States")</f>
        <v>0</v>
      </c>
      <c r="C10" s="29">
        <f ca="1">PRODUCT(B10,110)</f>
        <v>0</v>
      </c>
    </row>
    <row r="11" spans="1:3" x14ac:dyDescent="0.5">
      <c r="B11" s="2"/>
      <c r="C11" s="29"/>
    </row>
    <row r="12" spans="1:3" x14ac:dyDescent="0.5">
      <c r="A12" t="s">
        <v>1633</v>
      </c>
      <c r="B12" s="28">
        <f ca="1">COUNTIFS(DataSimple!K2:K1000,"&lt;="&amp;TODAY(),DataSimple!M2:M1000,"Page (Corporate)",DataSimple!Y2:Y1000,"Canada")+COUNTIFS(DataSimple!K2:K1000,"&lt;="&amp;TODAY(),DataSimple!M2:M1000,"Page (Agency)",DataSimple!Y2:Y1000,"Canada")</f>
        <v>0</v>
      </c>
      <c r="C12" s="29"/>
    </row>
    <row r="13" spans="1:3" x14ac:dyDescent="0.5">
      <c r="A13" t="s">
        <v>744</v>
      </c>
      <c r="B13" s="28">
        <f ca="1">COUNTIFS(DataSimple!K2:K1000,"&lt;="&amp;TODAY(),DataSimple!M2:M1000,"Page (Corporate)",DataSimple!Y2:Y1000,"Europe")+COUNTIFS(DataSimple!K2:K1000,"&lt;="&amp;TODAY(),DataSimple!M2:M1000,"Page (Agency)",DataSimple!Y2:Y1000,"Europe")</f>
        <v>4</v>
      </c>
      <c r="C13" s="29"/>
    </row>
    <row r="14" spans="1:3" x14ac:dyDescent="0.5">
      <c r="A14" t="s">
        <v>8559</v>
      </c>
      <c r="B14" s="28">
        <f ca="1">COUNTIFS(DataSimple!K2:K1000,"&lt;="&amp;TODAY(),DataSimple!M2:M1000,"Page (Middle East/Africa)",DataSimple!Y2:Y1000,"Canada")+COUNTIFS(DataSimple!K2:K1000,"&lt;="&amp;TODAY(),DataSimple!M2:M1000,"Page (Agency)",DataSimple!Y2:Y1000,"Middle East/Africa")</f>
        <v>0</v>
      </c>
      <c r="C14" s="29"/>
    </row>
    <row r="15" spans="1:3" x14ac:dyDescent="0.5">
      <c r="A15" t="s">
        <v>8560</v>
      </c>
      <c r="B15" s="28">
        <f ca="1">COUNTIFS(DataSimple!K2:K1000,"&lt;="&amp;TODAY(),DataSimple!M2:M1000,"Page (Asia:Other)",DataSimple!Y2:Y1000,"Canada")+COUNTIFS(DataSimple!K2:K1000,"&lt;="&amp;TODAY(),DataSimple!M2:M1000,"Page (Agency)",DataSimple!Y2:Y1000,"Asia:Other")</f>
        <v>0</v>
      </c>
      <c r="C15" s="29"/>
    </row>
    <row r="16" spans="1:3" x14ac:dyDescent="0.5">
      <c r="A16" t="s">
        <v>4147</v>
      </c>
      <c r="B16" s="28">
        <f ca="1">COUNTIFS(DataSimple!K2:K1000,"&lt;="&amp;TODAY(),DataSimple!M2:M1000,"Page (Australia/NZ)",DataSimple!Y2:Y1000,"Canada")+COUNTIFS(DataSimple!K2:K1000,"&lt;="&amp;TODAY(),DataSimple!M2:M1000,"Page (Agency)",DataSimple!Y2:Y1000,"Australia/NZ")</f>
        <v>0</v>
      </c>
      <c r="C16" s="29"/>
    </row>
    <row r="17" spans="1:3" x14ac:dyDescent="0.5">
      <c r="A17" t="s">
        <v>2512</v>
      </c>
      <c r="B17" s="28">
        <f ca="1">COUNTIFS(DataSimple!K2:K1000,"&lt;="&amp;TODAY(),DataSimple!M2:M1000,"Page (Asia:India)",DataSimple!Y2:Y1000,"Canada")+COUNTIFS(DataSimple!K2:K1000,"&lt;="&amp;TODAY(),DataSimple!M2:M1000,"Page (Agency)",DataSimple!Y2:Y1000,"Asia:India")</f>
        <v>0</v>
      </c>
      <c r="C17" s="29"/>
    </row>
    <row r="18" spans="1:3" x14ac:dyDescent="0.5">
      <c r="A18" t="s">
        <v>8561</v>
      </c>
      <c r="B18" s="28">
        <f ca="1">COUNTIFS(DataSimple!K2:K1000,"&lt;="&amp;TODAY(),DataSimple!M2:M1000,"Page (Corporate)",DataSimple!Y2:Y1000,"Latin America")+COUNTIFS(DataSimple!K2:K1000,"&lt;="&amp;TODAY(),DataSimple!M2:M1000,"Page (Agency)",DataSimple!Y2:Y1000,"Latin America")</f>
        <v>0</v>
      </c>
      <c r="C18" s="29"/>
    </row>
    <row r="20" spans="1:3" x14ac:dyDescent="0.5">
      <c r="A20" s="6" t="s">
        <v>11</v>
      </c>
      <c r="B20" s="6">
        <f ca="1">SUM(B2:B18)</f>
        <v>21</v>
      </c>
      <c r="C20" s="30">
        <f ca="1">SUM(C2:C18)</f>
        <v>36305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D2FD-345E-4859-A8A6-70D0B2F7CC10}">
  <dimension ref="A1:M23"/>
  <sheetViews>
    <sheetView workbookViewId="0">
      <selection activeCell="E12" sqref="E12"/>
    </sheetView>
  </sheetViews>
  <sheetFormatPr defaultRowHeight="14.35" x14ac:dyDescent="0.5"/>
  <cols>
    <col min="1" max="1" width="11.9375" style="8" bestFit="1" customWidth="1"/>
    <col min="2" max="2" width="19.234375" style="8" bestFit="1" customWidth="1"/>
    <col min="3" max="3" width="8.9375" style="8"/>
    <col min="4" max="4" width="8.703125" style="8" bestFit="1" customWidth="1"/>
    <col min="5" max="5" width="30.29296875" style="8" bestFit="1" customWidth="1"/>
    <col min="6" max="6" width="9.8203125" style="8" bestFit="1" customWidth="1"/>
    <col min="7" max="7" width="8.41015625" style="8" bestFit="1" customWidth="1"/>
    <col min="8" max="8" width="8.9375" style="8"/>
    <col min="9" max="9" width="8.703125" style="8" bestFit="1" customWidth="1"/>
    <col min="10" max="10" width="11.17578125" style="8" bestFit="1" customWidth="1"/>
    <col min="11" max="12" width="8.9375" style="8"/>
    <col min="13" max="13" width="9.703125" style="8" bestFit="1" customWidth="1"/>
    <col min="14" max="16384" width="8.9375" style="8"/>
  </cols>
  <sheetData>
    <row r="1" spans="1:13" s="7" customFormat="1" x14ac:dyDescent="0.5">
      <c r="A1" s="7" t="s">
        <v>14</v>
      </c>
      <c r="B1" s="7" t="s">
        <v>15</v>
      </c>
      <c r="C1" s="7" t="s">
        <v>2</v>
      </c>
      <c r="D1" s="7" t="s">
        <v>3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11</v>
      </c>
    </row>
    <row r="2" spans="1:13" x14ac:dyDescent="0.5">
      <c r="A2" s="8" t="s">
        <v>0</v>
      </c>
      <c r="B2" s="9">
        <f>1397978+218.75</f>
        <v>1398196.75</v>
      </c>
      <c r="C2" s="9">
        <v>16885</v>
      </c>
      <c r="D2" s="9">
        <v>14683.33</v>
      </c>
      <c r="E2" s="10"/>
      <c r="F2" s="10">
        <f>F3</f>
        <v>13386.666666666668</v>
      </c>
      <c r="G2" s="10">
        <f t="shared" ref="G2:I2" si="0">G3</f>
        <v>1641.25</v>
      </c>
      <c r="H2" s="10">
        <f t="shared" si="0"/>
        <v>709.16666666666663</v>
      </c>
      <c r="I2" s="10">
        <f t="shared" si="0"/>
        <v>3800.8333333333335</v>
      </c>
      <c r="J2" s="9">
        <f>SUM(B2:I2)</f>
        <v>1449302.9966666668</v>
      </c>
    </row>
    <row r="3" spans="1:13" x14ac:dyDescent="0.5">
      <c r="A3" s="11" t="s">
        <v>6</v>
      </c>
      <c r="B3" s="12">
        <f>1528000-SUM(C3:I3)</f>
        <v>1451718.3333333333</v>
      </c>
      <c r="C3" s="12">
        <v>20238.75</v>
      </c>
      <c r="D3" s="12">
        <v>18505</v>
      </c>
      <c r="E3" s="12">
        <v>18000.000000000004</v>
      </c>
      <c r="F3" s="12">
        <v>13386.666666666668</v>
      </c>
      <c r="G3" s="12">
        <v>1641.25</v>
      </c>
      <c r="H3" s="12">
        <v>709.16666666666663</v>
      </c>
      <c r="I3" s="12">
        <v>3800.8333333333335</v>
      </c>
      <c r="J3" s="12">
        <f>SUM(B3:I3)</f>
        <v>1528000</v>
      </c>
    </row>
    <row r="4" spans="1:13" x14ac:dyDescent="0.5">
      <c r="A4" s="8" t="s">
        <v>1</v>
      </c>
      <c r="B4" s="9">
        <f>408401+2625</f>
        <v>411026</v>
      </c>
      <c r="C4" s="9">
        <v>7699.58</v>
      </c>
      <c r="D4" s="9">
        <v>21672.5</v>
      </c>
      <c r="E4" s="10">
        <f>PRODUCT(2625,3,(5/12))</f>
        <v>3281.25</v>
      </c>
      <c r="F4" s="10">
        <f>F5</f>
        <v>7556.6666666666661</v>
      </c>
      <c r="G4" s="10">
        <f t="shared" ref="G4:I4" si="1">G5</f>
        <v>3937.5</v>
      </c>
      <c r="H4" s="10">
        <f t="shared" si="1"/>
        <v>1312.5</v>
      </c>
      <c r="I4" s="10">
        <f t="shared" si="1"/>
        <v>875</v>
      </c>
      <c r="J4" s="10">
        <f>SUM(B4:I4)</f>
        <v>457360.9966666667</v>
      </c>
    </row>
    <row r="5" spans="1:13" x14ac:dyDescent="0.5">
      <c r="A5" s="11" t="s">
        <v>7</v>
      </c>
      <c r="B5" s="12">
        <f>470757-SUM(C5:I5)</f>
        <v>424304.91666666669</v>
      </c>
      <c r="C5" s="12">
        <v>9187.5</v>
      </c>
      <c r="D5" s="12">
        <v>16585</v>
      </c>
      <c r="E5" s="12">
        <v>6997.916666666667</v>
      </c>
      <c r="F5" s="12">
        <v>7556.6666666666661</v>
      </c>
      <c r="G5" s="12">
        <v>3937.5</v>
      </c>
      <c r="H5" s="12">
        <v>1312.5</v>
      </c>
      <c r="I5" s="12">
        <v>875</v>
      </c>
      <c r="J5" s="12">
        <f>SUM(B5:I5)</f>
        <v>470757.00000000006</v>
      </c>
    </row>
    <row r="7" spans="1:13" x14ac:dyDescent="0.5">
      <c r="A7" s="2" t="s">
        <v>12</v>
      </c>
      <c r="B7" s="13">
        <f>B2-B3</f>
        <v>-53521.583333333256</v>
      </c>
      <c r="C7" s="13">
        <f>C2-C3</f>
        <v>-3353.75</v>
      </c>
      <c r="D7" s="13">
        <f t="shared" ref="D7:I7" si="2">D2-D3</f>
        <v>-3821.67</v>
      </c>
      <c r="E7" s="13">
        <f t="shared" si="2"/>
        <v>-18000.000000000004</v>
      </c>
      <c r="F7" s="13">
        <f t="shared" si="2"/>
        <v>0</v>
      </c>
      <c r="G7" s="13">
        <f t="shared" si="2"/>
        <v>0</v>
      </c>
      <c r="H7" s="13">
        <f t="shared" si="2"/>
        <v>0</v>
      </c>
      <c r="I7" s="13">
        <f t="shared" si="2"/>
        <v>0</v>
      </c>
      <c r="J7" s="13">
        <f>SUM(B7:I7)</f>
        <v>-78697.003333333254</v>
      </c>
    </row>
    <row r="8" spans="1:13" x14ac:dyDescent="0.5">
      <c r="A8" s="2" t="s">
        <v>13</v>
      </c>
      <c r="B8" s="13">
        <f>B4-B5</f>
        <v>-13278.916666666686</v>
      </c>
      <c r="C8" s="13">
        <f>C4-C5</f>
        <v>-1487.92</v>
      </c>
      <c r="D8" s="13">
        <f t="shared" ref="D8:I8" si="3">D4-D5</f>
        <v>5087.5</v>
      </c>
      <c r="E8" s="13">
        <f t="shared" si="3"/>
        <v>-3716.666666666667</v>
      </c>
      <c r="F8" s="13">
        <f t="shared" si="3"/>
        <v>0</v>
      </c>
      <c r="G8" s="13">
        <f t="shared" si="3"/>
        <v>0</v>
      </c>
      <c r="H8" s="13">
        <f t="shared" si="3"/>
        <v>0</v>
      </c>
      <c r="I8" s="13">
        <f t="shared" si="3"/>
        <v>0</v>
      </c>
      <c r="J8" s="13">
        <f t="shared" ref="J8:J9" si="4">SUM(B8:I8)</f>
        <v>-13396.003333333352</v>
      </c>
    </row>
    <row r="9" spans="1:13" x14ac:dyDescent="0.5">
      <c r="A9" s="4" t="s">
        <v>11</v>
      </c>
      <c r="B9" s="14">
        <f>SUM(B7:B8)</f>
        <v>-66800.499999999942</v>
      </c>
      <c r="C9" s="14">
        <f>SUM(C7:C8)</f>
        <v>-4841.67</v>
      </c>
      <c r="D9" s="14">
        <f t="shared" ref="D9:I9" si="5">SUM(D7:D8)</f>
        <v>1265.83</v>
      </c>
      <c r="E9" s="14">
        <f t="shared" si="5"/>
        <v>-21716.666666666672</v>
      </c>
      <c r="F9" s="14">
        <f t="shared" si="5"/>
        <v>0</v>
      </c>
      <c r="G9" s="14">
        <f t="shared" si="5"/>
        <v>0</v>
      </c>
      <c r="H9" s="14">
        <f t="shared" si="5"/>
        <v>0</v>
      </c>
      <c r="I9" s="14">
        <f t="shared" si="5"/>
        <v>0</v>
      </c>
      <c r="J9" s="14">
        <f t="shared" si="4"/>
        <v>-92093.00666666661</v>
      </c>
      <c r="L9" s="9"/>
    </row>
    <row r="10" spans="1:13" x14ac:dyDescent="0.5">
      <c r="L10" s="9"/>
      <c r="M10" s="9"/>
    </row>
    <row r="11" spans="1:13" x14ac:dyDescent="0.5">
      <c r="L11" s="9"/>
      <c r="M11" s="9"/>
    </row>
    <row r="12" spans="1:13" x14ac:dyDescent="0.5">
      <c r="L12" s="9"/>
      <c r="M12" s="9"/>
    </row>
    <row r="13" spans="1:13" x14ac:dyDescent="0.5">
      <c r="L13" s="9"/>
    </row>
    <row r="14" spans="1:13" x14ac:dyDescent="0.5">
      <c r="L14" s="9"/>
      <c r="M14" s="9"/>
    </row>
    <row r="15" spans="1:13" x14ac:dyDescent="0.5">
      <c r="L15" s="9"/>
      <c r="M15" s="9"/>
    </row>
    <row r="16" spans="1:13" x14ac:dyDescent="0.5">
      <c r="L16" s="9"/>
      <c r="M16" s="9"/>
    </row>
    <row r="17" spans="12:13" x14ac:dyDescent="0.5">
      <c r="L17" s="9"/>
      <c r="M17" s="9"/>
    </row>
    <row r="18" spans="12:13" x14ac:dyDescent="0.5">
      <c r="M18" s="9"/>
    </row>
    <row r="19" spans="12:13" x14ac:dyDescent="0.5">
      <c r="M19" s="9"/>
    </row>
    <row r="20" spans="12:13" x14ac:dyDescent="0.5">
      <c r="M20" s="9"/>
    </row>
    <row r="21" spans="12:13" x14ac:dyDescent="0.5">
      <c r="M21" s="9"/>
    </row>
    <row r="22" spans="12:13" x14ac:dyDescent="0.5">
      <c r="M22" s="9"/>
    </row>
    <row r="23" spans="12:13" x14ac:dyDescent="0.5">
      <c r="M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Data</vt:lpstr>
      <vt:lpstr>DataSimple</vt:lpstr>
      <vt:lpstr>Corp</vt:lpstr>
      <vt:lpstr>Agency</vt:lpstr>
      <vt:lpstr>Educator</vt:lpstr>
      <vt:lpstr>NGO</vt:lpstr>
      <vt:lpstr>Govt</vt:lpstr>
      <vt:lpstr>Search</vt:lpstr>
      <vt:lpstr>Honors</vt:lpstr>
      <vt:lpstr>Retired</vt:lpstr>
      <vt:lpstr>PastDue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Strouhal</dc:creator>
  <cp:lastModifiedBy>Dan Strouhal</cp:lastModifiedBy>
  <dcterms:created xsi:type="dcterms:W3CDTF">2018-09-06T22:15:16Z</dcterms:created>
  <dcterms:modified xsi:type="dcterms:W3CDTF">2018-09-20T03:23:23Z</dcterms:modified>
</cp:coreProperties>
</file>