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gxportal-my.sharepoint.com/personal/sudyavara_galaxe_com/Documents/Documents/"/>
    </mc:Choice>
  </mc:AlternateContent>
  <xr:revisionPtr revIDLastSave="2611" documentId="8_{4BFA0C85-0C40-4910-8566-F308DCE776A2}" xr6:coauthVersionLast="47" xr6:coauthVersionMax="47" xr10:uidLastSave="{906CCFA8-88BE-4E8F-8622-E67026EF84B7}"/>
  <bookViews>
    <workbookView xWindow="-110" yWindow="-110" windowWidth="19420" windowHeight="10300" firstSheet="5" activeTab="7" xr2:uid="{9F9510FC-F153-404B-8446-B39561050D41}"/>
  </bookViews>
  <sheets>
    <sheet name="DAY 1" sheetId="1" r:id="rId1"/>
    <sheet name="DAY 2" sheetId="3" r:id="rId2"/>
    <sheet name="DAY 3" sheetId="4" r:id="rId3"/>
    <sheet name="DAY 4" sheetId="5" r:id="rId4"/>
    <sheet name="DAY 5" sheetId="6" r:id="rId5"/>
    <sheet name="DAY 6" sheetId="7" r:id="rId6"/>
    <sheet name="DAY 7" sheetId="8" r:id="rId7"/>
    <sheet name="DAY 8" sheetId="10" r:id="rId8"/>
  </sheets>
  <externalReferences>
    <externalReference r:id="rId9"/>
  </externalReferences>
  <definedNames>
    <definedName name="_xlnm._FilterDatabase" localSheetId="7" hidden="1">'DAY 8'!$A$29:$K$32</definedName>
    <definedName name="_xlnm.Criteria" localSheetId="7">'DAY 8'!$A$5:$K$6</definedName>
    <definedName name="CTC">'DAY 8'!$J$9:$J$21</definedName>
    <definedName name="EMPID">'DAY 8'!$A$9:INDEX('DAY 8'!$A:$A,COUNTA('DAY 8'!$A:$A))</definedName>
    <definedName name="_xlnm.Extract" localSheetId="7">'DAY 8'!$A$29:$K$35</definedName>
    <definedName name="RegId">RegExpMatch('DAY 8'!A1, "^(E0)\d{4}$")</definedName>
    <definedName name="Slicer_Price1">#N/A</definedName>
    <definedName name="Slicer_Rating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0" l="1" a="1"/>
  <c r="D2" i="10" s="1"/>
  <c r="J22" i="10"/>
  <c r="L7" i="8"/>
  <c r="L8" i="8"/>
  <c r="L9" i="8"/>
  <c r="L10" i="8"/>
  <c r="L11" i="8"/>
  <c r="L6" i="8"/>
  <c r="F7" i="8"/>
  <c r="F8" i="8"/>
  <c r="F9" i="8"/>
  <c r="F10" i="8"/>
  <c r="F11" i="8"/>
  <c r="F6" i="8"/>
  <c r="H7" i="8"/>
  <c r="J7" i="8" s="1"/>
  <c r="H8" i="8"/>
  <c r="J8" i="8" s="1"/>
  <c r="H9" i="8"/>
  <c r="J9" i="8" s="1"/>
  <c r="H10" i="8"/>
  <c r="J10" i="8" s="1"/>
  <c r="H11" i="8"/>
  <c r="J11" i="8" s="1"/>
  <c r="H6" i="8"/>
  <c r="J6" i="8" s="1"/>
  <c r="E15" i="8"/>
  <c r="G20" i="8"/>
  <c r="C11" i="8"/>
  <c r="C10" i="8"/>
  <c r="C9" i="8"/>
  <c r="B9" i="8"/>
  <c r="C8" i="8"/>
  <c r="C7" i="8"/>
  <c r="C6" i="8"/>
  <c r="A6" i="8"/>
  <c r="B6" i="8"/>
  <c r="B11" i="8"/>
  <c r="B8" i="8"/>
  <c r="B7" i="8"/>
  <c r="B10" i="8"/>
  <c r="A7" i="8"/>
  <c r="A8" i="8"/>
  <c r="A9" i="8"/>
  <c r="A10" i="8"/>
  <c r="A11" i="8"/>
  <c r="R7" i="8"/>
  <c r="R8" i="8"/>
  <c r="R9" i="8"/>
  <c r="R10" i="8"/>
  <c r="R11" i="8"/>
  <c r="V7" i="8"/>
  <c r="V8" i="8"/>
  <c r="V9" i="8"/>
  <c r="V10" i="8"/>
  <c r="V11" i="8"/>
  <c r="V6" i="8"/>
  <c r="S7" i="8"/>
  <c r="S8" i="8"/>
  <c r="S9" i="8"/>
  <c r="S10" i="8"/>
  <c r="S11" i="8"/>
  <c r="S6" i="8"/>
  <c r="M11" i="8"/>
  <c r="M10" i="8"/>
  <c r="M9" i="8"/>
  <c r="M8" i="8"/>
  <c r="M7" i="8"/>
  <c r="M6" i="8"/>
  <c r="D6" i="8"/>
  <c r="R6" i="8"/>
  <c r="Q7" i="8"/>
  <c r="Q8" i="8"/>
  <c r="Q9" i="8"/>
  <c r="Q10" i="8"/>
  <c r="Q11" i="8"/>
  <c r="Q6" i="8"/>
  <c r="P11" i="8"/>
  <c r="P10" i="8"/>
  <c r="P9" i="8"/>
  <c r="P8" i="8"/>
  <c r="P7" i="8"/>
  <c r="P6" i="8"/>
  <c r="D7" i="8"/>
  <c r="D8" i="8"/>
  <c r="D9" i="8"/>
  <c r="D10" i="8"/>
  <c r="D11" i="8"/>
  <c r="R8" i="7"/>
  <c r="R9" i="7"/>
  <c r="R10" i="7"/>
  <c r="R11" i="7"/>
  <c r="R12" i="7"/>
  <c r="O7" i="7"/>
  <c r="O12" i="7"/>
  <c r="I9" i="7"/>
  <c r="K9" i="7" s="1"/>
  <c r="I10" i="7"/>
  <c r="K10" i="7" s="1"/>
  <c r="I11" i="7"/>
  <c r="K11" i="7" s="1"/>
  <c r="I12" i="7"/>
  <c r="K12" i="7" s="1"/>
  <c r="I7" i="7"/>
  <c r="K7" i="7" s="1"/>
  <c r="I8" i="7"/>
  <c r="K8" i="7" s="1"/>
  <c r="J8" i="7"/>
  <c r="M8" i="7"/>
  <c r="M9" i="7"/>
  <c r="M10" i="7"/>
  <c r="M11" i="7"/>
  <c r="M12" i="7"/>
  <c r="M7" i="7"/>
  <c r="T13" i="7"/>
  <c r="R7" i="7"/>
  <c r="O8" i="7"/>
  <c r="O9" i="7"/>
  <c r="O10" i="7"/>
  <c r="O11" i="7"/>
  <c r="K14" i="6"/>
  <c r="H7" i="6"/>
  <c r="F8" i="7"/>
  <c r="S8" i="7" s="1"/>
  <c r="P8" i="7" s="1"/>
  <c r="F9" i="7"/>
  <c r="S9" i="7" s="1"/>
  <c r="P9" i="7" s="1"/>
  <c r="F10" i="7"/>
  <c r="S10" i="7" s="1"/>
  <c r="P10" i="7" s="1"/>
  <c r="F11" i="7"/>
  <c r="S11" i="7" s="1"/>
  <c r="P11" i="7" s="1"/>
  <c r="F12" i="7"/>
  <c r="S12" i="7" s="1"/>
  <c r="P12" i="7" s="1"/>
  <c r="F7" i="7"/>
  <c r="S7" i="7" s="1"/>
  <c r="P7" i="7" s="1"/>
  <c r="G8" i="7"/>
  <c r="G9" i="7"/>
  <c r="G10" i="7"/>
  <c r="G11" i="7"/>
  <c r="G12" i="7"/>
  <c r="G7" i="7"/>
  <c r="J7" i="7"/>
  <c r="Q7" i="7"/>
  <c r="Q8" i="7"/>
  <c r="J9" i="7"/>
  <c r="Q9" i="7"/>
  <c r="J10" i="7"/>
  <c r="Q10" i="7"/>
  <c r="J11" i="7"/>
  <c r="Q11" i="7"/>
  <c r="J12" i="7"/>
  <c r="Q12" i="7"/>
  <c r="J15" i="7"/>
  <c r="J16" i="7"/>
  <c r="I7" i="6"/>
  <c r="I8" i="6"/>
  <c r="I12" i="6"/>
  <c r="O8" i="8" l="1"/>
  <c r="O9" i="8"/>
  <c r="O11" i="8"/>
  <c r="O7" i="8"/>
  <c r="O10" i="8"/>
  <c r="O6" i="8"/>
  <c r="J14" i="7"/>
  <c r="J9" i="6"/>
  <c r="J10" i="6"/>
  <c r="J8" i="6"/>
  <c r="J7" i="6"/>
  <c r="H17" i="6"/>
  <c r="O6" i="6" a="1"/>
  <c r="O6" i="6" s="1"/>
  <c r="M9" i="6"/>
  <c r="M8" i="6"/>
  <c r="M7" i="6"/>
  <c r="I9" i="6"/>
  <c r="I10" i="6"/>
  <c r="I11" i="6"/>
  <c r="H8" i="6"/>
  <c r="H9" i="6"/>
  <c r="H10" i="6"/>
  <c r="H11" i="6"/>
  <c r="H12" i="6"/>
  <c r="G10" i="6"/>
  <c r="H14" i="6" s="1"/>
  <c r="G12" i="6"/>
  <c r="G8" i="6"/>
  <c r="G9" i="6"/>
  <c r="G11" i="6"/>
  <c r="G7" i="6"/>
  <c r="G7" i="5"/>
  <c r="G8" i="5"/>
  <c r="G9" i="5"/>
  <c r="G10" i="5"/>
  <c r="G6" i="5"/>
  <c r="F7" i="5"/>
  <c r="F8" i="5"/>
  <c r="F9" i="5"/>
  <c r="F10" i="5"/>
  <c r="F6" i="5"/>
  <c r="L14" i="5"/>
  <c r="L13" i="5"/>
  <c r="L12" i="5"/>
  <c r="L7" i="5"/>
  <c r="L8" i="5"/>
  <c r="L9" i="5"/>
  <c r="L10" i="5"/>
  <c r="L6" i="5"/>
  <c r="K8" i="5"/>
  <c r="K7" i="5"/>
  <c r="K9" i="5"/>
  <c r="K10" i="5"/>
  <c r="K6" i="5"/>
  <c r="K8" i="4"/>
  <c r="K9" i="4"/>
  <c r="K10" i="4"/>
  <c r="K11" i="4"/>
  <c r="K12" i="4"/>
  <c r="K13" i="4"/>
  <c r="K7" i="4"/>
  <c r="I7" i="4"/>
  <c r="I8" i="4"/>
  <c r="I9" i="4"/>
  <c r="I10" i="4"/>
  <c r="I11" i="4"/>
  <c r="I12" i="4"/>
  <c r="I13" i="4"/>
  <c r="H8" i="4"/>
  <c r="H7" i="4"/>
  <c r="H9" i="4"/>
  <c r="H10" i="4"/>
  <c r="H11" i="4"/>
  <c r="H12" i="4"/>
  <c r="H13" i="4"/>
  <c r="C13" i="3"/>
  <c r="O14" i="3"/>
  <c r="C18" i="1"/>
  <c r="H14" i="4" l="1"/>
  <c r="J8" i="4" l="1"/>
  <c r="J12" i="4"/>
  <c r="J13" i="4"/>
  <c r="J10" i="4"/>
  <c r="J7" i="4"/>
  <c r="J11" i="4"/>
  <c r="J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<sst xmlns="http://schemas.openxmlformats.org/spreadsheetml/2006/main" count="437" uniqueCount="302">
  <si>
    <t>No.</t>
  </si>
  <si>
    <t>Book</t>
  </si>
  <si>
    <t>Author</t>
  </si>
  <si>
    <t>Price</t>
  </si>
  <si>
    <t>Head First Java</t>
  </si>
  <si>
    <t>Katty Serria</t>
  </si>
  <si>
    <t>Joshua Bloch</t>
  </si>
  <si>
    <t>Effective Java</t>
  </si>
  <si>
    <t>Clean Code</t>
  </si>
  <si>
    <t>Thinking in Java</t>
  </si>
  <si>
    <t>Robert Martin</t>
  </si>
  <si>
    <t>Bruce Eckel</t>
  </si>
  <si>
    <t>The Passionate Programmer</t>
  </si>
  <si>
    <t>Chad Fowler</t>
  </si>
  <si>
    <t xml:space="preserve">Total  </t>
  </si>
  <si>
    <t>VS</t>
  </si>
  <si>
    <t>Total</t>
  </si>
  <si>
    <t>Clean Python</t>
  </si>
  <si>
    <t>Sunil Kapil</t>
  </si>
  <si>
    <t>Date</t>
  </si>
  <si>
    <t>Surname</t>
  </si>
  <si>
    <t>Serria</t>
  </si>
  <si>
    <t>A</t>
  </si>
  <si>
    <t>B</t>
  </si>
  <si>
    <t xml:space="preserve">               </t>
  </si>
  <si>
    <t>Rating</t>
  </si>
  <si>
    <t>S</t>
  </si>
  <si>
    <t>Aloch</t>
  </si>
  <si>
    <t>Aartin</t>
  </si>
  <si>
    <t>Bckel</t>
  </si>
  <si>
    <t>Aowler</t>
  </si>
  <si>
    <t>Bapil</t>
  </si>
  <si>
    <t>CUSTOM LIST</t>
  </si>
  <si>
    <t>PRICE SLICER</t>
  </si>
  <si>
    <t>RATING SLICER</t>
  </si>
  <si>
    <t>THIS INCLUDES COMPARISION OF RANGE VS STRUCTURED REFERENCE,FREEZED PANES,SLICER,AUTO,CUSTOM &amp; FLASH FILLS</t>
  </si>
  <si>
    <t>Programming World</t>
  </si>
  <si>
    <t>EXCEL Table Programming World(Freezed Panes)</t>
  </si>
  <si>
    <t xml:space="preserve"> NORMAL Table Programming World</t>
  </si>
  <si>
    <t>ITEM</t>
  </si>
  <si>
    <t>Short Date</t>
  </si>
  <si>
    <t>Long Date</t>
  </si>
  <si>
    <t>Qty</t>
  </si>
  <si>
    <t>SubTotal</t>
  </si>
  <si>
    <t>Apple</t>
  </si>
  <si>
    <t>Rice</t>
  </si>
  <si>
    <t>Tomato</t>
  </si>
  <si>
    <t>Soap</t>
  </si>
  <si>
    <t>Cost/Unit</t>
  </si>
  <si>
    <t>A4 sheets</t>
  </si>
  <si>
    <t>Coloring Book</t>
  </si>
  <si>
    <t>Pen</t>
  </si>
  <si>
    <t>Phone_no</t>
  </si>
  <si>
    <t>IN/OUT  Of Budget</t>
  </si>
  <si>
    <t>Number and custom formatting</t>
  </si>
  <si>
    <t>Operator in formula</t>
  </si>
  <si>
    <t>Absolute and Relative ref. along with Precedence of operators and Error handling</t>
  </si>
  <si>
    <t>Complex logical formula with IF &amp; AND with Boolean functions</t>
  </si>
  <si>
    <t>Odd/Even SubTotal</t>
  </si>
  <si>
    <t>IS functions</t>
  </si>
  <si>
    <t>Expenditure Summary</t>
  </si>
  <si>
    <t>Age</t>
  </si>
  <si>
    <t>T/F</t>
  </si>
  <si>
    <t>Sex</t>
  </si>
  <si>
    <t>f</t>
  </si>
  <si>
    <t>m</t>
  </si>
  <si>
    <t>M</t>
  </si>
  <si>
    <t>Lucky no.</t>
  </si>
  <si>
    <t>EMP Name</t>
  </si>
  <si>
    <t>Mod(Sal,Comm)</t>
  </si>
  <si>
    <t>Weight</t>
  </si>
  <si>
    <t>Round Weight</t>
  </si>
  <si>
    <t>Total salary of men</t>
  </si>
  <si>
    <t>Total salary of women</t>
  </si>
  <si>
    <t>RAMY</t>
  </si>
  <si>
    <t>GURU</t>
  </si>
  <si>
    <t>SHIKA</t>
  </si>
  <si>
    <t>CHIRU</t>
  </si>
  <si>
    <t>SHAM</t>
  </si>
  <si>
    <t>Commission</t>
  </si>
  <si>
    <t>Salary/day</t>
  </si>
  <si>
    <t>working days</t>
  </si>
  <si>
    <t>Total Salary of EMP</t>
  </si>
  <si>
    <t>mod()</t>
  </si>
  <si>
    <t>round()to one digit</t>
  </si>
  <si>
    <t>SUMIF()</t>
  </si>
  <si>
    <t>SUMPRODUCT()</t>
  </si>
  <si>
    <t>Employees Table</t>
  </si>
  <si>
    <t>Int() along with rand()</t>
  </si>
  <si>
    <t>Region</t>
  </si>
  <si>
    <t>Customer</t>
  </si>
  <si>
    <t>Item</t>
  </si>
  <si>
    <t>Units</t>
  </si>
  <si>
    <t>Cost</t>
  </si>
  <si>
    <t>central</t>
  </si>
  <si>
    <t>sangu</t>
  </si>
  <si>
    <t>aarandya</t>
  </si>
  <si>
    <t>aarav</t>
  </si>
  <si>
    <t>bharati</t>
  </si>
  <si>
    <t>arun</t>
  </si>
  <si>
    <t>smitha</t>
  </si>
  <si>
    <t>east</t>
  </si>
  <si>
    <t>west</t>
  </si>
  <si>
    <t>south</t>
  </si>
  <si>
    <t>north</t>
  </si>
  <si>
    <t>chair</t>
  </si>
  <si>
    <t>table</t>
  </si>
  <si>
    <t>desk</t>
  </si>
  <si>
    <t>sofa</t>
  </si>
  <si>
    <t>bed</t>
  </si>
  <si>
    <t>swing</t>
  </si>
  <si>
    <t>Phone no.</t>
  </si>
  <si>
    <t>Can contact?</t>
  </si>
  <si>
    <t>Customers having phone number</t>
  </si>
  <si>
    <t>Hlookup()</t>
  </si>
  <si>
    <t>Offset() to list only items</t>
  </si>
  <si>
    <t>Index() and Match() to check items customers purchased</t>
  </si>
  <si>
    <t xml:space="preserve">Vlookup() </t>
  </si>
  <si>
    <r>
      <t xml:space="preserve">Cost from south region whose cost is more than 1000 using </t>
    </r>
    <r>
      <rPr>
        <b/>
        <sz val="11"/>
        <color theme="1"/>
        <rFont val="Calibri"/>
        <family val="2"/>
        <scheme val="minor"/>
      </rPr>
      <t>SUMIFS()</t>
    </r>
  </si>
  <si>
    <t>Phone number of aarav</t>
  </si>
  <si>
    <t>ROW/COLUMN FUCTIONS</t>
  </si>
  <si>
    <t>AVERAGEIF()+CONCATINATION()</t>
  </si>
  <si>
    <t>AVGEREAGE()+CONCATINATION()</t>
  </si>
  <si>
    <t>No. of Students</t>
  </si>
  <si>
    <t>COUNT()</t>
  </si>
  <si>
    <t>RANK</t>
  </si>
  <si>
    <t>grade</t>
  </si>
  <si>
    <t>marks</t>
  </si>
  <si>
    <t>Subject</t>
  </si>
  <si>
    <t>DOB</t>
  </si>
  <si>
    <t>Student Name</t>
  </si>
  <si>
    <t>RANK()</t>
  </si>
  <si>
    <t>TEXT()</t>
  </si>
  <si>
    <t>LOWEST SCORE</t>
  </si>
  <si>
    <t>SECOND LARGEST SCORE</t>
  </si>
  <si>
    <t>LARGE()</t>
  </si>
  <si>
    <t>SMALL()</t>
  </si>
  <si>
    <t>Length of name</t>
  </si>
  <si>
    <t>LEN()</t>
  </si>
  <si>
    <t>aarandya ROA</t>
  </si>
  <si>
    <t>aarav SHANKR</t>
  </si>
  <si>
    <t>bharati SHETTY</t>
  </si>
  <si>
    <t>arun SHET</t>
  </si>
  <si>
    <t>smitha NS</t>
  </si>
  <si>
    <t>sangu RAMESAH</t>
  </si>
  <si>
    <t>Proper name</t>
  </si>
  <si>
    <t>PROPER()</t>
  </si>
  <si>
    <t>GRADE</t>
  </si>
  <si>
    <t>C</t>
  </si>
  <si>
    <t>A+</t>
  </si>
  <si>
    <t>G</t>
  </si>
  <si>
    <t>FAIL</t>
  </si>
  <si>
    <t>PASS</t>
  </si>
  <si>
    <t>JAVA</t>
  </si>
  <si>
    <t>MATHS</t>
  </si>
  <si>
    <t>CAD</t>
  </si>
  <si>
    <t>DSA</t>
  </si>
  <si>
    <t>DMS</t>
  </si>
  <si>
    <t>ENGLISH</t>
  </si>
  <si>
    <t>XLOOKUP()</t>
  </si>
  <si>
    <t>Primary key</t>
  </si>
  <si>
    <t>LEFT()+RIGHT()</t>
  </si>
  <si>
    <t>Birth Day</t>
  </si>
  <si>
    <t>Subject Code</t>
  </si>
  <si>
    <t>MID()</t>
  </si>
  <si>
    <t>IF()&amp;LOOKUP()</t>
  </si>
  <si>
    <t>DAY</t>
  </si>
  <si>
    <t>Hidden Primary Key</t>
  </si>
  <si>
    <t>Min</t>
  </si>
  <si>
    <t>SUBSTITUTE() + RIGHT()</t>
  </si>
  <si>
    <t>REPLACE()</t>
  </si>
  <si>
    <t>Full Name</t>
  </si>
  <si>
    <t>Start Time</t>
  </si>
  <si>
    <t>End Time</t>
  </si>
  <si>
    <t>Last Name</t>
  </si>
  <si>
    <t>First Name</t>
  </si>
  <si>
    <t>CONCATENATE()</t>
  </si>
  <si>
    <t>Hours of Journey</t>
  </si>
  <si>
    <t>Booking Day</t>
  </si>
  <si>
    <t>Bus No.</t>
  </si>
  <si>
    <t>29-Apr-2001</t>
  </si>
  <si>
    <t>20-Nov-2015</t>
  </si>
  <si>
    <t>19-Jan-2001</t>
  </si>
  <si>
    <t>8-Oct-2001</t>
  </si>
  <si>
    <t>DATEVALUE()</t>
  </si>
  <si>
    <t>DAY()</t>
  </si>
  <si>
    <t>Month</t>
  </si>
  <si>
    <t>Year</t>
  </si>
  <si>
    <t>Journey Date in text</t>
  </si>
  <si>
    <t>Reaching Date</t>
  </si>
  <si>
    <t>DATE()</t>
  </si>
  <si>
    <t>HOUR()</t>
  </si>
  <si>
    <t>Booking Date</t>
  </si>
  <si>
    <t>TODAY()</t>
  </si>
  <si>
    <t xml:space="preserve">Max Delay(in mins) </t>
  </si>
  <si>
    <t>MINUTE()</t>
  </si>
  <si>
    <t>Current time</t>
  </si>
  <si>
    <t>NOW()</t>
  </si>
  <si>
    <t>1-Mar-2023</t>
  </si>
  <si>
    <t>30-Mar-2023</t>
  </si>
  <si>
    <t>Working Days/week</t>
  </si>
  <si>
    <t>WEEKDAY()</t>
  </si>
  <si>
    <t>NETWORKDAY()</t>
  </si>
  <si>
    <t>Holiday List</t>
  </si>
  <si>
    <t>Working Days/month(sat,sun weekend)</t>
  </si>
  <si>
    <t>Working Days/month(fri,sat weekend)</t>
  </si>
  <si>
    <t>NETWORKDAY.INTL()</t>
  </si>
  <si>
    <t>stars</t>
  </si>
  <si>
    <t xml:space="preserve">    sangu</t>
  </si>
  <si>
    <t>Name</t>
  </si>
  <si>
    <t xml:space="preserve">         smitha</t>
  </si>
  <si>
    <t xml:space="preserve">  </t>
  </si>
  <si>
    <t xml:space="preserve">                    arun</t>
  </si>
  <si>
    <t xml:space="preserve">           bharati</t>
  </si>
  <si>
    <t xml:space="preserve">                    aarav</t>
  </si>
  <si>
    <t xml:space="preserve">               aarandya</t>
  </si>
  <si>
    <t>TRIM()</t>
  </si>
  <si>
    <t>REPT() and TRUNC()</t>
  </si>
  <si>
    <t>Phone</t>
  </si>
  <si>
    <t>Area Code</t>
  </si>
  <si>
    <t>876-289-2512</t>
  </si>
  <si>
    <t>983-546-7825</t>
  </si>
  <si>
    <t>874-567-2431</t>
  </si>
  <si>
    <t>887-963-5461</t>
  </si>
  <si>
    <t>982-378-6534</t>
  </si>
  <si>
    <t>876-775-4231</t>
  </si>
  <si>
    <t>LEFT() and SEARCH()</t>
  </si>
  <si>
    <t>MONTH()</t>
  </si>
  <si>
    <t>YEAR()</t>
  </si>
  <si>
    <t>EEID</t>
  </si>
  <si>
    <t>Job Title</t>
  </si>
  <si>
    <t>Department</t>
  </si>
  <si>
    <t>Business Unit</t>
  </si>
  <si>
    <t>Gender</t>
  </si>
  <si>
    <t>Hire Date</t>
  </si>
  <si>
    <t>Annual Salary</t>
  </si>
  <si>
    <t>City</t>
  </si>
  <si>
    <t>E02387</t>
  </si>
  <si>
    <t>Emily Davis</t>
  </si>
  <si>
    <t>Sr. Manger</t>
  </si>
  <si>
    <t>IT</t>
  </si>
  <si>
    <t>Research &amp; Development</t>
  </si>
  <si>
    <t>Female</t>
  </si>
  <si>
    <t>E04105</t>
  </si>
  <si>
    <t>Theodore Dinh</t>
  </si>
  <si>
    <t>Technical Architect</t>
  </si>
  <si>
    <t>Manufacturing</t>
  </si>
  <si>
    <t>Male</t>
  </si>
  <si>
    <t>E02572</t>
  </si>
  <si>
    <t>Luna Sanders</t>
  </si>
  <si>
    <t>Director</t>
  </si>
  <si>
    <t>Finance</t>
  </si>
  <si>
    <t>Speciality Products</t>
  </si>
  <si>
    <t>E02832</t>
  </si>
  <si>
    <t>Penelope Jordan</t>
  </si>
  <si>
    <t>Computer Systems Manager</t>
  </si>
  <si>
    <t>E01639</t>
  </si>
  <si>
    <t>Austin Vo</t>
  </si>
  <si>
    <t>Sr. Analyst</t>
  </si>
  <si>
    <t>E00644</t>
  </si>
  <si>
    <t>Joshua Gupta</t>
  </si>
  <si>
    <t>Account Representative</t>
  </si>
  <si>
    <t>Sales</t>
  </si>
  <si>
    <t>Corporate</t>
  </si>
  <si>
    <t>E01550</t>
  </si>
  <si>
    <t>Ruby Barnes</t>
  </si>
  <si>
    <t>Manager</t>
  </si>
  <si>
    <t>E04332</t>
  </si>
  <si>
    <t>Luke Martin</t>
  </si>
  <si>
    <t>Analyst</t>
  </si>
  <si>
    <t>E04533</t>
  </si>
  <si>
    <t>Easton Bailey</t>
  </si>
  <si>
    <t>Accounting</t>
  </si>
  <si>
    <t>E03838</t>
  </si>
  <si>
    <t>Madeline Walker</t>
  </si>
  <si>
    <t>E00591</t>
  </si>
  <si>
    <t>Savannah Ali</t>
  </si>
  <si>
    <t>Human Resources</t>
  </si>
  <si>
    <t>E03344</t>
  </si>
  <si>
    <t>Camila Rogers</t>
  </si>
  <si>
    <t>Controls Engineer</t>
  </si>
  <si>
    <t>Engineering</t>
  </si>
  <si>
    <t>E00530</t>
  </si>
  <si>
    <t>Eli Jones</t>
  </si>
  <si>
    <t>udupi</t>
  </si>
  <si>
    <t>manglore</t>
  </si>
  <si>
    <t>banglore</t>
  </si>
  <si>
    <t>ahmedabad</t>
  </si>
  <si>
    <t>mumbai</t>
  </si>
  <si>
    <t>hydderabad</t>
  </si>
  <si>
    <t>surat</t>
  </si>
  <si>
    <t>bhopal</t>
  </si>
  <si>
    <t>vadodara</t>
  </si>
  <si>
    <t>indore</t>
  </si>
  <si>
    <t>NAMED RANGE()</t>
  </si>
  <si>
    <t>Experience</t>
  </si>
  <si>
    <t>DYNAMIC NAMED RANGE()</t>
  </si>
  <si>
    <t>DATA VALIDATION() WITH INPUT MESSAGE AND ERROR ALERT</t>
  </si>
  <si>
    <t>CONDITINAL FORMATTING() WITH DATA VALIDATION()</t>
  </si>
  <si>
    <t>&gt;50994</t>
  </si>
  <si>
    <t>ADVANCED FILTER TABLE OF LADIES WORKING IN IT WHOSE SALARY&gt;50994</t>
  </si>
  <si>
    <t>CRITERIA FOR ADVANCED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</si>
</sst>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m/d/yy;@"/>
    <numFmt numFmtId="165" formatCode="[$-F800]dddd\,\ mmmm\ dd\,\ yyyy"/>
    <numFmt numFmtId="166" formatCode="mm/dd/yyyy"/>
    <numFmt numFmtId="167" formatCode="\+\9\1\ 0000000000"/>
    <numFmt numFmtId="168" formatCode="&quot;$&quot;#,##0.00"/>
    <numFmt numFmtId="169" formatCode="[$-F400]h:mm:ss\ AM/PM"/>
    <numFmt numFmtId="170" formatCode="[&lt;=9999999]###\-####;\(###\)\ ###\-####"/>
    <numFmt numFmtId="171" formatCode="&quot;$&quot;#,##0_);\(&quot;$&quot;#,##0\);&quot;$&quot;0_)"/>
  </numFmts>
  <fonts count="14" x14ac:knownFonts="1">
    <font>
      <sz val="11"/>
      <color theme="1"/>
      <name val="Calibri"/>
      <family val="2"/>
      <scheme val="minor"/>
    </font>
    <font>
      <sz val="11"/>
      <color rgb="FF006100"/>
      <name val="Calibri"/>
      <family val="2"/>
      <scheme val="minor"/>
    </font>
    <font>
      <sz val="11"/>
      <color rgb="FF9C5700"/>
      <name val="Calibri"/>
      <family val="2"/>
      <scheme val="minor"/>
    </font>
    <font>
      <sz val="12"/>
      <color theme="1"/>
      <name val="Times New Roman"/>
      <family val="1"/>
    </font>
    <font>
      <b/>
      <sz val="14"/>
      <color rgb="FF9C5700"/>
      <name val="Times New Roman"/>
      <family val="1"/>
    </font>
    <font>
      <b/>
      <sz val="18"/>
      <color rgb="FF006100"/>
      <name val="Times New Roman"/>
      <family val="1"/>
    </font>
    <font>
      <sz val="8"/>
      <name val="Calibri"/>
      <family val="2"/>
      <scheme val="minor"/>
    </font>
    <font>
      <sz val="18"/>
      <color rgb="FFFF0000"/>
      <name val="Times New Roman"/>
      <family val="1"/>
    </font>
    <font>
      <b/>
      <sz val="11"/>
      <color rgb="FFFF0000"/>
      <name val="Times New Roman"/>
      <family val="1"/>
    </font>
    <font>
      <sz val="12"/>
      <color rgb="FFFF0000"/>
      <name val="Times New Roman"/>
      <family val="1"/>
    </font>
    <font>
      <sz val="18"/>
      <color rgb="FF006100"/>
      <name val="Times New Roman"/>
      <family val="1"/>
    </font>
    <font>
      <sz val="16"/>
      <color theme="1"/>
      <name val="Calibri"/>
      <family val="2"/>
      <scheme val="minor"/>
    </font>
    <font>
      <b/>
      <sz val="11"/>
      <color theme="1"/>
      <name val="Calibri"/>
      <family val="2"/>
      <scheme val="minor"/>
    </font>
    <font>
      <b/>
      <sz val="11"/>
      <color rgb="FFFFFFFF"/>
      <name val="Calibri"/>
      <family val="2"/>
      <scheme val="minor"/>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8"/>
        <bgColor indexed="64"/>
      </patternFill>
    </fill>
    <fill>
      <patternFill patternType="solid">
        <fgColor theme="3" tint="0.59999389629810485"/>
        <bgColor indexed="64"/>
      </patternFill>
    </fill>
    <fill>
      <patternFill patternType="solid">
        <fgColor rgb="FFFFFF00"/>
        <bgColor indexed="64"/>
      </patternFill>
    </fill>
    <fill>
      <patternFill patternType="solid">
        <fgColor rgb="FF3DB182"/>
        <bgColor indexed="64"/>
      </patternFill>
    </fill>
  </fills>
  <borders count="4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9"/>
      </left>
      <right style="medium">
        <color rgb="FFFFFFFF"/>
      </right>
      <top style="thin">
        <color theme="9"/>
      </top>
      <bottom/>
      <diagonal/>
    </border>
    <border>
      <left style="medium">
        <color rgb="FFFFFFFF"/>
      </left>
      <right style="medium">
        <color rgb="FFFFFFFF"/>
      </right>
      <top style="thin">
        <color theme="9"/>
      </top>
      <bottom/>
      <diagonal/>
    </border>
    <border>
      <left style="thin">
        <color theme="9"/>
      </left>
      <right/>
      <top style="thin">
        <color theme="9"/>
      </top>
      <bottom/>
      <diagonal/>
    </border>
    <border>
      <left/>
      <right/>
      <top style="thin">
        <color theme="9"/>
      </top>
      <bottom/>
      <diagonal/>
    </border>
    <border>
      <left/>
      <right/>
      <top/>
      <bottom style="thin">
        <color theme="9"/>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61">
    <xf numFmtId="0" fontId="0" fillId="0" borderId="0" xfId="0"/>
    <xf numFmtId="0" fontId="3" fillId="4" borderId="4" xfId="0" applyFont="1" applyFill="1" applyBorder="1"/>
    <xf numFmtId="0" fontId="3" fillId="4" borderId="5" xfId="0" applyFont="1" applyFill="1" applyBorder="1" applyAlignment="1">
      <alignment wrapText="1"/>
    </xf>
    <xf numFmtId="0" fontId="3" fillId="4" borderId="5" xfId="0" applyFont="1" applyFill="1" applyBorder="1"/>
    <xf numFmtId="0" fontId="4" fillId="3" borderId="2" xfId="2" applyFont="1" applyBorder="1" applyAlignment="1">
      <alignment horizontal="center"/>
    </xf>
    <xf numFmtId="0" fontId="4" fillId="3" borderId="1" xfId="2" applyFont="1" applyBorder="1" applyAlignment="1">
      <alignment horizontal="center"/>
    </xf>
    <xf numFmtId="0" fontId="3" fillId="4" borderId="6" xfId="0" applyFont="1" applyFill="1" applyBorder="1"/>
    <xf numFmtId="0" fontId="3" fillId="4" borderId="7" xfId="0" applyFont="1" applyFill="1" applyBorder="1" applyAlignment="1">
      <alignment horizontal="left"/>
    </xf>
    <xf numFmtId="0" fontId="3" fillId="4" borderId="8" xfId="0" applyFont="1" applyFill="1" applyBorder="1" applyAlignment="1">
      <alignment horizontal="left"/>
    </xf>
    <xf numFmtId="0" fontId="3" fillId="4" borderId="9" xfId="0" applyFont="1" applyFill="1" applyBorder="1" applyAlignment="1">
      <alignment horizontal="left"/>
    </xf>
    <xf numFmtId="0" fontId="3" fillId="4" borderId="10" xfId="0" applyFont="1" applyFill="1" applyBorder="1" applyAlignment="1">
      <alignment horizontal="left"/>
    </xf>
    <xf numFmtId="0" fontId="3" fillId="4" borderId="11" xfId="0" applyFont="1" applyFill="1" applyBorder="1" applyAlignment="1">
      <alignment horizontal="left"/>
    </xf>
    <xf numFmtId="0" fontId="3" fillId="4" borderId="12" xfId="0" applyFont="1" applyFill="1" applyBorder="1" applyAlignment="1">
      <alignment horizontal="left"/>
    </xf>
    <xf numFmtId="0" fontId="3" fillId="4" borderId="13" xfId="0" applyFont="1" applyFill="1" applyBorder="1" applyAlignment="1">
      <alignment horizontal="left"/>
    </xf>
    <xf numFmtId="0" fontId="0" fillId="0" borderId="4" xfId="0" applyBorder="1"/>
    <xf numFmtId="0" fontId="7" fillId="0" borderId="0" xfId="0" applyFont="1"/>
    <xf numFmtId="14" fontId="0" fillId="0" borderId="4" xfId="0" applyNumberFormat="1" applyBorder="1"/>
    <xf numFmtId="0" fontId="8"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4" fillId="3" borderId="4" xfId="2" applyFont="1" applyBorder="1" applyAlignment="1">
      <alignment horizontal="center"/>
    </xf>
    <xf numFmtId="0" fontId="0" fillId="0" borderId="1" xfId="0" applyBorder="1"/>
    <xf numFmtId="0" fontId="5" fillId="2" borderId="16" xfId="1" applyFont="1" applyBorder="1" applyAlignment="1">
      <alignment horizontal="center"/>
    </xf>
    <xf numFmtId="0" fontId="5" fillId="2" borderId="17" xfId="1" applyFont="1" applyBorder="1" applyAlignment="1">
      <alignment horizontal="center"/>
    </xf>
    <xf numFmtId="0" fontId="5" fillId="2" borderId="18" xfId="1" applyFont="1" applyBorder="1" applyAlignment="1">
      <alignment horizontal="center"/>
    </xf>
    <xf numFmtId="0" fontId="0" fillId="0" borderId="0" xfId="0" applyAlignment="1">
      <alignment horizontal="center"/>
    </xf>
    <xf numFmtId="14" fontId="0" fillId="0" borderId="0" xfId="0" applyNumberFormat="1"/>
    <xf numFmtId="164" fontId="0" fillId="0" borderId="0" xfId="0" applyNumberFormat="1"/>
    <xf numFmtId="165" fontId="0" fillId="0" borderId="0" xfId="0" applyNumberFormat="1"/>
    <xf numFmtId="2" fontId="0" fillId="0" borderId="0" xfId="0" applyNumberFormat="1"/>
    <xf numFmtId="168" fontId="0" fillId="0" borderId="0" xfId="0" applyNumberFormat="1"/>
    <xf numFmtId="166" fontId="0" fillId="0" borderId="4" xfId="0" applyNumberFormat="1" applyBorder="1"/>
    <xf numFmtId="165" fontId="0" fillId="0" borderId="4" xfId="0" applyNumberFormat="1" applyBorder="1"/>
    <xf numFmtId="167" fontId="0" fillId="0" borderId="4" xfId="0" applyNumberFormat="1" applyBorder="1"/>
    <xf numFmtId="12" fontId="0" fillId="0" borderId="4" xfId="0" applyNumberFormat="1" applyBorder="1"/>
    <xf numFmtId="168" fontId="0" fillId="0" borderId="4" xfId="0" applyNumberFormat="1" applyBorder="1"/>
    <xf numFmtId="10" fontId="0" fillId="0" borderId="4" xfId="0" applyNumberFormat="1" applyBorder="1"/>
    <xf numFmtId="0" fontId="0" fillId="0" borderId="4" xfId="0" applyBorder="1" applyAlignment="1">
      <alignment horizontal="left"/>
    </xf>
    <xf numFmtId="0" fontId="0" fillId="0" borderId="4" xfId="0" applyBorder="1" applyAlignment="1">
      <alignment wrapText="1"/>
    </xf>
    <xf numFmtId="0" fontId="0" fillId="6" borderId="5" xfId="0" applyFill="1" applyBorder="1"/>
    <xf numFmtId="0" fontId="0" fillId="6" borderId="4" xfId="0" applyFill="1" applyBorder="1"/>
    <xf numFmtId="0" fontId="0" fillId="7" borderId="4" xfId="0" applyFill="1" applyBorder="1"/>
    <xf numFmtId="0" fontId="0" fillId="0" borderId="1" xfId="0" applyBorder="1" applyAlignment="1">
      <alignment wrapText="1"/>
    </xf>
    <xf numFmtId="0" fontId="0" fillId="5" borderId="25" xfId="0" applyFill="1" applyBorder="1"/>
    <xf numFmtId="0" fontId="0" fillId="5" borderId="26" xfId="0" applyFill="1" applyBorder="1"/>
    <xf numFmtId="0" fontId="0" fillId="5" borderId="27" xfId="0" applyFill="1" applyBorder="1"/>
    <xf numFmtId="0" fontId="0" fillId="6" borderId="8" xfId="0" applyFill="1" applyBorder="1"/>
    <xf numFmtId="0" fontId="0" fillId="6" borderId="9" xfId="0" applyFill="1" applyBorder="1"/>
    <xf numFmtId="0" fontId="0" fillId="6" borderId="10" xfId="0" applyFill="1" applyBorder="1"/>
    <xf numFmtId="0" fontId="0" fillId="6" borderId="11" xfId="0" applyFill="1" applyBorder="1"/>
    <xf numFmtId="0" fontId="0" fillId="6" borderId="28" xfId="0" applyFill="1" applyBorder="1"/>
    <xf numFmtId="0" fontId="0" fillId="6" borderId="29" xfId="0" applyFill="1" applyBorder="1"/>
    <xf numFmtId="0" fontId="0" fillId="6" borderId="26" xfId="0" applyFill="1" applyBorder="1"/>
    <xf numFmtId="0" fontId="0" fillId="6" borderId="30" xfId="0" applyFill="1" applyBorder="1"/>
    <xf numFmtId="0" fontId="0" fillId="9" borderId="10" xfId="0" applyFill="1" applyBorder="1"/>
    <xf numFmtId="0" fontId="0" fillId="9" borderId="4" xfId="0" applyFill="1" applyBorder="1"/>
    <xf numFmtId="0" fontId="0" fillId="9" borderId="4" xfId="0" applyFill="1" applyBorder="1" applyAlignment="1">
      <alignment wrapText="1"/>
    </xf>
    <xf numFmtId="0" fontId="0" fillId="9" borderId="11" xfId="0" applyFill="1" applyBorder="1" applyAlignment="1">
      <alignment wrapText="1"/>
    </xf>
    <xf numFmtId="0" fontId="12" fillId="0" borderId="0" xfId="0" applyFont="1"/>
    <xf numFmtId="0" fontId="12" fillId="0" borderId="0" xfId="0" applyFont="1" applyAlignment="1">
      <alignment wrapText="1"/>
    </xf>
    <xf numFmtId="0" fontId="0" fillId="0" borderId="5" xfId="0" applyBorder="1"/>
    <xf numFmtId="0" fontId="0" fillId="0" borderId="7" xfId="0" applyBorder="1"/>
    <xf numFmtId="0" fontId="0" fillId="0" borderId="31" xfId="0" applyBorder="1"/>
    <xf numFmtId="0" fontId="0" fillId="0" borderId="32" xfId="0" applyBorder="1"/>
    <xf numFmtId="0" fontId="0" fillId="0" borderId="14" xfId="0" applyBorder="1"/>
    <xf numFmtId="0" fontId="0" fillId="0" borderId="0" xfId="0" applyAlignment="1">
      <alignment wrapText="1"/>
    </xf>
    <xf numFmtId="0" fontId="12" fillId="0" borderId="0" xfId="0" applyFont="1" applyAlignment="1">
      <alignment horizontal="center" wrapText="1"/>
    </xf>
    <xf numFmtId="12" fontId="0" fillId="0" borderId="0" xfId="0" applyNumberFormat="1"/>
    <xf numFmtId="14" fontId="12" fillId="0" borderId="0" xfId="0" applyNumberFormat="1" applyFont="1" applyAlignment="1">
      <alignment horizontal="center" wrapText="1"/>
    </xf>
    <xf numFmtId="165" fontId="0" fillId="0" borderId="4" xfId="0" applyNumberFormat="1" applyBorder="1" applyAlignment="1">
      <alignment horizontal="left"/>
    </xf>
    <xf numFmtId="14" fontId="0" fillId="0" borderId="4" xfId="0" applyNumberFormat="1" applyBorder="1" applyAlignment="1">
      <alignment horizontal="left"/>
    </xf>
    <xf numFmtId="165" fontId="0" fillId="0" borderId="5" xfId="0" applyNumberFormat="1" applyBorder="1" applyAlignment="1">
      <alignment horizontal="left"/>
    </xf>
    <xf numFmtId="14" fontId="0" fillId="0" borderId="5" xfId="0" applyNumberFormat="1" applyBorder="1" applyAlignment="1">
      <alignment horizontal="left"/>
    </xf>
    <xf numFmtId="12" fontId="0" fillId="0" borderId="5" xfId="0" applyNumberFormat="1" applyBorder="1"/>
    <xf numFmtId="0" fontId="0" fillId="0" borderId="29" xfId="0" applyBorder="1"/>
    <xf numFmtId="0" fontId="0" fillId="0" borderId="29" xfId="0" applyBorder="1" applyAlignment="1">
      <alignment wrapText="1"/>
    </xf>
    <xf numFmtId="0" fontId="0" fillId="0" borderId="25" xfId="0" applyBorder="1"/>
    <xf numFmtId="0" fontId="0" fillId="0" borderId="26" xfId="0" applyBorder="1"/>
    <xf numFmtId="0" fontId="0" fillId="0" borderId="26" xfId="0" applyBorder="1" applyAlignment="1">
      <alignment wrapText="1"/>
    </xf>
    <xf numFmtId="165" fontId="0" fillId="0" borderId="26" xfId="0" applyNumberFormat="1" applyBorder="1"/>
    <xf numFmtId="2" fontId="0" fillId="0" borderId="26" xfId="0" applyNumberFormat="1" applyBorder="1"/>
    <xf numFmtId="0" fontId="0" fillId="0" borderId="27" xfId="0" applyBorder="1" applyAlignment="1">
      <alignment wrapText="1"/>
    </xf>
    <xf numFmtId="0" fontId="12" fillId="0" borderId="4" xfId="0" applyFont="1" applyBorder="1"/>
    <xf numFmtId="0" fontId="12" fillId="0" borderId="31" xfId="0" applyFont="1" applyBorder="1"/>
    <xf numFmtId="0" fontId="12" fillId="0" borderId="31" xfId="0" applyFont="1" applyBorder="1" applyAlignment="1">
      <alignment horizontal="center"/>
    </xf>
    <xf numFmtId="0" fontId="12" fillId="0" borderId="31" xfId="0" applyFont="1" applyBorder="1" applyAlignment="1">
      <alignment wrapText="1"/>
    </xf>
    <xf numFmtId="0" fontId="12" fillId="0" borderId="32" xfId="0" applyFont="1" applyBorder="1" applyAlignment="1">
      <alignment wrapText="1"/>
    </xf>
    <xf numFmtId="14" fontId="12" fillId="0" borderId="4" xfId="0" applyNumberFormat="1" applyFont="1" applyBorder="1" applyAlignment="1">
      <alignment horizontal="center" wrapText="1"/>
    </xf>
    <xf numFmtId="0" fontId="12" fillId="0" borderId="4" xfId="0" applyFont="1" applyBorder="1" applyAlignment="1">
      <alignment horizontal="center" wrapText="1"/>
    </xf>
    <xf numFmtId="0" fontId="12" fillId="0" borderId="33" xfId="0" applyFont="1" applyBorder="1"/>
    <xf numFmtId="0" fontId="12" fillId="0" borderId="34" xfId="0" applyFont="1" applyBorder="1"/>
    <xf numFmtId="14" fontId="0" fillId="0" borderId="34" xfId="0" applyNumberFormat="1" applyBorder="1" applyAlignment="1">
      <alignment wrapText="1"/>
    </xf>
    <xf numFmtId="12" fontId="0" fillId="0" borderId="34" xfId="0" applyNumberFormat="1" applyBorder="1"/>
    <xf numFmtId="0" fontId="0" fillId="0" borderId="34" xfId="0" applyBorder="1"/>
    <xf numFmtId="0" fontId="0" fillId="0" borderId="35" xfId="0" applyBorder="1"/>
    <xf numFmtId="0" fontId="0" fillId="0" borderId="11" xfId="0" applyBorder="1"/>
    <xf numFmtId="0" fontId="12" fillId="0" borderId="10" xfId="0" applyFont="1" applyBorder="1"/>
    <xf numFmtId="14" fontId="0" fillId="0" borderId="11" xfId="0" applyNumberFormat="1" applyBorder="1"/>
    <xf numFmtId="0" fontId="12" fillId="0" borderId="28" xfId="0" applyFont="1" applyBorder="1"/>
    <xf numFmtId="0" fontId="12" fillId="0" borderId="29" xfId="0" applyFont="1" applyBorder="1"/>
    <xf numFmtId="0" fontId="0" fillId="0" borderId="30" xfId="0" applyBorder="1"/>
    <xf numFmtId="2" fontId="0" fillId="0" borderId="5" xfId="0" applyNumberFormat="1" applyBorder="1" applyAlignment="1">
      <alignment horizontal="left"/>
    </xf>
    <xf numFmtId="2" fontId="0" fillId="0" borderId="4" xfId="0" applyNumberFormat="1" applyBorder="1" applyAlignment="1">
      <alignment horizontal="left"/>
    </xf>
    <xf numFmtId="49" fontId="0" fillId="0" borderId="5" xfId="0" applyNumberFormat="1" applyBorder="1" applyAlignment="1">
      <alignment horizontal="left"/>
    </xf>
    <xf numFmtId="49" fontId="0" fillId="0" borderId="4" xfId="0" applyNumberFormat="1" applyBorder="1" applyAlignment="1">
      <alignment horizontal="left"/>
    </xf>
    <xf numFmtId="0" fontId="0" fillId="0" borderId="5" xfId="0" applyBorder="1" applyAlignment="1">
      <alignment horizontal="left"/>
    </xf>
    <xf numFmtId="15" fontId="0" fillId="0" borderId="0" xfId="0" applyNumberFormat="1"/>
    <xf numFmtId="170" fontId="0" fillId="0" borderId="0" xfId="0" applyNumberFormat="1"/>
    <xf numFmtId="169" fontId="0" fillId="0" borderId="4" xfId="0" applyNumberFormat="1" applyBorder="1" applyAlignment="1">
      <alignment horizontal="left"/>
    </xf>
    <xf numFmtId="14" fontId="0" fillId="0" borderId="5" xfId="0" applyNumberFormat="1" applyBorder="1"/>
    <xf numFmtId="169" fontId="0" fillId="0" borderId="5" xfId="0" applyNumberFormat="1" applyBorder="1" applyAlignment="1">
      <alignment horizontal="left"/>
    </xf>
    <xf numFmtId="0" fontId="12" fillId="10" borderId="0" xfId="0" applyFont="1" applyFill="1"/>
    <xf numFmtId="0" fontId="0" fillId="10" borderId="7" xfId="0" applyFill="1" applyBorder="1" applyAlignment="1">
      <alignment wrapText="1"/>
    </xf>
    <xf numFmtId="0" fontId="0" fillId="10" borderId="31" xfId="0" applyFill="1" applyBorder="1" applyAlignment="1">
      <alignment wrapText="1"/>
    </xf>
    <xf numFmtId="0" fontId="0" fillId="10" borderId="31" xfId="0" applyFill="1" applyBorder="1"/>
    <xf numFmtId="12" fontId="0" fillId="10" borderId="31" xfId="0" applyNumberFormat="1" applyFill="1" applyBorder="1" applyAlignment="1">
      <alignment wrapText="1"/>
    </xf>
    <xf numFmtId="2" fontId="0" fillId="10" borderId="31" xfId="0" applyNumberFormat="1" applyFill="1" applyBorder="1" applyAlignment="1">
      <alignment wrapText="1"/>
    </xf>
    <xf numFmtId="0" fontId="0" fillId="10" borderId="32" xfId="0" applyFill="1" applyBorder="1" applyAlignment="1">
      <alignment wrapText="1"/>
    </xf>
    <xf numFmtId="0" fontId="12" fillId="10" borderId="0" xfId="0" applyFont="1" applyFill="1" applyAlignment="1">
      <alignment wrapText="1"/>
    </xf>
    <xf numFmtId="0" fontId="0" fillId="10" borderId="0" xfId="0" applyFill="1"/>
    <xf numFmtId="0" fontId="0" fillId="0" borderId="38" xfId="0" applyBorder="1"/>
    <xf numFmtId="0" fontId="0" fillId="0" borderId="39" xfId="0" applyBorder="1"/>
    <xf numFmtId="0" fontId="13" fillId="11" borderId="36" xfId="0" applyFont="1" applyFill="1" applyBorder="1" applyAlignment="1">
      <alignment horizontal="left"/>
    </xf>
    <xf numFmtId="0" fontId="13" fillId="11" borderId="37" xfId="0" applyFont="1" applyFill="1" applyBorder="1" applyAlignment="1">
      <alignment horizontal="left"/>
    </xf>
    <xf numFmtId="14" fontId="0" fillId="0" borderId="39" xfId="0" applyNumberFormat="1" applyBorder="1"/>
    <xf numFmtId="171" fontId="0" fillId="0" borderId="39" xfId="0" applyNumberFormat="1" applyBorder="1"/>
    <xf numFmtId="171" fontId="0" fillId="0" borderId="0" xfId="0" applyNumberFormat="1"/>
    <xf numFmtId="0" fontId="13" fillId="11" borderId="37" xfId="0" applyFont="1" applyFill="1" applyBorder="1" applyAlignment="1">
      <alignment horizontal="left" wrapText="1"/>
    </xf>
    <xf numFmtId="0" fontId="3" fillId="4" borderId="14" xfId="0" applyFont="1" applyFill="1" applyBorder="1" applyAlignment="1">
      <alignment horizontal="right" indent="1"/>
    </xf>
    <xf numFmtId="0" fontId="3" fillId="4" borderId="3" xfId="0" applyFont="1" applyFill="1" applyBorder="1" applyAlignment="1">
      <alignment horizontal="right" indent="1"/>
    </xf>
    <xf numFmtId="0" fontId="3" fillId="4" borderId="15" xfId="0" applyFont="1" applyFill="1" applyBorder="1" applyAlignment="1">
      <alignment horizontal="right" indent="1"/>
    </xf>
    <xf numFmtId="0" fontId="5" fillId="2" borderId="2" xfId="1" applyFont="1" applyBorder="1" applyAlignment="1">
      <alignment horizontal="center"/>
    </xf>
    <xf numFmtId="0" fontId="5" fillId="2" borderId="3" xfId="1" applyFont="1" applyBorder="1" applyAlignment="1">
      <alignment horizontal="center"/>
    </xf>
    <xf numFmtId="0" fontId="5" fillId="2" borderId="15" xfId="1" applyFont="1" applyBorder="1" applyAlignment="1">
      <alignment horizontal="center"/>
    </xf>
    <xf numFmtId="0" fontId="0" fillId="0" borderId="0" xfId="0"/>
    <xf numFmtId="0" fontId="9" fillId="0" borderId="0" xfId="0" applyFont="1"/>
    <xf numFmtId="0" fontId="10" fillId="2" borderId="2" xfId="1" applyFont="1" applyBorder="1" applyAlignment="1">
      <alignment horizontal="center"/>
    </xf>
    <xf numFmtId="0" fontId="1" fillId="2" borderId="3" xfId="1" applyBorder="1" applyAlignment="1">
      <alignment horizontal="center"/>
    </xf>
    <xf numFmtId="0" fontId="1" fillId="2" borderId="15" xfId="1" applyBorder="1" applyAlignment="1">
      <alignment horizontal="center"/>
    </xf>
    <xf numFmtId="0" fontId="11" fillId="0" borderId="0" xfId="0" applyFont="1" applyAlignment="1">
      <alignment horizontal="center"/>
    </xf>
    <xf numFmtId="0" fontId="0" fillId="0" borderId="4" xfId="0" applyBorder="1" applyAlignment="1">
      <alignment horizontal="center"/>
    </xf>
    <xf numFmtId="0" fontId="0" fillId="7" borderId="4" xfId="0" applyFill="1" applyBorder="1"/>
    <xf numFmtId="0" fontId="0" fillId="0" borderId="23" xfId="0" applyBorder="1" applyAlignment="1">
      <alignment wrapText="1"/>
    </xf>
    <xf numFmtId="0" fontId="0" fillId="0" borderId="24" xfId="0" applyBorder="1" applyAlignment="1">
      <alignment wrapText="1"/>
    </xf>
    <xf numFmtId="0" fontId="0" fillId="8" borderId="16" xfId="0" applyFill="1" applyBorder="1" applyAlignment="1">
      <alignment horizontal="center" vertical="center"/>
    </xf>
    <xf numFmtId="0" fontId="0" fillId="8" borderId="17" xfId="0" applyFill="1" applyBorder="1" applyAlignment="1">
      <alignment horizontal="center" vertical="center"/>
    </xf>
    <xf numFmtId="0" fontId="0" fillId="8" borderId="18" xfId="0" applyFill="1" applyBorder="1" applyAlignment="1">
      <alignment horizontal="center" vertical="center"/>
    </xf>
    <xf numFmtId="0" fontId="12" fillId="0" borderId="0" xfId="0" applyFont="1" applyAlignment="1">
      <alignment horizontal="center" wrapText="1"/>
    </xf>
    <xf numFmtId="0" fontId="0" fillId="0" borderId="0" xfId="0" applyAlignment="1">
      <alignment horizontal="left" vertical="top" wrapText="1"/>
    </xf>
    <xf numFmtId="0" fontId="12" fillId="0" borderId="31" xfId="0" applyFont="1" applyBorder="1" applyAlignment="1">
      <alignment horizontal="center"/>
    </xf>
    <xf numFmtId="0" fontId="12" fillId="0" borderId="10" xfId="0" applyFont="1" applyBorder="1" applyAlignment="1">
      <alignment horizontal="center" wrapText="1"/>
    </xf>
    <xf numFmtId="0" fontId="12" fillId="0" borderId="4" xfId="0" applyFont="1" applyBorder="1" applyAlignment="1">
      <alignment horizontal="center" wrapText="1"/>
    </xf>
    <xf numFmtId="14" fontId="12" fillId="0" borderId="10" xfId="0" applyNumberFormat="1" applyFont="1" applyBorder="1" applyAlignment="1">
      <alignment horizontal="center" wrapText="1"/>
    </xf>
    <xf numFmtId="14" fontId="12" fillId="0" borderId="4" xfId="0" applyNumberFormat="1" applyFont="1" applyBorder="1" applyAlignment="1">
      <alignment horizontal="center" wrapText="1"/>
    </xf>
    <xf numFmtId="22" fontId="0" fillId="0" borderId="0" xfId="0" applyNumberFormat="1"/>
    <xf numFmtId="22" fontId="0" fillId="0" borderId="0" xfId="0" applyNumberFormat="1" applyAlignment="1">
      <alignment horizontal="center"/>
    </xf>
    <xf numFmtId="0" fontId="12" fillId="0" borderId="40" xfId="0" applyFont="1" applyBorder="1" applyAlignment="1">
      <alignment horizontal="center" wrapText="1"/>
    </xf>
    <xf numFmtId="0" fontId="12" fillId="0" borderId="40" xfId="0" applyFont="1" applyBorder="1" applyAlignment="1">
      <alignment horizontal="center"/>
    </xf>
    <xf numFmtId="0" fontId="0" fillId="0" borderId="40" xfId="0" applyBorder="1" applyAlignment="1">
      <alignment horizontal="center"/>
    </xf>
  </cellXfs>
  <cellStyles count="3">
    <cellStyle name="Good" xfId="1" builtinId="26"/>
    <cellStyle name="Neutral" xfId="2" builtinId="28"/>
    <cellStyle name="Normal" xfId="0" builtinId="0"/>
  </cellStyles>
  <dxfs count="34">
    <dxf>
      <font>
        <color theme="1"/>
      </font>
      <fill>
        <patternFill>
          <bgColor theme="8" tint="0.59996337778862885"/>
        </patternFill>
      </fill>
    </dxf>
    <dxf>
      <font>
        <color theme="1"/>
      </font>
      <fill>
        <patternFill>
          <bgColor theme="5" tint="0.79998168889431442"/>
        </patternFill>
      </fill>
    </dxf>
    <dxf>
      <numFmt numFmtId="14"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7" formatCode="#\ ?/?"/>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quot;$&quot;#,##0.00"/>
    </dxf>
    <dxf>
      <numFmt numFmtId="168"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quot;$&quot;#,##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9\1\ 000000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F800]dddd\,\ mmmm\ dd\,\ 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mm/dd/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bottom style="medium">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outline="0">
        <left/>
        <right style="medium">
          <color indexed="64"/>
        </right>
        <top/>
        <bottom style="medium">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right/>
        <top/>
        <bottom style="medium">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right/>
        <top/>
        <bottom style="medium">
          <color indexed="64"/>
        </bottom>
      </border>
    </dxf>
    <dxf>
      <numFmt numFmtId="19" formatCode="m/d/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right/>
        <top/>
        <bottom style="medium">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right/>
        <top/>
        <bottom style="medium">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medium">
          <color indexed="64"/>
        </left>
        <right/>
        <top/>
        <bottom style="medium">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indexed="64"/>
        </top>
      </border>
    </dxf>
    <dxf>
      <border diagonalUp="0" diagonalDown="0">
        <left style="thin">
          <color indexed="64"/>
        </left>
        <right style="thin">
          <color indexed="64"/>
        </right>
        <top/>
        <bottom/>
        <vertical style="thin">
          <color indexed="64"/>
        </vertical>
        <horizontal/>
      </border>
    </dxf>
    <dxf>
      <border outline="0">
        <left style="medium">
          <color indexed="64"/>
        </left>
        <right style="medium">
          <color indexed="64"/>
        </right>
        <top style="medium">
          <color indexed="64"/>
        </top>
        <bottom style="medium">
          <color indexed="64"/>
        </bottom>
      </border>
    </dxf>
    <dxf>
      <border>
        <bottom style="thin">
          <color indexed="64"/>
        </bottom>
      </border>
    </dxf>
    <dxf>
      <font>
        <b/>
        <i val="0"/>
        <strike val="0"/>
        <condense val="0"/>
        <extend val="0"/>
        <outline val="0"/>
        <shadow val="0"/>
        <u val="none"/>
        <vertAlign val="baseline"/>
        <sz val="14"/>
        <color rgb="FF9C5700"/>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2" defaultPivotStyle="PivotStyleLight16">
    <tableStyle name="PivotTable Style 1" table="0" count="0" xr9:uid="{80FE7D7D-357A-4BDF-A004-41C0D0DCA26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12700</xdr:colOff>
      <xdr:row>21</xdr:row>
      <xdr:rowOff>44450</xdr:rowOff>
    </xdr:from>
    <xdr:to>
      <xdr:col>9</xdr:col>
      <xdr:colOff>1346200</xdr:colOff>
      <xdr:row>32</xdr:row>
      <xdr:rowOff>3363</xdr:rowOff>
    </xdr:to>
    <xdr:pic>
      <xdr:nvPicPr>
        <xdr:cNvPr id="3" name="Picture 2">
          <a:extLst>
            <a:ext uri="{FF2B5EF4-FFF2-40B4-BE49-F238E27FC236}">
              <a16:creationId xmlns:a16="http://schemas.microsoft.com/office/drawing/2014/main" id="{586B22AE-7BA4-4026-BF7E-6A3C518C3CC4}"/>
            </a:ext>
          </a:extLst>
        </xdr:cNvPr>
        <xdr:cNvPicPr>
          <a:picLocks noChangeAspect="1"/>
        </xdr:cNvPicPr>
      </xdr:nvPicPr>
      <xdr:blipFill>
        <a:blip xmlns:r="http://schemas.openxmlformats.org/officeDocument/2006/relationships" r:embed="rId1"/>
        <a:stretch>
          <a:fillRect/>
        </a:stretch>
      </xdr:blipFill>
      <xdr:spPr>
        <a:xfrm>
          <a:off x="7747000" y="4191000"/>
          <a:ext cx="1333500" cy="1984563"/>
        </a:xfrm>
        <a:prstGeom prst="rect">
          <a:avLst/>
        </a:prstGeom>
      </xdr:spPr>
    </xdr:pic>
    <xdr:clientData/>
  </xdr:twoCellAnchor>
  <xdr:twoCellAnchor editAs="absolute">
    <xdr:from>
      <xdr:col>7</xdr:col>
      <xdr:colOff>234950</xdr:colOff>
      <xdr:row>21</xdr:row>
      <xdr:rowOff>69851</xdr:rowOff>
    </xdr:from>
    <xdr:to>
      <xdr:col>7</xdr:col>
      <xdr:colOff>234950</xdr:colOff>
      <xdr:row>30</xdr:row>
      <xdr:rowOff>165101</xdr:rowOff>
    </xdr:to>
    <mc:AlternateContent xmlns:mc="http://schemas.openxmlformats.org/markup-compatibility/2006" xmlns:sle15="http://schemas.microsoft.com/office/drawing/2012/slicer">
      <mc:Choice Requires="sle15">
        <xdr:graphicFrame macro="">
          <xdr:nvGraphicFramePr>
            <xdr:cNvPr id="4" name="Rating 1">
              <a:extLst>
                <a:ext uri="{FF2B5EF4-FFF2-40B4-BE49-F238E27FC236}">
                  <a16:creationId xmlns:a16="http://schemas.microsoft.com/office/drawing/2014/main" id="{5C2EEFBF-910B-49CF-85B3-7D9E3C32FAC6}"/>
                </a:ext>
              </a:extLst>
            </xdr:cNvPr>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mlns="">
        <xdr:sp macro="" textlink="">
          <xdr:nvSpPr>
            <xdr:cNvPr id="0" name=""/>
            <xdr:cNvSpPr>
              <a:spLocks noTextEdit="1"/>
            </xdr:cNvSpPr>
          </xdr:nvSpPr>
          <xdr:spPr>
            <a:xfrm>
              <a:off x="6597650" y="4165601"/>
              <a:ext cx="0" cy="1752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19050</xdr:colOff>
      <xdr:row>21</xdr:row>
      <xdr:rowOff>50800</xdr:rowOff>
    </xdr:from>
    <xdr:to>
      <xdr:col>10</xdr:col>
      <xdr:colOff>1041400</xdr:colOff>
      <xdr:row>32</xdr:row>
      <xdr:rowOff>50799</xdr:rowOff>
    </xdr:to>
    <mc:AlternateContent xmlns:mc="http://schemas.openxmlformats.org/markup-compatibility/2006" xmlns:sle15="http://schemas.microsoft.com/office/drawing/2012/slicer">
      <mc:Choice Requires="sle15">
        <xdr:graphicFrame macro="">
          <xdr:nvGraphicFramePr>
            <xdr:cNvPr id="5" name="Price 2">
              <a:extLst>
                <a:ext uri="{FF2B5EF4-FFF2-40B4-BE49-F238E27FC236}">
                  <a16:creationId xmlns:a16="http://schemas.microsoft.com/office/drawing/2014/main" id="{454889F7-C9C6-4576-BBB2-2F3AC22C663C}"/>
                </a:ext>
              </a:extLst>
            </xdr:cNvPr>
            <xdr:cNvGraphicFramePr/>
          </xdr:nvGraphicFramePr>
          <xdr:xfrm>
            <a:off x="0" y="0"/>
            <a:ext cx="0" cy="0"/>
          </xdr:xfrm>
          <a:graphic>
            <a:graphicData uri="http://schemas.microsoft.com/office/drawing/2010/slicer">
              <sle:slicer xmlns:sle="http://schemas.microsoft.com/office/drawing/2010/slicer" name="Price 2"/>
            </a:graphicData>
          </a:graphic>
        </xdr:graphicFrame>
      </mc:Choice>
      <mc:Fallback xmlns="">
        <xdr:sp macro="" textlink="">
          <xdr:nvSpPr>
            <xdr:cNvPr id="0" name=""/>
            <xdr:cNvSpPr>
              <a:spLocks noTextEdit="1"/>
            </xdr:cNvSpPr>
          </xdr:nvSpPr>
          <xdr:spPr>
            <a:xfrm>
              <a:off x="9652000" y="4146550"/>
              <a:ext cx="1022350" cy="202564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19050</xdr:colOff>
      <xdr:row>21</xdr:row>
      <xdr:rowOff>120651</xdr:rowOff>
    </xdr:from>
    <xdr:to>
      <xdr:col>13</xdr:col>
      <xdr:colOff>63500</xdr:colOff>
      <xdr:row>32</xdr:row>
      <xdr:rowOff>158751</xdr:rowOff>
    </xdr:to>
    <mc:AlternateContent xmlns:mc="http://schemas.openxmlformats.org/markup-compatibility/2006" xmlns:sle15="http://schemas.microsoft.com/office/drawing/2012/slicer">
      <mc:Choice Requires="sle15">
        <xdr:graphicFrame macro="">
          <xdr:nvGraphicFramePr>
            <xdr:cNvPr id="6" name="Rating">
              <a:extLst>
                <a:ext uri="{FF2B5EF4-FFF2-40B4-BE49-F238E27FC236}">
                  <a16:creationId xmlns:a16="http://schemas.microsoft.com/office/drawing/2014/main" id="{8BB616E8-0BC4-F0D5-3759-F0B34CD26D0D}"/>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11798300" y="4216401"/>
              <a:ext cx="1117600" cy="20637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25400</xdr:colOff>
      <xdr:row>11</xdr:row>
      <xdr:rowOff>171450</xdr:rowOff>
    </xdr:from>
    <xdr:to>
      <xdr:col>12</xdr:col>
      <xdr:colOff>590550</xdr:colOff>
      <xdr:row>11</xdr:row>
      <xdr:rowOff>177800</xdr:rowOff>
    </xdr:to>
    <xdr:cxnSp macro="">
      <xdr:nvCxnSpPr>
        <xdr:cNvPr id="3" name="Straight Arrow Connector 2">
          <a:extLst>
            <a:ext uri="{FF2B5EF4-FFF2-40B4-BE49-F238E27FC236}">
              <a16:creationId xmlns:a16="http://schemas.microsoft.com/office/drawing/2014/main" id="{CAE7562E-F035-F8A8-CBE8-69F56BB3127C}"/>
            </a:ext>
          </a:extLst>
        </xdr:cNvPr>
        <xdr:cNvCxnSpPr/>
      </xdr:nvCxnSpPr>
      <xdr:spPr>
        <a:xfrm flipV="1">
          <a:off x="8991600" y="2584450"/>
          <a:ext cx="5651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13</xdr:row>
      <xdr:rowOff>165100</xdr:rowOff>
    </xdr:from>
    <xdr:to>
      <xdr:col>12</xdr:col>
      <xdr:colOff>584200</xdr:colOff>
      <xdr:row>13</xdr:row>
      <xdr:rowOff>171450</xdr:rowOff>
    </xdr:to>
    <xdr:cxnSp macro="">
      <xdr:nvCxnSpPr>
        <xdr:cNvPr id="7" name="Straight Arrow Connector 6">
          <a:extLst>
            <a:ext uri="{FF2B5EF4-FFF2-40B4-BE49-F238E27FC236}">
              <a16:creationId xmlns:a16="http://schemas.microsoft.com/office/drawing/2014/main" id="{A30D4D89-1E64-4896-A2F2-0FDD2C2D2D7E}"/>
            </a:ext>
          </a:extLst>
        </xdr:cNvPr>
        <xdr:cNvCxnSpPr/>
      </xdr:nvCxnSpPr>
      <xdr:spPr>
        <a:xfrm flipV="1">
          <a:off x="8985250" y="2952750"/>
          <a:ext cx="5651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8"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8"/>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1" xr10:uid="{657B05A6-45E0-46F3-9DD2-BE0E3953303A}" sourceName="Rating">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1" xr10:uid="{6695961D-69BB-40C0-A365-C456E6FDE09B}" sourceName="Price">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1" xr10:uid="{87F075F0-071C-4BD7-9191-BB7A54ED04BA}" cache="Slicer_Rating1" caption="Rating" rowHeight="241300"/>
  <slicer name="Rating" xr10:uid="{C60B51D3-BD21-44DB-888B-93845E5BC13B}" cache="Slicer_Rating1" caption="Rating" rowHeight="241300"/>
  <slicer name="Price 2" xr10:uid="{2A8A965D-11F9-42EE-AD32-3A6E238CC6FA}" cache="Slicer_Price1" caption="Pric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F94611-2960-433D-A947-ECB64D50A600}" name="TABLE2" displayName="TABLE2" ref="I7:O14" totalsRowCount="1" headerRowDxfId="33" totalsRowDxfId="30" headerRowBorderDxfId="32" tableBorderDxfId="31" totalsRowBorderDxfId="29" headerRowCellStyle="Neutral" dataCellStyle="Normal">
  <autoFilter ref="I7:O13" xr:uid="{5EF94611-2960-433D-A947-ECB64D50A600}">
    <filterColumn colId="6">
      <filters>
        <filter val="16"/>
        <filter val="35"/>
        <filter val="42"/>
        <filter val="79"/>
      </filters>
    </filterColumn>
  </autoFilter>
  <tableColumns count="7">
    <tableColumn id="1" xr3:uid="{DBCE33E0-7B25-482A-8D33-3AE7CDDAE834}" name="No." totalsRowLabel="Total" dataDxfId="28" totalsRowDxfId="27" dataCellStyle="Normal"/>
    <tableColumn id="2" xr3:uid="{CB952F2F-DE3C-4A2E-83CA-604C6C0D1C0D}" name="Book" dataDxfId="26" totalsRowDxfId="25" dataCellStyle="Normal"/>
    <tableColumn id="5" xr3:uid="{733676EA-1A92-4B86-884D-83DCF2C9B500}" name="Date" dataDxfId="24" totalsRowDxfId="23"/>
    <tableColumn id="6" xr3:uid="{99FD80C7-8CB6-4A28-8E2B-6D1CB69BFCB3}" name="Author" dataDxfId="22" totalsRowDxfId="21"/>
    <tableColumn id="3" xr3:uid="{515BF196-43D1-422E-A5C5-5E9F8C15B0F6}" name="Surname" dataDxfId="20" totalsRowDxfId="19" dataCellStyle="Normal"/>
    <tableColumn id="7" xr3:uid="{F55C40FE-D72F-4548-8D38-8A1B90963BF7}" name="Rating" dataDxfId="18" totalsRowDxfId="17" dataCellStyle="Normal"/>
    <tableColumn id="4" xr3:uid="{05CF5CAE-7C04-4564-B1FE-BCB696E8C794}" name="Price" totalsRowFunction="sum" dataDxfId="16" totalsRowDxfId="15" dataCellStyle="Normal"/>
  </tableColumns>
  <tableStyleInfo name="TableStyleDark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D79BB0-CBD8-47AD-95DB-F749576BCDAB}" name="Table3" displayName="Table3" ref="B6:K14" totalsRowCount="1" headerRowDxfId="14" headerRowBorderDxfId="13">
  <autoFilter ref="B6:K13" xr:uid="{E4D79BB0-CBD8-47AD-95DB-F749576BCDAB}"/>
  <tableColumns count="10">
    <tableColumn id="1" xr3:uid="{728B05FE-08DF-4622-985B-20F31E279672}" name="ITEM" totalsRowLabel="Total" dataDxfId="12"/>
    <tableColumn id="2" xr3:uid="{55587834-C14E-4522-9896-F650CD5D0152}" name="Short Date" dataDxfId="11"/>
    <tableColumn id="3" xr3:uid="{62388C02-B920-4C51-B33E-A395A9AE8FA8}" name="Long Date" dataDxfId="10"/>
    <tableColumn id="7" xr3:uid="{4431F225-E419-4A37-A112-5D204A6E3C86}" name="Phone_no" dataDxfId="9"/>
    <tableColumn id="4" xr3:uid="{77B4C544-191E-43B7-B630-F6ED53044AF1}" name="Qty" dataDxfId="8"/>
    <tableColumn id="5" xr3:uid="{BD5151D2-FEBF-4BE5-B6DE-A6C996E32C20}" name="Cost/Unit" dataDxfId="7"/>
    <tableColumn id="6" xr3:uid="{BD0E3580-3C59-4EB4-BC9F-99DD81A4EF24}" name="SubTotal" totalsRowFunction="sum" dataDxfId="6" totalsRowDxfId="5">
      <calculatedColumnFormula>F7*G7</calculatedColumnFormula>
    </tableColumn>
    <tableColumn id="8" xr3:uid="{6A560C6B-C4A7-4DAB-9D53-C17D8B6F8761}" name="IN/OUT  Of Budget" dataDxfId="4">
      <calculatedColumnFormula>IF((AND(H7&lt;=90,G7&lt;50)),TRUE(),FALSE())</calculatedColumnFormula>
    </tableColumn>
    <tableColumn id="9" xr3:uid="{509F7F2A-623F-4E92-BF89-6B8D3DE5E0C2}" name="Expenditure Summary" dataDxfId="3">
      <calculatedColumnFormula>IFERROR((H7*100)/($H$14*100),"DIV ERROR")</calculatedColumnFormula>
    </tableColumn>
    <tableColumn id="10" xr3:uid="{96ECE02F-3100-4ADE-AC4D-A240E8931B40}" name="Odd/Even SubTotal" dataDxfId="2">
      <calculatedColumnFormula>ISEVEN(G7)</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C6A6-7316-4B7D-8808-187B42F05EEE}">
  <dimension ref="B2:O21"/>
  <sheetViews>
    <sheetView topLeftCell="A9" workbookViewId="0">
      <selection activeCell="B11" sqref="B11:E11"/>
    </sheetView>
  </sheetViews>
  <sheetFormatPr defaultRowHeight="14.5" x14ac:dyDescent="0.35"/>
  <cols>
    <col min="1" max="1" width="6.1796875" customWidth="1"/>
    <col min="2" max="2" width="10.6328125" customWidth="1"/>
    <col min="3" max="3" width="27.7265625" customWidth="1"/>
    <col min="4" max="4" width="15.6328125" customWidth="1"/>
    <col min="5" max="5" width="13.453125" customWidth="1"/>
    <col min="9" max="9" width="10.90625" customWidth="1"/>
    <col min="10" max="10" width="27.1796875" customWidth="1"/>
    <col min="11" max="13" width="15.36328125" customWidth="1"/>
    <col min="14" max="14" width="13.08984375" customWidth="1"/>
    <col min="15" max="15" width="11.81640625" customWidth="1"/>
  </cols>
  <sheetData>
    <row r="2" spans="2:15" ht="15.5" x14ac:dyDescent="0.35">
      <c r="B2" s="137" t="s">
        <v>35</v>
      </c>
      <c r="C2" s="137"/>
      <c r="D2" s="137"/>
      <c r="E2" s="137"/>
      <c r="F2" s="137"/>
      <c r="G2" s="137"/>
      <c r="H2" s="137"/>
      <c r="I2" s="137"/>
      <c r="J2" s="137"/>
    </row>
    <row r="10" spans="2:15" ht="15" thickBot="1" x14ac:dyDescent="0.4">
      <c r="G10" t="s">
        <v>24</v>
      </c>
    </row>
    <row r="11" spans="2:15" ht="23.5" customHeight="1" thickBot="1" x14ac:dyDescent="0.5">
      <c r="B11" s="133" t="s">
        <v>36</v>
      </c>
      <c r="C11" s="134"/>
      <c r="D11" s="134"/>
      <c r="E11" s="135"/>
      <c r="I11" s="136"/>
      <c r="J11" s="136"/>
      <c r="K11" s="136"/>
      <c r="L11" s="136"/>
      <c r="M11" s="136"/>
      <c r="N11" s="136"/>
      <c r="O11" s="136"/>
    </row>
    <row r="12" spans="2:15" ht="18" thickBot="1" x14ac:dyDescent="0.4">
      <c r="B12" s="4" t="s">
        <v>0</v>
      </c>
      <c r="C12" s="5" t="s">
        <v>1</v>
      </c>
      <c r="D12" s="5" t="s">
        <v>2</v>
      </c>
      <c r="E12" s="5" t="s">
        <v>3</v>
      </c>
    </row>
    <row r="13" spans="2:15" ht="14.5" customHeight="1" x14ac:dyDescent="0.35">
      <c r="B13" s="8">
        <v>1</v>
      </c>
      <c r="C13" s="2" t="s">
        <v>4</v>
      </c>
      <c r="D13" s="3" t="s">
        <v>5</v>
      </c>
      <c r="E13" s="9">
        <v>79</v>
      </c>
    </row>
    <row r="14" spans="2:15" ht="15.5" x14ac:dyDescent="0.35">
      <c r="B14" s="10">
        <v>2</v>
      </c>
      <c r="C14" s="1" t="s">
        <v>7</v>
      </c>
      <c r="D14" s="1" t="s">
        <v>6</v>
      </c>
      <c r="E14" s="11">
        <v>36</v>
      </c>
    </row>
    <row r="15" spans="2:15" ht="17" customHeight="1" x14ac:dyDescent="0.5">
      <c r="B15" s="10">
        <v>3</v>
      </c>
      <c r="C15" s="1" t="s">
        <v>8</v>
      </c>
      <c r="D15" s="1" t="s">
        <v>10</v>
      </c>
      <c r="E15" s="11">
        <v>42</v>
      </c>
      <c r="G15" s="15"/>
    </row>
    <row r="16" spans="2:15" ht="15.5" x14ac:dyDescent="0.35">
      <c r="B16" s="10">
        <v>4</v>
      </c>
      <c r="C16" s="1" t="s">
        <v>9</v>
      </c>
      <c r="D16" s="1" t="s">
        <v>11</v>
      </c>
      <c r="E16" s="11">
        <v>35</v>
      </c>
    </row>
    <row r="17" spans="2:13" ht="16" thickBot="1" x14ac:dyDescent="0.4">
      <c r="B17" s="12">
        <v>5</v>
      </c>
      <c r="C17" s="6" t="s">
        <v>12</v>
      </c>
      <c r="D17" s="6" t="s">
        <v>13</v>
      </c>
      <c r="E17" s="13">
        <v>16</v>
      </c>
    </row>
    <row r="18" spans="2:13" ht="16" thickBot="1" x14ac:dyDescent="0.4">
      <c r="B18" s="7" t="s">
        <v>14</v>
      </c>
      <c r="C18" s="130">
        <f>SUM(E13:E17)</f>
        <v>208</v>
      </c>
      <c r="D18" s="131"/>
      <c r="E18" s="132"/>
    </row>
    <row r="21" spans="2:13" x14ac:dyDescent="0.35">
      <c r="J21" s="17"/>
      <c r="K21" s="17"/>
      <c r="L21" s="17"/>
      <c r="M21" s="17" t="s">
        <v>34</v>
      </c>
    </row>
  </sheetData>
  <mergeCells count="4">
    <mergeCell ref="C18:E18"/>
    <mergeCell ref="B11:E11"/>
    <mergeCell ref="I11:O11"/>
    <mergeCell ref="B2:J2"/>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080A9-1015-45CC-9CF6-E878C302392B}">
  <sheetPr>
    <tabColor rgb="FFFF0000"/>
  </sheetPr>
  <dimension ref="B2:O21"/>
  <sheetViews>
    <sheetView workbookViewId="0">
      <pane xSplit="8" ySplit="7" topLeftCell="I10" activePane="bottomRight" state="frozen"/>
      <selection pane="topRight" activeCell="I1" sqref="I1"/>
      <selection pane="bottomLeft" activeCell="A8" sqref="A8"/>
      <selection pane="bottomRight" activeCell="D21" sqref="D21"/>
    </sheetView>
  </sheetViews>
  <sheetFormatPr defaultRowHeight="14.5" x14ac:dyDescent="0.35"/>
  <cols>
    <col min="1" max="1" width="6.1796875" customWidth="1"/>
    <col min="2" max="2" width="10.6328125" customWidth="1"/>
    <col min="3" max="3" width="27.7265625" customWidth="1"/>
    <col min="4" max="4" width="15.6328125" customWidth="1"/>
    <col min="5" max="5" width="13.453125" customWidth="1"/>
    <col min="9" max="9" width="10.90625" customWidth="1"/>
    <col min="10" max="10" width="27.1796875" customWidth="1"/>
    <col min="11" max="13" width="15.36328125" customWidth="1"/>
    <col min="14" max="14" width="13.08984375" customWidth="1"/>
    <col min="15" max="15" width="11.81640625" customWidth="1"/>
  </cols>
  <sheetData>
    <row r="2" spans="2:15" ht="15.5" x14ac:dyDescent="0.35">
      <c r="B2" s="137" t="s">
        <v>35</v>
      </c>
      <c r="C2" s="137"/>
      <c r="D2" s="137"/>
      <c r="E2" s="137"/>
      <c r="F2" s="137"/>
      <c r="G2" s="137"/>
      <c r="H2" s="137"/>
      <c r="I2" s="137"/>
      <c r="J2" s="137"/>
    </row>
    <row r="5" spans="2:15" ht="15" thickBot="1" x14ac:dyDescent="0.4">
      <c r="G5" t="s">
        <v>24</v>
      </c>
    </row>
    <row r="6" spans="2:15" ht="23.5" thickBot="1" x14ac:dyDescent="0.55000000000000004">
      <c r="B6" s="138" t="s">
        <v>38</v>
      </c>
      <c r="C6" s="139"/>
      <c r="D6" s="139"/>
      <c r="E6" s="140"/>
      <c r="F6" s="27"/>
      <c r="I6" s="24"/>
      <c r="J6" s="25"/>
      <c r="K6" s="25"/>
      <c r="L6" s="25" t="s">
        <v>37</v>
      </c>
      <c r="M6" s="25"/>
      <c r="N6" s="25"/>
      <c r="O6" s="26"/>
    </row>
    <row r="7" spans="2:15" ht="18" thickBot="1" x14ac:dyDescent="0.4">
      <c r="B7" s="4" t="s">
        <v>0</v>
      </c>
      <c r="C7" s="5" t="s">
        <v>1</v>
      </c>
      <c r="D7" s="5" t="s">
        <v>2</v>
      </c>
      <c r="E7" s="5" t="s">
        <v>3</v>
      </c>
      <c r="I7" s="22" t="s">
        <v>0</v>
      </c>
      <c r="J7" s="22" t="s">
        <v>1</v>
      </c>
      <c r="K7" s="22" t="s">
        <v>19</v>
      </c>
      <c r="L7" s="22" t="s">
        <v>2</v>
      </c>
      <c r="M7" s="22" t="s">
        <v>20</v>
      </c>
      <c r="N7" s="22" t="s">
        <v>25</v>
      </c>
      <c r="O7" s="22" t="s">
        <v>3</v>
      </c>
    </row>
    <row r="8" spans="2:15" ht="15.5" x14ac:dyDescent="0.35">
      <c r="B8" s="8">
        <v>1</v>
      </c>
      <c r="C8" s="2" t="s">
        <v>4</v>
      </c>
      <c r="D8" s="3" t="s">
        <v>5</v>
      </c>
      <c r="E8" s="9">
        <v>79</v>
      </c>
      <c r="I8" s="14">
        <v>1</v>
      </c>
      <c r="J8" s="14" t="s">
        <v>4</v>
      </c>
      <c r="K8" s="16">
        <v>45115</v>
      </c>
      <c r="L8" s="14" t="s">
        <v>5</v>
      </c>
      <c r="M8" s="14" t="s">
        <v>21</v>
      </c>
      <c r="N8" s="14" t="s">
        <v>26</v>
      </c>
      <c r="O8" s="14">
        <v>79</v>
      </c>
    </row>
    <row r="9" spans="2:15" ht="15.5" hidden="1" x14ac:dyDescent="0.35">
      <c r="B9" s="10">
        <v>2</v>
      </c>
      <c r="C9" s="1" t="s">
        <v>7</v>
      </c>
      <c r="D9" s="1" t="s">
        <v>6</v>
      </c>
      <c r="E9" s="11">
        <v>36</v>
      </c>
      <c r="I9" s="14">
        <v>2</v>
      </c>
      <c r="J9" s="14" t="s">
        <v>7</v>
      </c>
      <c r="K9" s="16">
        <v>45116</v>
      </c>
      <c r="L9" s="14" t="s">
        <v>6</v>
      </c>
      <c r="M9" s="14" t="s">
        <v>27</v>
      </c>
      <c r="N9" s="14" t="s">
        <v>22</v>
      </c>
      <c r="O9" s="14">
        <v>36</v>
      </c>
    </row>
    <row r="10" spans="2:15" ht="23" x14ac:dyDescent="0.5">
      <c r="B10" s="10">
        <v>3</v>
      </c>
      <c r="C10" s="1" t="s">
        <v>8</v>
      </c>
      <c r="D10" s="1" t="s">
        <v>10</v>
      </c>
      <c r="E10" s="11">
        <v>42</v>
      </c>
      <c r="G10" s="15" t="s">
        <v>15</v>
      </c>
      <c r="I10" s="14">
        <v>3</v>
      </c>
      <c r="J10" s="14" t="s">
        <v>8</v>
      </c>
      <c r="K10" s="16">
        <v>45117</v>
      </c>
      <c r="L10" s="14" t="s">
        <v>10</v>
      </c>
      <c r="M10" s="14" t="s">
        <v>28</v>
      </c>
      <c r="N10" s="14" t="s">
        <v>22</v>
      </c>
      <c r="O10" s="14">
        <v>42</v>
      </c>
    </row>
    <row r="11" spans="2:15" ht="18" customHeight="1" x14ac:dyDescent="0.35">
      <c r="B11" s="10">
        <v>4</v>
      </c>
      <c r="C11" s="1" t="s">
        <v>9</v>
      </c>
      <c r="D11" s="1" t="s">
        <v>11</v>
      </c>
      <c r="E11" s="11">
        <v>35</v>
      </c>
      <c r="I11" s="14">
        <v>4</v>
      </c>
      <c r="J11" s="14" t="s">
        <v>9</v>
      </c>
      <c r="K11" s="16">
        <v>45118</v>
      </c>
      <c r="L11" s="14" t="s">
        <v>11</v>
      </c>
      <c r="M11" s="14" t="s">
        <v>29</v>
      </c>
      <c r="N11" s="14" t="s">
        <v>23</v>
      </c>
      <c r="O11" s="14">
        <v>35</v>
      </c>
    </row>
    <row r="12" spans="2:15" ht="16" thickBot="1" x14ac:dyDescent="0.4">
      <c r="B12" s="12">
        <v>5</v>
      </c>
      <c r="C12" s="6" t="s">
        <v>12</v>
      </c>
      <c r="D12" s="6" t="s">
        <v>13</v>
      </c>
      <c r="E12" s="13">
        <v>16</v>
      </c>
      <c r="I12" s="14">
        <v>5</v>
      </c>
      <c r="J12" s="14" t="s">
        <v>12</v>
      </c>
      <c r="K12" s="16">
        <v>45119</v>
      </c>
      <c r="L12" s="14" t="s">
        <v>13</v>
      </c>
      <c r="M12" s="14" t="s">
        <v>30</v>
      </c>
      <c r="N12" s="14" t="s">
        <v>26</v>
      </c>
      <c r="O12" s="14">
        <v>16</v>
      </c>
    </row>
    <row r="13" spans="2:15" ht="14.5" customHeight="1" thickBot="1" x14ac:dyDescent="0.4">
      <c r="B13" s="7" t="s">
        <v>14</v>
      </c>
      <c r="C13" s="130">
        <f>SUM(E8:E12)</f>
        <v>208</v>
      </c>
      <c r="D13" s="131"/>
      <c r="E13" s="132"/>
      <c r="I13" s="14">
        <v>6</v>
      </c>
      <c r="J13" s="14" t="s">
        <v>17</v>
      </c>
      <c r="K13" s="16">
        <v>45120</v>
      </c>
      <c r="L13" s="14" t="s">
        <v>18</v>
      </c>
      <c r="M13" s="14" t="s">
        <v>31</v>
      </c>
      <c r="N13" s="14" t="s">
        <v>22</v>
      </c>
      <c r="O13" s="14">
        <v>79</v>
      </c>
    </row>
    <row r="14" spans="2:15" ht="15" thickBot="1" x14ac:dyDescent="0.4">
      <c r="I14" s="18" t="s">
        <v>16</v>
      </c>
      <c r="J14" s="19"/>
      <c r="K14" s="19"/>
      <c r="L14" s="19"/>
      <c r="M14" s="19"/>
      <c r="N14" s="21"/>
      <c r="O14" s="20">
        <f>SUBTOTAL(109,TABLE2[Price])</f>
        <v>251</v>
      </c>
    </row>
    <row r="15" spans="2:15" ht="17" customHeight="1" x14ac:dyDescent="0.35"/>
    <row r="16" spans="2:15" ht="15" thickBot="1" x14ac:dyDescent="0.4"/>
    <row r="17" spans="7:13" ht="15" thickBot="1" x14ac:dyDescent="0.4">
      <c r="G17" s="23"/>
    </row>
    <row r="21" spans="7:13" x14ac:dyDescent="0.35">
      <c r="J21" s="17" t="s">
        <v>32</v>
      </c>
      <c r="K21" s="17" t="s">
        <v>33</v>
      </c>
      <c r="L21" s="17"/>
      <c r="M21" s="17" t="s">
        <v>34</v>
      </c>
    </row>
  </sheetData>
  <mergeCells count="3">
    <mergeCell ref="B2:J2"/>
    <mergeCell ref="C13:E13"/>
    <mergeCell ref="B6:E6"/>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FDB5-F73C-4EB5-ABF9-F1E8E17F900F}">
  <dimension ref="B2:R19"/>
  <sheetViews>
    <sheetView topLeftCell="A2" workbookViewId="0">
      <selection activeCell="E7" sqref="E7:E13"/>
    </sheetView>
  </sheetViews>
  <sheetFormatPr defaultRowHeight="14.5" x14ac:dyDescent="0.35"/>
  <cols>
    <col min="2" max="2" width="21.90625" bestFit="1" customWidth="1"/>
    <col min="3" max="3" width="12.26953125" customWidth="1"/>
    <col min="4" max="4" width="25" customWidth="1"/>
    <col min="5" max="5" width="17.81640625" customWidth="1"/>
    <col min="6" max="6" width="10.1796875" customWidth="1"/>
    <col min="7" max="7" width="13.08984375" customWidth="1"/>
    <col min="8" max="8" width="11.6328125" customWidth="1"/>
    <col min="9" max="9" width="18" customWidth="1"/>
    <col min="10" max="10" width="16.36328125" customWidth="1"/>
    <col min="11" max="11" width="12.81640625" customWidth="1"/>
    <col min="13" max="13" width="9.453125" bestFit="1" customWidth="1"/>
  </cols>
  <sheetData>
    <row r="2" spans="2:18" x14ac:dyDescent="0.35">
      <c r="B2" s="30"/>
    </row>
    <row r="3" spans="2:18" x14ac:dyDescent="0.35">
      <c r="B3" s="30"/>
    </row>
    <row r="4" spans="2:18" ht="21" x14ac:dyDescent="0.5">
      <c r="B4" s="141"/>
      <c r="C4" s="141"/>
      <c r="D4" s="141"/>
      <c r="E4" s="141"/>
      <c r="F4" s="141"/>
      <c r="G4" s="141"/>
      <c r="H4" s="141"/>
      <c r="I4" s="141"/>
      <c r="J4" s="141"/>
    </row>
    <row r="5" spans="2:18" ht="72.5" x14ac:dyDescent="0.35">
      <c r="B5" s="34"/>
      <c r="C5" s="142" t="s">
        <v>54</v>
      </c>
      <c r="D5" s="142"/>
      <c r="E5" s="142"/>
      <c r="F5" s="142"/>
      <c r="G5" s="142"/>
      <c r="H5" s="40" t="s">
        <v>55</v>
      </c>
      <c r="I5" s="40" t="s">
        <v>57</v>
      </c>
      <c r="J5" s="40" t="s">
        <v>56</v>
      </c>
      <c r="K5" s="40" t="s">
        <v>59</v>
      </c>
    </row>
    <row r="6" spans="2:18" x14ac:dyDescent="0.35">
      <c r="B6" s="14" t="s">
        <v>39</v>
      </c>
      <c r="C6" s="14" t="s">
        <v>40</v>
      </c>
      <c r="D6" s="14" t="s">
        <v>41</v>
      </c>
      <c r="E6" s="14" t="s">
        <v>52</v>
      </c>
      <c r="F6" s="14" t="s">
        <v>42</v>
      </c>
      <c r="G6" s="14" t="s">
        <v>48</v>
      </c>
      <c r="H6" s="14" t="s">
        <v>43</v>
      </c>
      <c r="I6" s="14" t="s">
        <v>53</v>
      </c>
      <c r="J6" s="14" t="s">
        <v>60</v>
      </c>
      <c r="K6" s="14" t="s">
        <v>58</v>
      </c>
    </row>
    <row r="7" spans="2:18" x14ac:dyDescent="0.35">
      <c r="B7" s="14" t="s">
        <v>44</v>
      </c>
      <c r="C7" s="33">
        <v>45142</v>
      </c>
      <c r="D7" s="34">
        <v>45142</v>
      </c>
      <c r="E7" s="35">
        <v>8762892512</v>
      </c>
      <c r="F7" s="36">
        <v>0.75</v>
      </c>
      <c r="G7" s="37">
        <v>37</v>
      </c>
      <c r="H7" s="37">
        <f>F7*G7</f>
        <v>27.75</v>
      </c>
      <c r="I7" s="36" t="b">
        <f t="shared" ref="I7:I13" si="0">IF((AND(H7&lt;=90,G7&lt;50)),TRUE(),FALSE())</f>
        <v>1</v>
      </c>
      <c r="J7" s="38">
        <f t="shared" ref="J7:J13" si="1">IFERROR((H7*100)/($H$14*100),"DIV ERROR")</f>
        <v>6.2535211267605639E-2</v>
      </c>
      <c r="K7" s="38" t="b">
        <f t="shared" ref="K7:K13" si="2">ISEVEN(G7)</f>
        <v>0</v>
      </c>
    </row>
    <row r="8" spans="2:18" x14ac:dyDescent="0.35">
      <c r="B8" s="14" t="s">
        <v>45</v>
      </c>
      <c r="C8" s="33">
        <v>45143</v>
      </c>
      <c r="D8" s="34">
        <v>45143</v>
      </c>
      <c r="E8" s="35">
        <v>9835467825</v>
      </c>
      <c r="F8" s="14">
        <v>0.5</v>
      </c>
      <c r="G8" s="37">
        <v>56</v>
      </c>
      <c r="H8" s="37">
        <f>F8*G8</f>
        <v>28</v>
      </c>
      <c r="I8" s="36" t="b">
        <f t="shared" si="0"/>
        <v>0</v>
      </c>
      <c r="J8" s="38">
        <f t="shared" si="1"/>
        <v>6.3098591549295771E-2</v>
      </c>
      <c r="K8" s="38" t="b">
        <f t="shared" si="2"/>
        <v>1</v>
      </c>
      <c r="O8" s="28"/>
    </row>
    <row r="9" spans="2:18" x14ac:dyDescent="0.35">
      <c r="B9" s="14" t="s">
        <v>46</v>
      </c>
      <c r="C9" s="33">
        <v>44933</v>
      </c>
      <c r="D9" s="34">
        <v>44933</v>
      </c>
      <c r="E9" s="35">
        <v>8745672431</v>
      </c>
      <c r="F9" s="14">
        <v>2</v>
      </c>
      <c r="G9" s="37">
        <v>70</v>
      </c>
      <c r="H9" s="37">
        <f t="shared" ref="H9:H13" si="3">F9*G9</f>
        <v>140</v>
      </c>
      <c r="I9" s="36" t="b">
        <f t="shared" si="0"/>
        <v>0</v>
      </c>
      <c r="J9" s="38">
        <f t="shared" si="1"/>
        <v>0.3154929577464789</v>
      </c>
      <c r="K9" s="38" t="b">
        <f t="shared" si="2"/>
        <v>1</v>
      </c>
      <c r="O9" s="31"/>
    </row>
    <row r="10" spans="2:18" x14ac:dyDescent="0.35">
      <c r="B10" s="14" t="s">
        <v>47</v>
      </c>
      <c r="C10" s="33">
        <v>45145</v>
      </c>
      <c r="D10" s="34">
        <v>45145</v>
      </c>
      <c r="E10" s="35">
        <v>8879635461</v>
      </c>
      <c r="F10" s="14">
        <v>4</v>
      </c>
      <c r="G10" s="37">
        <v>27</v>
      </c>
      <c r="H10" s="37">
        <f t="shared" si="3"/>
        <v>108</v>
      </c>
      <c r="I10" s="36" t="b">
        <f t="shared" si="0"/>
        <v>0</v>
      </c>
      <c r="J10" s="38">
        <f t="shared" si="1"/>
        <v>0.24338028169014084</v>
      </c>
      <c r="K10" s="38" t="b">
        <f t="shared" si="2"/>
        <v>0</v>
      </c>
    </row>
    <row r="11" spans="2:18" x14ac:dyDescent="0.35">
      <c r="B11" s="14" t="s">
        <v>49</v>
      </c>
      <c r="C11" s="33">
        <v>45146</v>
      </c>
      <c r="D11" s="34">
        <v>45146</v>
      </c>
      <c r="E11" s="35">
        <v>9823786534</v>
      </c>
      <c r="F11" s="14">
        <v>10</v>
      </c>
      <c r="G11" s="37">
        <v>2</v>
      </c>
      <c r="H11" s="37">
        <f t="shared" si="3"/>
        <v>20</v>
      </c>
      <c r="I11" s="36" t="b">
        <f t="shared" si="0"/>
        <v>1</v>
      </c>
      <c r="J11" s="38">
        <f t="shared" si="1"/>
        <v>4.507042253521127E-2</v>
      </c>
      <c r="K11" s="38" t="b">
        <f t="shared" si="2"/>
        <v>1</v>
      </c>
    </row>
    <row r="12" spans="2:18" x14ac:dyDescent="0.35">
      <c r="B12" s="39" t="s">
        <v>51</v>
      </c>
      <c r="C12" s="33">
        <v>45147</v>
      </c>
      <c r="D12" s="34">
        <v>45147</v>
      </c>
      <c r="E12" s="35">
        <v>8767754231</v>
      </c>
      <c r="F12" s="14">
        <v>2</v>
      </c>
      <c r="G12" s="37">
        <v>10</v>
      </c>
      <c r="H12" s="37">
        <f t="shared" si="3"/>
        <v>20</v>
      </c>
      <c r="I12" s="36" t="b">
        <f t="shared" si="0"/>
        <v>1</v>
      </c>
      <c r="J12" s="38">
        <f t="shared" si="1"/>
        <v>4.507042253521127E-2</v>
      </c>
      <c r="K12" s="38" t="b">
        <f t="shared" si="2"/>
        <v>1</v>
      </c>
      <c r="P12" s="28"/>
    </row>
    <row r="13" spans="2:18" x14ac:dyDescent="0.35">
      <c r="B13" s="14" t="s">
        <v>50</v>
      </c>
      <c r="C13" s="33">
        <v>45148</v>
      </c>
      <c r="D13" s="34">
        <v>45148</v>
      </c>
      <c r="E13" s="35">
        <v>8976578956</v>
      </c>
      <c r="F13" s="14">
        <v>1</v>
      </c>
      <c r="G13" s="37">
        <v>100</v>
      </c>
      <c r="H13" s="37">
        <f t="shared" si="3"/>
        <v>100</v>
      </c>
      <c r="I13" s="36" t="b">
        <f t="shared" si="0"/>
        <v>0</v>
      </c>
      <c r="J13" s="38">
        <f t="shared" si="1"/>
        <v>0.22535211267605634</v>
      </c>
      <c r="K13" s="38" t="b">
        <f t="shared" si="2"/>
        <v>1</v>
      </c>
      <c r="R13" s="29"/>
    </row>
    <row r="14" spans="2:18" x14ac:dyDescent="0.35">
      <c r="B14" t="s">
        <v>16</v>
      </c>
      <c r="H14" s="32">
        <f>SUBTOTAL(109,Table3[SubTotal])</f>
        <v>443.75</v>
      </c>
    </row>
    <row r="19" spans="3:3" x14ac:dyDescent="0.35">
      <c r="C19" s="28"/>
    </row>
  </sheetData>
  <mergeCells count="2">
    <mergeCell ref="B4:J4"/>
    <mergeCell ref="C5:G5"/>
  </mergeCells>
  <phoneticPr fontId="6"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E5DC8-CA39-4A5A-B7B2-8C559BACF290}">
  <dimension ref="B2:N14"/>
  <sheetViews>
    <sheetView workbookViewId="0">
      <selection activeCell="G2" sqref="G2"/>
    </sheetView>
  </sheetViews>
  <sheetFormatPr defaultRowHeight="14.5" x14ac:dyDescent="0.35"/>
  <cols>
    <col min="3" max="4" width="10.36328125" customWidth="1"/>
    <col min="8" max="9" width="12.26953125" customWidth="1"/>
    <col min="10" max="10" width="11.1796875" customWidth="1"/>
    <col min="11" max="11" width="14.6328125" customWidth="1"/>
    <col min="12" max="12" width="13.6328125" customWidth="1"/>
    <col min="14" max="14" width="16.453125" customWidth="1"/>
  </cols>
  <sheetData>
    <row r="2" spans="2:14" ht="15" thickBot="1" x14ac:dyDescent="0.4"/>
    <row r="3" spans="2:14" x14ac:dyDescent="0.35">
      <c r="B3" s="146" t="s">
        <v>87</v>
      </c>
      <c r="C3" s="147"/>
      <c r="D3" s="147"/>
      <c r="E3" s="147"/>
      <c r="F3" s="147"/>
      <c r="G3" s="147"/>
      <c r="H3" s="147"/>
      <c r="I3" s="147"/>
      <c r="J3" s="147"/>
      <c r="K3" s="147"/>
      <c r="L3" s="148"/>
    </row>
    <row r="4" spans="2:14" ht="58" x14ac:dyDescent="0.35">
      <c r="B4" s="56"/>
      <c r="C4" s="57"/>
      <c r="D4" s="57"/>
      <c r="E4" s="57"/>
      <c r="F4" s="57"/>
      <c r="G4" s="58" t="s">
        <v>88</v>
      </c>
      <c r="H4" s="57"/>
      <c r="I4" s="57"/>
      <c r="J4" s="57"/>
      <c r="K4" s="57" t="s">
        <v>83</v>
      </c>
      <c r="L4" s="59" t="s">
        <v>84</v>
      </c>
    </row>
    <row r="5" spans="2:14" ht="15" thickBot="1" x14ac:dyDescent="0.4">
      <c r="B5" s="45" t="s">
        <v>63</v>
      </c>
      <c r="C5" s="46" t="s">
        <v>68</v>
      </c>
      <c r="D5" s="46" t="s">
        <v>70</v>
      </c>
      <c r="E5" s="46" t="s">
        <v>61</v>
      </c>
      <c r="F5" s="46" t="s">
        <v>62</v>
      </c>
      <c r="G5" s="46" t="s">
        <v>67</v>
      </c>
      <c r="H5" s="46" t="s">
        <v>80</v>
      </c>
      <c r="I5" s="46" t="s">
        <v>81</v>
      </c>
      <c r="J5" s="46" t="s">
        <v>79</v>
      </c>
      <c r="K5" s="46" t="s">
        <v>69</v>
      </c>
      <c r="L5" s="47" t="s">
        <v>71</v>
      </c>
    </row>
    <row r="6" spans="2:14" x14ac:dyDescent="0.35">
      <c r="B6" s="48" t="s">
        <v>64</v>
      </c>
      <c r="C6" s="41" t="s">
        <v>74</v>
      </c>
      <c r="D6" s="41">
        <v>55.55</v>
      </c>
      <c r="E6" s="41">
        <v>20</v>
      </c>
      <c r="F6" s="41" t="str">
        <f>IF(ISBLANK(E6),"N/A",IF(AND(B6="F", E6&gt;=44),"TRUE",IF(AND(B6="M", E6&gt;=54),"TRUE","FALSE")))</f>
        <v>FALSE</v>
      </c>
      <c r="G6" s="41">
        <f ca="1">INT(RAND()*100.245)</f>
        <v>36</v>
      </c>
      <c r="H6" s="41">
        <v>3000</v>
      </c>
      <c r="I6" s="41">
        <v>25</v>
      </c>
      <c r="J6" s="41">
        <v>1300</v>
      </c>
      <c r="K6" s="41">
        <f>MOD(H6,J6)</f>
        <v>400</v>
      </c>
      <c r="L6" s="49">
        <f>ROUND(D6,1)</f>
        <v>55.6</v>
      </c>
    </row>
    <row r="7" spans="2:14" x14ac:dyDescent="0.35">
      <c r="B7" s="50" t="s">
        <v>65</v>
      </c>
      <c r="C7" s="42" t="s">
        <v>75</v>
      </c>
      <c r="D7" s="42">
        <v>49.78</v>
      </c>
      <c r="E7" s="42">
        <v>25</v>
      </c>
      <c r="F7" s="41" t="str">
        <f t="shared" ref="F7:F10" si="0">IF(ISBLANK(E7),"N/A",IF(AND(B7="F", E7&gt;=44),"TRUE",IF(AND(B7="M", E7&gt;=54),"TRUE","FALSE")))</f>
        <v>FALSE</v>
      </c>
      <c r="G7" s="41">
        <f t="shared" ref="G7:G10" ca="1" si="1">INT(RAND()*100.245)</f>
        <v>72</v>
      </c>
      <c r="H7" s="42">
        <v>2000</v>
      </c>
      <c r="I7" s="42">
        <v>20</v>
      </c>
      <c r="J7" s="42">
        <v>150</v>
      </c>
      <c r="K7" s="42">
        <f>MOD(H7,J7)</f>
        <v>50</v>
      </c>
      <c r="L7" s="51">
        <f t="shared" ref="L7:L10" si="2">ROUND(D7,1)</f>
        <v>49.8</v>
      </c>
    </row>
    <row r="8" spans="2:14" x14ac:dyDescent="0.35">
      <c r="B8" s="50" t="s">
        <v>64</v>
      </c>
      <c r="C8" s="42" t="s">
        <v>76</v>
      </c>
      <c r="D8" s="42">
        <v>59.59</v>
      </c>
      <c r="E8" s="42">
        <v>40</v>
      </c>
      <c r="F8" s="41" t="str">
        <f t="shared" si="0"/>
        <v>FALSE</v>
      </c>
      <c r="G8" s="41">
        <f t="shared" ca="1" si="1"/>
        <v>98</v>
      </c>
      <c r="H8" s="42">
        <v>1000</v>
      </c>
      <c r="I8" s="42">
        <v>22</v>
      </c>
      <c r="J8" s="42">
        <v>250</v>
      </c>
      <c r="K8" s="42">
        <f>MOD(H8,J8)</f>
        <v>0</v>
      </c>
      <c r="L8" s="51">
        <f t="shared" si="2"/>
        <v>59.6</v>
      </c>
    </row>
    <row r="9" spans="2:14" x14ac:dyDescent="0.35">
      <c r="B9" s="50" t="s">
        <v>64</v>
      </c>
      <c r="C9" s="42" t="s">
        <v>77</v>
      </c>
      <c r="D9" s="42">
        <v>66.900000000000006</v>
      </c>
      <c r="E9" s="42">
        <v>50</v>
      </c>
      <c r="F9" s="41" t="str">
        <f t="shared" si="0"/>
        <v>TRUE</v>
      </c>
      <c r="G9" s="41">
        <f t="shared" ca="1" si="1"/>
        <v>81</v>
      </c>
      <c r="H9" s="42">
        <v>5490</v>
      </c>
      <c r="I9" s="42">
        <v>26</v>
      </c>
      <c r="J9" s="42">
        <v>700</v>
      </c>
      <c r="K9" s="42">
        <f>MOD(H9,J9)</f>
        <v>590</v>
      </c>
      <c r="L9" s="51">
        <f t="shared" si="2"/>
        <v>66.900000000000006</v>
      </c>
    </row>
    <row r="10" spans="2:14" ht="15" thickBot="1" x14ac:dyDescent="0.4">
      <c r="B10" s="52" t="s">
        <v>66</v>
      </c>
      <c r="C10" s="53" t="s">
        <v>78</v>
      </c>
      <c r="D10" s="53">
        <v>72.3</v>
      </c>
      <c r="E10" s="53"/>
      <c r="F10" s="54" t="str">
        <f t="shared" si="0"/>
        <v>N/A</v>
      </c>
      <c r="G10" s="54">
        <f t="shared" ca="1" si="1"/>
        <v>94</v>
      </c>
      <c r="H10" s="53">
        <v>3500</v>
      </c>
      <c r="I10" s="53">
        <v>19</v>
      </c>
      <c r="J10" s="53">
        <v>400</v>
      </c>
      <c r="K10" s="53">
        <f>MOD(H10,J10)</f>
        <v>300</v>
      </c>
      <c r="L10" s="55">
        <f t="shared" si="2"/>
        <v>72.3</v>
      </c>
    </row>
    <row r="11" spans="2:14" ht="15" thickBot="1" x14ac:dyDescent="0.4"/>
    <row r="12" spans="2:14" x14ac:dyDescent="0.35">
      <c r="J12" s="143" t="s">
        <v>72</v>
      </c>
      <c r="K12" s="143"/>
      <c r="L12" s="43">
        <f>SUMIF(B6:B10,"M",H6:H10)</f>
        <v>5500</v>
      </c>
      <c r="N12" s="144" t="s">
        <v>85</v>
      </c>
    </row>
    <row r="13" spans="2:14" ht="15" thickBot="1" x14ac:dyDescent="0.4">
      <c r="J13" s="143" t="s">
        <v>73</v>
      </c>
      <c r="K13" s="143"/>
      <c r="L13" s="43">
        <f>SUMIF(B6:B10,"F",H6:H10)</f>
        <v>9490</v>
      </c>
      <c r="N13" s="145"/>
    </row>
    <row r="14" spans="2:14" ht="29.5" customHeight="1" thickBot="1" x14ac:dyDescent="0.4">
      <c r="J14" s="43" t="s">
        <v>82</v>
      </c>
      <c r="K14" s="43"/>
      <c r="L14" s="43">
        <f>SUMPRODUCT(H6,I10)</f>
        <v>57000</v>
      </c>
      <c r="N14" s="44" t="s">
        <v>86</v>
      </c>
    </row>
  </sheetData>
  <mergeCells count="4">
    <mergeCell ref="J13:K13"/>
    <mergeCell ref="J12:K12"/>
    <mergeCell ref="N12:N13"/>
    <mergeCell ref="B3:L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16F63-5805-471E-BCF9-0141B8381FBC}">
  <dimension ref="B5:O17"/>
  <sheetViews>
    <sheetView topLeftCell="A5" workbookViewId="0">
      <selection activeCell="M16" sqref="M16"/>
    </sheetView>
  </sheetViews>
  <sheetFormatPr defaultRowHeight="14.5" x14ac:dyDescent="0.35"/>
  <cols>
    <col min="4" max="4" width="15.08984375" customWidth="1"/>
    <col min="8" max="8" width="11.81640625" customWidth="1"/>
    <col min="9" max="9" width="12.1796875" customWidth="1"/>
    <col min="10" max="10" width="10.54296875" customWidth="1"/>
  </cols>
  <sheetData>
    <row r="5" spans="2:15" ht="58.5" thickBot="1" x14ac:dyDescent="0.4">
      <c r="H5" s="60" t="s">
        <v>117</v>
      </c>
      <c r="I5" s="60" t="s">
        <v>114</v>
      </c>
      <c r="J5" s="60"/>
      <c r="K5" s="60"/>
      <c r="L5" s="149" t="s">
        <v>116</v>
      </c>
      <c r="M5" s="149"/>
      <c r="O5" s="61" t="s">
        <v>115</v>
      </c>
    </row>
    <row r="6" spans="2:15" ht="58.5" thickBot="1" x14ac:dyDescent="0.4">
      <c r="B6" s="63" t="s">
        <v>89</v>
      </c>
      <c r="C6" s="64" t="s">
        <v>90</v>
      </c>
      <c r="D6" s="64" t="s">
        <v>111</v>
      </c>
      <c r="E6" s="64" t="s">
        <v>91</v>
      </c>
      <c r="F6" s="64" t="s">
        <v>92</v>
      </c>
      <c r="G6" s="64" t="s">
        <v>93</v>
      </c>
      <c r="H6" s="66" t="s">
        <v>112</v>
      </c>
      <c r="I6" s="44" t="s">
        <v>113</v>
      </c>
      <c r="J6" s="67" t="s">
        <v>120</v>
      </c>
      <c r="L6" s="63" t="s">
        <v>90</v>
      </c>
      <c r="M6" s="65" t="s">
        <v>91</v>
      </c>
      <c r="O6" s="23" t="str" cm="1">
        <f t="array" aca="1" ref="O6:O12" ca="1">OFFSET(B5,1,3,7,1)</f>
        <v>Item</v>
      </c>
    </row>
    <row r="7" spans="2:15" x14ac:dyDescent="0.35">
      <c r="B7" s="62" t="s">
        <v>94</v>
      </c>
      <c r="C7" s="62" t="s">
        <v>95</v>
      </c>
      <c r="D7" s="62"/>
      <c r="E7" s="62" t="s">
        <v>105</v>
      </c>
      <c r="F7" s="62">
        <v>5</v>
      </c>
      <c r="G7" s="62">
        <f>F7*500.34</f>
        <v>2501.6999999999998</v>
      </c>
      <c r="H7" s="62" t="str">
        <f>IF(ISNA(VLOOKUP(D7,$D$7:$D$12,2,FALSE)),"no","yes")</f>
        <v>no</v>
      </c>
      <c r="I7" s="14" t="str">
        <f>IF(ISBLANK(D7),"NO",HLOOKUP(C7,B7:H7,1,0))</f>
        <v>NO</v>
      </c>
      <c r="J7">
        <f>ROW()</f>
        <v>7</v>
      </c>
      <c r="L7" s="62" t="s">
        <v>99</v>
      </c>
      <c r="M7" s="62" t="str">
        <f>INDEX(E7:E12,MATCH(L7,C7:C12,0))</f>
        <v>bed</v>
      </c>
      <c r="O7" s="62" t="str">
        <f ca="1"/>
        <v>chair</v>
      </c>
    </row>
    <row r="8" spans="2:15" x14ac:dyDescent="0.35">
      <c r="B8" s="14" t="s">
        <v>101</v>
      </c>
      <c r="C8" s="14" t="s">
        <v>96</v>
      </c>
      <c r="D8" s="35">
        <v>8762892512</v>
      </c>
      <c r="E8" s="14" t="s">
        <v>106</v>
      </c>
      <c r="F8" s="14">
        <v>5</v>
      </c>
      <c r="G8" s="14">
        <f t="shared" ref="G8:G11" si="0">F8*500.34</f>
        <v>2501.6999999999998</v>
      </c>
      <c r="H8" s="14" t="str">
        <f>IF(ISNA(VLOOKUP(D8,$D$7:$D$12,2,FALSE)),"no","yes")</f>
        <v>yes</v>
      </c>
      <c r="I8" s="14" t="str">
        <f>IF(ISBLANK(D8),"NO",HLOOKUP(C8,B8:H8,1,0))</f>
        <v>aarandya</v>
      </c>
      <c r="J8">
        <f>COLUMN()</f>
        <v>10</v>
      </c>
      <c r="L8" s="14" t="s">
        <v>98</v>
      </c>
      <c r="M8" s="14" t="str">
        <f>INDEX(E8:E13,MATCH(L8,C8:C13,0))</f>
        <v>sofa</v>
      </c>
      <c r="O8" s="14" t="str">
        <f ca="1"/>
        <v>table</v>
      </c>
    </row>
    <row r="9" spans="2:15" x14ac:dyDescent="0.35">
      <c r="B9" s="14" t="s">
        <v>102</v>
      </c>
      <c r="C9" s="14" t="s">
        <v>97</v>
      </c>
      <c r="D9" s="35">
        <v>9835467825</v>
      </c>
      <c r="E9" s="14" t="s">
        <v>107</v>
      </c>
      <c r="F9" s="14">
        <v>4</v>
      </c>
      <c r="G9" s="14">
        <f t="shared" si="0"/>
        <v>2001.36</v>
      </c>
      <c r="H9" s="14" t="str">
        <f>IF(ISNA(VLOOKUP(D9,$D$7:$D$12,2,FALSE)),"no","yes")</f>
        <v>yes</v>
      </c>
      <c r="I9" s="14" t="str">
        <f t="shared" ref="I9:I11" si="1">IF(ISBLANK(D9),"NO",HLOOKUP(C9,B9:H9,1,0))</f>
        <v>aarav</v>
      </c>
      <c r="J9">
        <f>ROWS(G7:H12)</f>
        <v>6</v>
      </c>
      <c r="L9" s="14" t="s">
        <v>100</v>
      </c>
      <c r="M9" s="14" t="str">
        <f>INDEX(E9:E14,MATCH(L9,C9:C14,0))</f>
        <v>swing</v>
      </c>
      <c r="O9" s="14" t="str">
        <f ca="1"/>
        <v>desk</v>
      </c>
    </row>
    <row r="10" spans="2:15" x14ac:dyDescent="0.35">
      <c r="B10" s="14" t="s">
        <v>103</v>
      </c>
      <c r="C10" s="14" t="s">
        <v>98</v>
      </c>
      <c r="D10" s="14"/>
      <c r="E10" s="14" t="s">
        <v>108</v>
      </c>
      <c r="F10" s="14">
        <v>3</v>
      </c>
      <c r="G10" s="14">
        <f>F10*700.34</f>
        <v>2101.02</v>
      </c>
      <c r="H10" s="14" t="str">
        <f>IF(ISNA(VLOOKUP(D10,$D$7:$D$12,2,FALSE)),"no","yes")</f>
        <v>no</v>
      </c>
      <c r="I10" s="14" t="str">
        <f t="shared" si="1"/>
        <v>NO</v>
      </c>
      <c r="J10">
        <f>COLUMNS(B7:I12)</f>
        <v>8</v>
      </c>
      <c r="O10" s="14" t="str">
        <f ca="1"/>
        <v>sofa</v>
      </c>
    </row>
    <row r="11" spans="2:15" x14ac:dyDescent="0.35">
      <c r="B11" s="14" t="s">
        <v>103</v>
      </c>
      <c r="C11" s="14" t="s">
        <v>99</v>
      </c>
      <c r="D11" s="14"/>
      <c r="E11" s="14" t="s">
        <v>109</v>
      </c>
      <c r="F11" s="14">
        <v>2</v>
      </c>
      <c r="G11" s="14">
        <f t="shared" si="0"/>
        <v>1000.68</v>
      </c>
      <c r="H11" s="14" t="str">
        <f>IF(ISNA(VLOOKUP(D11,$D$7:$D$12,2,FALSE)),"no","yes")</f>
        <v>no</v>
      </c>
      <c r="I11" s="14" t="str">
        <f t="shared" si="1"/>
        <v>NO</v>
      </c>
      <c r="O11" s="14" t="str">
        <f ca="1"/>
        <v>bed</v>
      </c>
    </row>
    <row r="12" spans="2:15" x14ac:dyDescent="0.35">
      <c r="B12" s="14" t="s">
        <v>104</v>
      </c>
      <c r="C12" s="14" t="s">
        <v>100</v>
      </c>
      <c r="D12" s="14"/>
      <c r="E12" s="14" t="s">
        <v>110</v>
      </c>
      <c r="F12" s="14">
        <v>2</v>
      </c>
      <c r="G12" s="14">
        <f>F12*100.64</f>
        <v>201.28</v>
      </c>
      <c r="H12" s="14" t="str">
        <f t="shared" ref="H12" si="2">IF(ISNA(VLOOKUP(D12,$D$7:$D$12,2,FALSE)),"no","yes")</f>
        <v>no</v>
      </c>
      <c r="I12" s="14" t="str">
        <f>IF(ISBLANK(D12),"NO",HLOOKUP(C12,B12:H12,1,0))</f>
        <v>NO</v>
      </c>
      <c r="O12" s="14" t="str">
        <f ca="1"/>
        <v>swing</v>
      </c>
    </row>
    <row r="14" spans="2:15" x14ac:dyDescent="0.35">
      <c r="E14" s="150" t="s">
        <v>118</v>
      </c>
      <c r="F14" s="150"/>
      <c r="G14" s="150"/>
      <c r="H14" s="136">
        <f>SUMIFS(G7:G12,B7:B12,B10,G7:G12,"&gt;1000")</f>
        <v>3101.7</v>
      </c>
      <c r="K14">
        <f>ROW()</f>
        <v>14</v>
      </c>
    </row>
    <row r="15" spans="2:15" ht="21" customHeight="1" x14ac:dyDescent="0.35">
      <c r="E15" s="150"/>
      <c r="F15" s="150"/>
      <c r="G15" s="150"/>
      <c r="H15" s="136"/>
    </row>
    <row r="16" spans="2:15" ht="19.5" customHeight="1" x14ac:dyDescent="0.35">
      <c r="E16" s="150"/>
      <c r="F16" s="150"/>
      <c r="G16" s="150"/>
      <c r="H16" s="136"/>
    </row>
    <row r="17" spans="5:8" x14ac:dyDescent="0.35">
      <c r="E17" t="s">
        <v>119</v>
      </c>
      <c r="H17">
        <f>LOOKUP(C8,C8:D9)</f>
        <v>8762892512</v>
      </c>
    </row>
  </sheetData>
  <mergeCells count="3">
    <mergeCell ref="L5:M5"/>
    <mergeCell ref="E14:G16"/>
    <mergeCell ref="H14:H16"/>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2BCF4-103E-4C1F-94C0-6B62584D48AE}">
  <dimension ref="E4:Z18"/>
  <sheetViews>
    <sheetView topLeftCell="E3" workbookViewId="0">
      <selection activeCell="D15" sqref="D15"/>
    </sheetView>
  </sheetViews>
  <sheetFormatPr defaultRowHeight="14.5" x14ac:dyDescent="0.35"/>
  <cols>
    <col min="5" max="6" width="17.36328125" customWidth="1"/>
    <col min="7" max="7" width="8.90625" customWidth="1"/>
    <col min="8" max="8" width="23.1796875" bestFit="1" customWidth="1"/>
    <col min="9" max="9" width="9.453125" customWidth="1"/>
    <col min="20" max="20" width="10.6328125" customWidth="1"/>
  </cols>
  <sheetData>
    <row r="4" spans="5:26" ht="15" thickBot="1" x14ac:dyDescent="0.4"/>
    <row r="5" spans="5:26" ht="44" thickBot="1" x14ac:dyDescent="0.4">
      <c r="E5" s="63"/>
      <c r="F5" s="85" t="s">
        <v>146</v>
      </c>
      <c r="G5" s="85" t="s">
        <v>138</v>
      </c>
      <c r="H5" s="64"/>
      <c r="I5" s="151" t="s">
        <v>132</v>
      </c>
      <c r="J5" s="151"/>
      <c r="K5" s="86" t="s">
        <v>170</v>
      </c>
      <c r="L5" s="64"/>
      <c r="M5" s="85" t="s">
        <v>164</v>
      </c>
      <c r="N5" s="64"/>
      <c r="O5" s="87" t="s">
        <v>165</v>
      </c>
      <c r="P5" s="87" t="s">
        <v>169</v>
      </c>
      <c r="Q5" s="85" t="s">
        <v>131</v>
      </c>
      <c r="R5" s="85" t="s">
        <v>159</v>
      </c>
      <c r="S5" s="88" t="s">
        <v>161</v>
      </c>
    </row>
    <row r="6" spans="5:26" ht="44" thickBot="1" x14ac:dyDescent="0.4">
      <c r="E6" s="78" t="s">
        <v>130</v>
      </c>
      <c r="F6" s="79" t="s">
        <v>145</v>
      </c>
      <c r="G6" s="80" t="s">
        <v>137</v>
      </c>
      <c r="H6" s="81" t="s">
        <v>129</v>
      </c>
      <c r="I6" s="81" t="s">
        <v>162</v>
      </c>
      <c r="J6" s="82" t="s">
        <v>61</v>
      </c>
      <c r="K6" s="82" t="s">
        <v>166</v>
      </c>
      <c r="L6" s="79" t="s">
        <v>128</v>
      </c>
      <c r="M6" s="80" t="s">
        <v>163</v>
      </c>
      <c r="N6" s="79" t="s">
        <v>127</v>
      </c>
      <c r="O6" s="79" t="s">
        <v>126</v>
      </c>
      <c r="P6" s="80" t="s">
        <v>167</v>
      </c>
      <c r="Q6" s="79" t="s">
        <v>125</v>
      </c>
      <c r="R6" s="79" t="s">
        <v>147</v>
      </c>
      <c r="S6" s="83" t="s">
        <v>160</v>
      </c>
      <c r="Y6" t="s">
        <v>150</v>
      </c>
      <c r="Z6" t="s">
        <v>168</v>
      </c>
    </row>
    <row r="7" spans="5:26" x14ac:dyDescent="0.35">
      <c r="E7" s="62" t="s">
        <v>144</v>
      </c>
      <c r="F7" s="62" t="str">
        <f>PROPER(E7)</f>
        <v>Sangu Ramesah</v>
      </c>
      <c r="G7" s="62">
        <f>LEN(E7)</f>
        <v>13</v>
      </c>
      <c r="H7" s="73">
        <v>40572</v>
      </c>
      <c r="I7" s="74" t="str">
        <f>TEXT(H7,"DDDD")</f>
        <v>Saturday</v>
      </c>
      <c r="J7" s="75">
        <f t="shared" ref="J7:J12" ca="1" si="0">TEXT(TODAY(),"YYYY")-TEXT(H7,"YYYY")</f>
        <v>12</v>
      </c>
      <c r="K7" s="75" t="str">
        <f>REPLACE(I7,4,5,".")</f>
        <v>Sat.</v>
      </c>
      <c r="L7" s="62" t="s">
        <v>155</v>
      </c>
      <c r="M7" s="62" t="str">
        <f>"18CS"&amp;MID(L7,1,2)</f>
        <v>18CSCA</v>
      </c>
      <c r="N7" s="62">
        <v>40</v>
      </c>
      <c r="O7" s="62" t="str">
        <f t="shared" ref="O7:O10" si="1">IF(LOOKUP(L7,$L$7:$N$12)&lt;=50,"FAIL",IF(LOOKUP(L7,$L$7:$N$12)&lt;=60,"D",IF(LOOKUP(L7,$L$7:$N$12)&lt;=70,"C",IF(LOOKUP(L7,$L$7:$N$12)&lt;=80,"B",IF(LOOKUP(L7,$L$7:$N$12)&lt;=90,"A","A+")))))</f>
        <v>FAIL</v>
      </c>
      <c r="P7" s="62" t="str">
        <f t="shared" ref="P7:P12" si="2">SUBSTITUTE(S7,RIGHT(S7,3),"***")</f>
        <v>San***</v>
      </c>
      <c r="Q7" s="62">
        <f t="shared" ref="Q7:Q12" si="3">RANK(N7,$N$7:$N$12)</f>
        <v>6</v>
      </c>
      <c r="R7" s="62" t="str">
        <f>_xlfn.XLOOKUP(N7,$Z$7:$Z$12,$Y$7:$Y$12,0,-1)</f>
        <v>FAIL</v>
      </c>
      <c r="S7" s="62" t="str">
        <f>LEFT(F7,4)&amp;RIGHT(F7,2)</f>
        <v>Sangah</v>
      </c>
      <c r="Y7" t="s">
        <v>149</v>
      </c>
      <c r="Z7">
        <v>95</v>
      </c>
    </row>
    <row r="8" spans="5:26" x14ac:dyDescent="0.35">
      <c r="E8" s="14" t="s">
        <v>139</v>
      </c>
      <c r="F8" s="14" t="str">
        <f t="shared" ref="F8:F12" si="4">PROPER(E8)</f>
        <v>Aarandya Roa</v>
      </c>
      <c r="G8" s="14">
        <f t="shared" ref="G8:G12" si="5">LEN(E8)</f>
        <v>12</v>
      </c>
      <c r="H8" s="71">
        <v>36161</v>
      </c>
      <c r="I8" s="72" t="str">
        <f>TEXT(H8,"DDDD")</f>
        <v>Friday</v>
      </c>
      <c r="J8" s="36">
        <f t="shared" ca="1" si="0"/>
        <v>24</v>
      </c>
      <c r="K8" s="36" t="str">
        <f t="shared" ref="K8:K12" si="6">REPLACE(I8,4,5,".")</f>
        <v>Fri.</v>
      </c>
      <c r="L8" s="14" t="s">
        <v>157</v>
      </c>
      <c r="M8" s="14" t="str">
        <f t="shared" ref="M8:M12" si="7">"18CS"&amp;MID(L8,1,2)</f>
        <v>18CSDM</v>
      </c>
      <c r="N8" s="14">
        <v>65</v>
      </c>
      <c r="O8" s="14" t="str">
        <f t="shared" si="1"/>
        <v>C</v>
      </c>
      <c r="P8" s="14" t="str">
        <f t="shared" si="2"/>
        <v>Aar***</v>
      </c>
      <c r="Q8" s="14">
        <f t="shared" si="3"/>
        <v>5</v>
      </c>
      <c r="R8" s="14" t="str">
        <f t="shared" ref="R8:R12" si="8">_xlfn.XLOOKUP(N8,$Z$7:$Z$12,$Y$7:$Y$12,0,-1)</f>
        <v>PASS</v>
      </c>
      <c r="S8" s="14" t="str">
        <f t="shared" ref="S8:S12" si="9">LEFT(F8,4)&amp;RIGHT(F8,2)</f>
        <v>Aaraoa</v>
      </c>
      <c r="Y8" t="s">
        <v>22</v>
      </c>
      <c r="Z8">
        <v>85</v>
      </c>
    </row>
    <row r="9" spans="5:26" x14ac:dyDescent="0.35">
      <c r="E9" s="14" t="s">
        <v>140</v>
      </c>
      <c r="F9" s="14" t="str">
        <f t="shared" si="4"/>
        <v>Aarav Shankr</v>
      </c>
      <c r="G9" s="14">
        <f t="shared" si="5"/>
        <v>12</v>
      </c>
      <c r="H9" s="71">
        <v>41299</v>
      </c>
      <c r="I9" s="72" t="str">
        <f t="shared" ref="I9:I12" si="10">TEXT(H9,"DDDD")</f>
        <v>Friday</v>
      </c>
      <c r="J9" s="36">
        <f t="shared" ca="1" si="0"/>
        <v>10</v>
      </c>
      <c r="K9" s="36" t="str">
        <f t="shared" si="6"/>
        <v>Fri.</v>
      </c>
      <c r="L9" s="14" t="s">
        <v>156</v>
      </c>
      <c r="M9" s="14" t="str">
        <f t="shared" si="7"/>
        <v>18CSDS</v>
      </c>
      <c r="N9" s="14">
        <v>80</v>
      </c>
      <c r="O9" s="14" t="str">
        <f t="shared" si="1"/>
        <v>B</v>
      </c>
      <c r="P9" s="14" t="str">
        <f t="shared" si="2"/>
        <v>Aar***</v>
      </c>
      <c r="Q9" s="14">
        <f t="shared" si="3"/>
        <v>4</v>
      </c>
      <c r="R9" s="14" t="str">
        <f t="shared" si="8"/>
        <v>B</v>
      </c>
      <c r="S9" s="14" t="str">
        <f t="shared" si="9"/>
        <v>Aarakr</v>
      </c>
      <c r="Y9" t="s">
        <v>23</v>
      </c>
      <c r="Z9">
        <v>80</v>
      </c>
    </row>
    <row r="10" spans="5:26" x14ac:dyDescent="0.35">
      <c r="E10" s="14" t="s">
        <v>141</v>
      </c>
      <c r="F10" s="14" t="str">
        <f t="shared" si="4"/>
        <v>Bharati Shetty</v>
      </c>
      <c r="G10" s="14">
        <f t="shared" si="5"/>
        <v>14</v>
      </c>
      <c r="H10" s="71">
        <v>38367</v>
      </c>
      <c r="I10" s="72" t="str">
        <f t="shared" si="10"/>
        <v>Saturday</v>
      </c>
      <c r="J10" s="36">
        <f t="shared" ca="1" si="0"/>
        <v>18</v>
      </c>
      <c r="K10" s="36" t="str">
        <f t="shared" si="6"/>
        <v>Sat.</v>
      </c>
      <c r="L10" s="14" t="s">
        <v>158</v>
      </c>
      <c r="M10" s="14" t="str">
        <f t="shared" si="7"/>
        <v>18CSEN</v>
      </c>
      <c r="N10" s="14">
        <v>85</v>
      </c>
      <c r="O10" s="14" t="str">
        <f t="shared" si="1"/>
        <v>A</v>
      </c>
      <c r="P10" s="14" t="str">
        <f t="shared" si="2"/>
        <v>Bha***</v>
      </c>
      <c r="Q10" s="14">
        <f t="shared" si="3"/>
        <v>3</v>
      </c>
      <c r="R10" s="14" t="str">
        <f t="shared" si="8"/>
        <v>A</v>
      </c>
      <c r="S10" s="14" t="str">
        <f t="shared" si="9"/>
        <v>Bharty</v>
      </c>
      <c r="Y10" t="s">
        <v>148</v>
      </c>
      <c r="Z10">
        <v>75</v>
      </c>
    </row>
    <row r="11" spans="5:26" x14ac:dyDescent="0.35">
      <c r="E11" s="14" t="s">
        <v>142</v>
      </c>
      <c r="F11" s="14" t="str">
        <f t="shared" si="4"/>
        <v>Arun Shet</v>
      </c>
      <c r="G11" s="14">
        <f t="shared" si="5"/>
        <v>9</v>
      </c>
      <c r="H11" s="71">
        <v>36899</v>
      </c>
      <c r="I11" s="72" t="str">
        <f t="shared" si="10"/>
        <v>Monday</v>
      </c>
      <c r="J11" s="36">
        <f t="shared" ca="1" si="0"/>
        <v>22</v>
      </c>
      <c r="K11" s="36" t="str">
        <f t="shared" si="6"/>
        <v>Mon.</v>
      </c>
      <c r="L11" s="14" t="s">
        <v>153</v>
      </c>
      <c r="M11" s="14" t="str">
        <f t="shared" si="7"/>
        <v>18CSJA</v>
      </c>
      <c r="N11" s="14">
        <v>90</v>
      </c>
      <c r="O11" s="14" t="str">
        <f>IF(LOOKUP(L11,$L$7:$N$12)&lt;=50,"FAIL",IF(LOOKUP(L11,$L$7:$N$12)&lt;=60,"D",IF(LOOKUP(L11,$L$7:$N$12)&lt;=70,"C",IF(LOOKUP(L11,$L$7:$N$12)&lt;=80,"B",IF(LOOKUP(L11,$L$7:$N$12)&lt;=90,"A","A+")))))</f>
        <v>A</v>
      </c>
      <c r="P11" s="14" t="str">
        <f t="shared" si="2"/>
        <v>Aru***</v>
      </c>
      <c r="Q11" s="14">
        <f t="shared" si="3"/>
        <v>2</v>
      </c>
      <c r="R11" s="14" t="str">
        <f t="shared" si="8"/>
        <v>A</v>
      </c>
      <c r="S11" s="14" t="str">
        <f t="shared" si="9"/>
        <v>Arunet</v>
      </c>
      <c r="Y11" t="s">
        <v>152</v>
      </c>
      <c r="Z11">
        <v>65</v>
      </c>
    </row>
    <row r="12" spans="5:26" x14ac:dyDescent="0.35">
      <c r="E12" s="14" t="s">
        <v>143</v>
      </c>
      <c r="F12" s="14" t="str">
        <f t="shared" si="4"/>
        <v>Smitha Ns</v>
      </c>
      <c r="G12" s="14">
        <f t="shared" si="5"/>
        <v>9</v>
      </c>
      <c r="H12" s="71">
        <v>39823</v>
      </c>
      <c r="I12" s="72" t="str">
        <f t="shared" si="10"/>
        <v>Saturday</v>
      </c>
      <c r="J12" s="36">
        <f t="shared" ca="1" si="0"/>
        <v>14</v>
      </c>
      <c r="K12" s="36" t="str">
        <f t="shared" si="6"/>
        <v>Sat.</v>
      </c>
      <c r="L12" s="14" t="s">
        <v>154</v>
      </c>
      <c r="M12" s="14" t="str">
        <f t="shared" si="7"/>
        <v>18CSMA</v>
      </c>
      <c r="N12" s="14">
        <v>95</v>
      </c>
      <c r="O12" s="14" t="str">
        <f>IF(LOOKUP(L12,$L$7:$N$12)&lt;=50,"F",IF(LOOKUP(L12,$L$7:$N$12)&lt;=60,"D",IF(LOOKUP(L12,$L$7:$N$12)&lt;=70,"C",IF(LOOKUP(L12,$L$7:$N$12)&lt;=80,"B",IF(LOOKUP(L12,$L$7:$N$12)&lt;=90,"A","A+")))))</f>
        <v>A+</v>
      </c>
      <c r="P12" s="14" t="str">
        <f t="shared" si="2"/>
        <v>Smi***</v>
      </c>
      <c r="Q12" s="14">
        <f t="shared" si="3"/>
        <v>1</v>
      </c>
      <c r="R12" s="14" t="str">
        <f t="shared" si="8"/>
        <v>A+</v>
      </c>
      <c r="S12" s="14" t="str">
        <f t="shared" si="9"/>
        <v>SmitNs</v>
      </c>
      <c r="Y12" t="s">
        <v>151</v>
      </c>
      <c r="Z12">
        <v>40</v>
      </c>
    </row>
    <row r="13" spans="5:26" ht="15" thickBot="1" x14ac:dyDescent="0.4">
      <c r="J13" s="69"/>
      <c r="K13" s="69"/>
      <c r="O13" s="67"/>
      <c r="T13" t="str">
        <f>LEFT(F13,4)</f>
        <v/>
      </c>
    </row>
    <row r="14" spans="5:26" x14ac:dyDescent="0.35">
      <c r="E14" s="60"/>
      <c r="F14" s="91"/>
      <c r="G14" s="92" t="s">
        <v>124</v>
      </c>
      <c r="H14" s="93" t="s">
        <v>123</v>
      </c>
      <c r="I14" s="93"/>
      <c r="J14" s="94">
        <f ca="1">COUNT(J7:J12)</f>
        <v>6</v>
      </c>
      <c r="K14" s="94"/>
      <c r="L14" s="95"/>
      <c r="M14" s="96"/>
    </row>
    <row r="15" spans="5:26" ht="14.5" customHeight="1" x14ac:dyDescent="0.35">
      <c r="E15" s="70"/>
      <c r="F15" s="154" t="s">
        <v>122</v>
      </c>
      <c r="G15" s="155"/>
      <c r="H15" s="155"/>
      <c r="I15" s="89"/>
      <c r="J15" s="14" t="str">
        <f>"Avg  marks =  "&amp;AVERAGE(N7:N12)</f>
        <v>Avg  marks =  75.8333333333333</v>
      </c>
      <c r="K15" s="14"/>
      <c r="L15" s="14"/>
      <c r="M15" s="97"/>
    </row>
    <row r="16" spans="5:26" ht="14.5" customHeight="1" x14ac:dyDescent="0.35">
      <c r="E16" s="68"/>
      <c r="F16" s="152" t="s">
        <v>121</v>
      </c>
      <c r="G16" s="153"/>
      <c r="H16" s="153"/>
      <c r="I16" s="90"/>
      <c r="J16" s="14" t="str">
        <f>"Avg marks of passed students =  "&amp;AVERAGEIF(N7:N12,"&gt;=50")</f>
        <v>Avg marks of passed students =  83</v>
      </c>
      <c r="K16" s="14"/>
      <c r="L16" s="14"/>
      <c r="M16" s="97"/>
    </row>
    <row r="17" spans="5:13" ht="43.5" x14ac:dyDescent="0.35">
      <c r="E17" s="60"/>
      <c r="F17" s="98"/>
      <c r="G17" s="84"/>
      <c r="H17" s="84" t="s">
        <v>135</v>
      </c>
      <c r="I17" s="84"/>
      <c r="J17" s="40" t="s">
        <v>134</v>
      </c>
      <c r="K17" s="40"/>
      <c r="L17" s="16"/>
      <c r="M17" s="99"/>
    </row>
    <row r="18" spans="5:13" ht="29.5" thickBot="1" x14ac:dyDescent="0.4">
      <c r="E18" s="60"/>
      <c r="F18" s="100"/>
      <c r="G18" s="101"/>
      <c r="H18" s="101" t="s">
        <v>136</v>
      </c>
      <c r="I18" s="101"/>
      <c r="J18" s="77" t="s">
        <v>133</v>
      </c>
      <c r="K18" s="77"/>
      <c r="L18" s="76"/>
      <c r="M18" s="102"/>
    </row>
  </sheetData>
  <mergeCells count="3">
    <mergeCell ref="I5:J5"/>
    <mergeCell ref="F16:H16"/>
    <mergeCell ref="F15:H15"/>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F74D-0FCB-416B-849B-4ABBFFA4DCE8}">
  <dimension ref="A4:Y108"/>
  <sheetViews>
    <sheetView topLeftCell="B4" workbookViewId="0">
      <selection activeCell="H16" sqref="H16"/>
    </sheetView>
  </sheetViews>
  <sheetFormatPr defaultRowHeight="14.5" x14ac:dyDescent="0.35"/>
  <cols>
    <col min="1" max="1" width="11.6328125" customWidth="1"/>
    <col min="2" max="2" width="15.54296875" customWidth="1"/>
    <col min="3" max="3" width="13.26953125" customWidth="1"/>
    <col min="4" max="4" width="13.1796875" customWidth="1"/>
    <col min="5" max="5" width="8.81640625" customWidth="1"/>
    <col min="6" max="6" width="11" customWidth="1"/>
    <col min="7" max="7" width="18.54296875" customWidth="1"/>
    <col min="8" max="8" width="9.7265625" customWidth="1"/>
    <col min="10" max="11" width="16.26953125" customWidth="1"/>
    <col min="12" max="12" width="9.1796875" customWidth="1"/>
    <col min="13" max="13" width="12.7265625" customWidth="1"/>
    <col min="14" max="14" width="15.08984375" customWidth="1"/>
    <col min="15" max="15" width="15.26953125" customWidth="1"/>
    <col min="19" max="19" width="8" bestFit="1" customWidth="1"/>
    <col min="20" max="20" width="11.26953125" bestFit="1" customWidth="1"/>
    <col min="21" max="21" width="13" customWidth="1"/>
    <col min="25" max="25" width="10.6328125" customWidth="1"/>
  </cols>
  <sheetData>
    <row r="4" spans="1:25" ht="44" thickBot="1" x14ac:dyDescent="0.4">
      <c r="A4" s="113" t="s">
        <v>201</v>
      </c>
      <c r="B4" s="113" t="s">
        <v>202</v>
      </c>
      <c r="C4" s="120" t="s">
        <v>206</v>
      </c>
      <c r="D4" s="113" t="s">
        <v>184</v>
      </c>
      <c r="E4" s="113"/>
      <c r="F4" s="120" t="s">
        <v>217</v>
      </c>
      <c r="G4" s="113"/>
      <c r="H4" s="113" t="s">
        <v>216</v>
      </c>
      <c r="I4" s="113"/>
      <c r="J4" s="113" t="s">
        <v>176</v>
      </c>
      <c r="K4" s="113"/>
      <c r="L4" s="120" t="s">
        <v>226</v>
      </c>
      <c r="M4" s="113" t="s">
        <v>193</v>
      </c>
      <c r="N4" s="113"/>
      <c r="O4" s="113" t="s">
        <v>190</v>
      </c>
      <c r="P4" s="113" t="s">
        <v>185</v>
      </c>
      <c r="Q4" s="113" t="s">
        <v>227</v>
      </c>
      <c r="R4" s="113" t="s">
        <v>228</v>
      </c>
      <c r="S4" s="113" t="s">
        <v>191</v>
      </c>
      <c r="T4" s="113"/>
      <c r="U4" s="113"/>
      <c r="V4" s="113" t="s">
        <v>195</v>
      </c>
    </row>
    <row r="5" spans="1:25" ht="44" thickBot="1" x14ac:dyDescent="0.4">
      <c r="A5" s="114" t="s">
        <v>200</v>
      </c>
      <c r="B5" s="115" t="s">
        <v>204</v>
      </c>
      <c r="C5" s="115" t="s">
        <v>205</v>
      </c>
      <c r="D5" s="116" t="s">
        <v>179</v>
      </c>
      <c r="E5" s="117" t="s">
        <v>25</v>
      </c>
      <c r="F5" s="115" t="s">
        <v>207</v>
      </c>
      <c r="G5" s="115" t="s">
        <v>209</v>
      </c>
      <c r="H5" s="115" t="s">
        <v>175</v>
      </c>
      <c r="I5" s="116" t="s">
        <v>174</v>
      </c>
      <c r="J5" s="116" t="s">
        <v>171</v>
      </c>
      <c r="K5" s="115" t="s">
        <v>218</v>
      </c>
      <c r="L5" s="115" t="s">
        <v>219</v>
      </c>
      <c r="M5" s="116" t="s">
        <v>192</v>
      </c>
      <c r="N5" s="115" t="s">
        <v>188</v>
      </c>
      <c r="O5" s="115" t="s">
        <v>189</v>
      </c>
      <c r="P5" s="115" t="s">
        <v>178</v>
      </c>
      <c r="Q5" s="115" t="s">
        <v>186</v>
      </c>
      <c r="R5" s="115" t="s">
        <v>187</v>
      </c>
      <c r="S5" s="118" t="s">
        <v>177</v>
      </c>
      <c r="T5" s="116" t="s">
        <v>172</v>
      </c>
      <c r="U5" s="116" t="s">
        <v>173</v>
      </c>
      <c r="V5" s="119" t="s">
        <v>194</v>
      </c>
    </row>
    <row r="6" spans="1:25" x14ac:dyDescent="0.35">
      <c r="A6" s="62">
        <f>WEEKDAY(N6,1)</f>
        <v>6</v>
      </c>
      <c r="B6" s="62">
        <f>NETWORKDAYS($Y$16,$Y$17,$O$17:O22)</f>
        <v>29</v>
      </c>
      <c r="C6" s="62">
        <f>NETWORKDAYS.INTL($Y$16,$Y$17,7,$O$17:O22)</f>
        <v>28</v>
      </c>
      <c r="D6" s="107">
        <f>DATEVALUE(N6)</f>
        <v>36910</v>
      </c>
      <c r="E6" s="103">
        <v>5</v>
      </c>
      <c r="F6" s="62" t="str">
        <f>REPT( "★",ROUND(TRUNC(E6),0))&amp;REPT( "☆",ROUND(5-TRUNC(E6),0))</f>
        <v>★★★★★</v>
      </c>
      <c r="G6" s="62" t="s">
        <v>208</v>
      </c>
      <c r="H6" s="62" t="str">
        <f>TRIM(G6)</f>
        <v>sangu</v>
      </c>
      <c r="I6" s="62" t="s">
        <v>96</v>
      </c>
      <c r="J6" s="62" t="str">
        <f>CONCATENATE(H6," ",I6)</f>
        <v>sangu aarandya</v>
      </c>
      <c r="K6" s="62" t="s">
        <v>220</v>
      </c>
      <c r="L6" s="62" t="str">
        <f>LEFT(K6,SEARCH("-",K6)-1)</f>
        <v>876</v>
      </c>
      <c r="M6" s="111">
        <f ca="1">TODAY()</f>
        <v>45167</v>
      </c>
      <c r="N6" s="105" t="s">
        <v>182</v>
      </c>
      <c r="O6" s="111">
        <f>DATE(R6,Q6,P6)</f>
        <v>36910</v>
      </c>
      <c r="P6" s="62">
        <f>DAY(N6)</f>
        <v>19</v>
      </c>
      <c r="Q6" s="62">
        <f>MONTH(N6)</f>
        <v>1</v>
      </c>
      <c r="R6" s="62">
        <f>YEAR(N6)</f>
        <v>2001</v>
      </c>
      <c r="S6" s="62">
        <f>ABS(HOUR(U6)-HOUR(T6))</f>
        <v>8</v>
      </c>
      <c r="T6" s="112">
        <v>0.41666666666666669</v>
      </c>
      <c r="U6" s="112">
        <v>0.77083333333333337</v>
      </c>
      <c r="V6" s="62">
        <f>MINUTE(U6)</f>
        <v>30</v>
      </c>
    </row>
    <row r="7" spans="1:25" x14ac:dyDescent="0.35">
      <c r="A7" s="14">
        <f t="shared" ref="A7:A11" si="0">WEEKDAY(N7,1)</f>
        <v>4</v>
      </c>
      <c r="B7" s="14">
        <f>NETWORKDAYS($Y$16,$Y$17,$O$17:O27)</f>
        <v>26</v>
      </c>
      <c r="C7" s="14">
        <f>NETWORKDAYS.INTL($Y$16,$Y$17,7,$O$17:O23)</f>
        <v>27</v>
      </c>
      <c r="D7" s="39">
        <f t="shared" ref="D7:D11" si="1">DATEVALUE(N7)</f>
        <v>44986</v>
      </c>
      <c r="E7" s="104">
        <v>4</v>
      </c>
      <c r="F7" s="14" t="str">
        <f t="shared" ref="F7:F11" si="2">REPT( "★",ROUND(TRUNC(E7),0))&amp;REPT( "☆",ROUND(5-TRUNC(E7),0))</f>
        <v>★★★★☆</v>
      </c>
      <c r="G7" s="14" t="s">
        <v>215</v>
      </c>
      <c r="H7" s="14" t="str">
        <f t="shared" ref="H7:H11" si="3">TRIM(G7)</f>
        <v>aarandya</v>
      </c>
      <c r="I7" s="14" t="s">
        <v>97</v>
      </c>
      <c r="J7" s="14" t="str">
        <f t="shared" ref="J7:J11" si="4">CONCATENATE(H7," ",I7)</f>
        <v>aarandya aarav</v>
      </c>
      <c r="K7" s="14" t="s">
        <v>221</v>
      </c>
      <c r="L7" s="14" t="str">
        <f t="shared" ref="L7:L11" si="5">LEFT(K7,SEARCH("-",K7)-1)</f>
        <v>983</v>
      </c>
      <c r="M7" s="16">
        <f t="shared" ref="M7:M11" ca="1" si="6">TODAY()</f>
        <v>45167</v>
      </c>
      <c r="N7" s="106" t="s">
        <v>198</v>
      </c>
      <c r="O7" s="16">
        <f>DATE(R7,Q7,P7)</f>
        <v>44986</v>
      </c>
      <c r="P7" s="14">
        <f t="shared" ref="P7:P11" si="7">DAY(N7)</f>
        <v>1</v>
      </c>
      <c r="Q7" s="14">
        <f t="shared" ref="Q7:Q11" si="8">MONTH(N7)</f>
        <v>3</v>
      </c>
      <c r="R7" s="14">
        <f>YEAR(N7)</f>
        <v>2023</v>
      </c>
      <c r="S7" s="14">
        <f t="shared" ref="S7:S11" si="9">ABS(HOUR(U7)-HOUR(T7))</f>
        <v>8</v>
      </c>
      <c r="T7" s="110">
        <v>0.77083333333333337</v>
      </c>
      <c r="U7" s="110">
        <v>0.44791666666666669</v>
      </c>
      <c r="V7" s="14">
        <f t="shared" ref="V7:V11" si="10">MINUTE(U7)</f>
        <v>45</v>
      </c>
    </row>
    <row r="8" spans="1:25" x14ac:dyDescent="0.35">
      <c r="A8" s="14">
        <f t="shared" si="0"/>
        <v>6</v>
      </c>
      <c r="B8" s="14">
        <f>NETWORKDAYS($Y$16,$Y$17,$O$17:O22)</f>
        <v>29</v>
      </c>
      <c r="C8" s="14">
        <f>NETWORKDAYS.INTL($Y$16,$Y$17,7,$O$17:O22)</f>
        <v>28</v>
      </c>
      <c r="D8" s="39">
        <f t="shared" si="1"/>
        <v>42328</v>
      </c>
      <c r="E8" s="104">
        <v>4.5</v>
      </c>
      <c r="F8" s="14" t="str">
        <f t="shared" si="2"/>
        <v>★★★★☆</v>
      </c>
      <c r="G8" s="14" t="s">
        <v>214</v>
      </c>
      <c r="H8" s="14" t="str">
        <f t="shared" si="3"/>
        <v>aarav</v>
      </c>
      <c r="I8" s="14" t="s">
        <v>98</v>
      </c>
      <c r="J8" s="14" t="str">
        <f t="shared" si="4"/>
        <v>aarav bharati</v>
      </c>
      <c r="K8" s="14" t="s">
        <v>222</v>
      </c>
      <c r="L8" s="14" t="str">
        <f t="shared" si="5"/>
        <v>874</v>
      </c>
      <c r="M8" s="16">
        <f t="shared" ca="1" si="6"/>
        <v>45167</v>
      </c>
      <c r="N8" s="106" t="s">
        <v>181</v>
      </c>
      <c r="O8" s="16">
        <f t="shared" ref="O8:O11" si="11">DATE(R8,Q8,P8)</f>
        <v>42328</v>
      </c>
      <c r="P8" s="14">
        <f t="shared" si="7"/>
        <v>20</v>
      </c>
      <c r="Q8" s="14">
        <f t="shared" si="8"/>
        <v>11</v>
      </c>
      <c r="R8" s="14">
        <f t="shared" ref="R8:R11" si="12">YEAR(N8)</f>
        <v>2015</v>
      </c>
      <c r="S8" s="14">
        <f t="shared" si="9"/>
        <v>12</v>
      </c>
      <c r="T8" s="110">
        <v>0.79166666666666663</v>
      </c>
      <c r="U8" s="110">
        <v>0.3263888888888889</v>
      </c>
      <c r="V8" s="14">
        <f t="shared" si="10"/>
        <v>50</v>
      </c>
    </row>
    <row r="9" spans="1:25" x14ac:dyDescent="0.35">
      <c r="A9" s="14">
        <f t="shared" si="0"/>
        <v>1</v>
      </c>
      <c r="B9" s="14">
        <f>NETWORKDAYS($Y$16,$Y$17,$O$17:O55)</f>
        <v>6</v>
      </c>
      <c r="C9" s="14">
        <f>NETWORKDAYS.INTL($Y$16,$Y$17,7,$O$17:O55)</f>
        <v>5</v>
      </c>
      <c r="D9" s="39">
        <f t="shared" si="1"/>
        <v>37010</v>
      </c>
      <c r="E9" s="104">
        <v>3</v>
      </c>
      <c r="F9" s="14" t="str">
        <f t="shared" si="2"/>
        <v>★★★☆☆</v>
      </c>
      <c r="G9" s="14" t="s">
        <v>213</v>
      </c>
      <c r="H9" s="14" t="str">
        <f t="shared" si="3"/>
        <v>bharati</v>
      </c>
      <c r="I9" s="14" t="s">
        <v>99</v>
      </c>
      <c r="J9" s="14" t="str">
        <f t="shared" si="4"/>
        <v>bharati arun</v>
      </c>
      <c r="K9" s="14" t="s">
        <v>223</v>
      </c>
      <c r="L9" s="14" t="str">
        <f t="shared" si="5"/>
        <v>887</v>
      </c>
      <c r="M9" s="16">
        <f t="shared" ca="1" si="6"/>
        <v>45167</v>
      </c>
      <c r="N9" s="106" t="s">
        <v>180</v>
      </c>
      <c r="O9" s="16">
        <f t="shared" si="11"/>
        <v>37010</v>
      </c>
      <c r="P9" s="14">
        <f t="shared" si="7"/>
        <v>29</v>
      </c>
      <c r="Q9" s="14">
        <f t="shared" si="8"/>
        <v>4</v>
      </c>
      <c r="R9" s="14">
        <f t="shared" si="12"/>
        <v>2001</v>
      </c>
      <c r="S9" s="14">
        <f t="shared" si="9"/>
        <v>4</v>
      </c>
      <c r="T9" s="110">
        <v>0.54166666666666663</v>
      </c>
      <c r="U9" s="110">
        <v>0.70833333333333337</v>
      </c>
      <c r="V9" s="14">
        <f t="shared" si="10"/>
        <v>0</v>
      </c>
    </row>
    <row r="10" spans="1:25" x14ac:dyDescent="0.35">
      <c r="A10" s="14">
        <f t="shared" si="0"/>
        <v>5</v>
      </c>
      <c r="B10" s="14">
        <f>NETWORKDAYS($Y$16,$Y$17,$O$17:O22)</f>
        <v>29</v>
      </c>
      <c r="C10" s="14">
        <f>NETWORKDAYS.INTL($Y$16,$Y$17,7,$O$17:O22)</f>
        <v>28</v>
      </c>
      <c r="D10" s="39">
        <f t="shared" si="1"/>
        <v>45015</v>
      </c>
      <c r="E10" s="104">
        <v>4</v>
      </c>
      <c r="F10" s="14" t="str">
        <f t="shared" si="2"/>
        <v>★★★★☆</v>
      </c>
      <c r="G10" s="14" t="s">
        <v>212</v>
      </c>
      <c r="H10" s="14" t="str">
        <f t="shared" si="3"/>
        <v>arun</v>
      </c>
      <c r="I10" s="14" t="s">
        <v>100</v>
      </c>
      <c r="J10" s="14" t="str">
        <f t="shared" si="4"/>
        <v>arun smitha</v>
      </c>
      <c r="K10" s="14" t="s">
        <v>224</v>
      </c>
      <c r="L10" s="14" t="str">
        <f t="shared" si="5"/>
        <v>982</v>
      </c>
      <c r="M10" s="16">
        <f t="shared" ca="1" si="6"/>
        <v>45167</v>
      </c>
      <c r="N10" s="106" t="s">
        <v>199</v>
      </c>
      <c r="O10" s="16">
        <f t="shared" si="11"/>
        <v>45015</v>
      </c>
      <c r="P10" s="14">
        <f t="shared" si="7"/>
        <v>30</v>
      </c>
      <c r="Q10" s="14">
        <f t="shared" si="8"/>
        <v>3</v>
      </c>
      <c r="R10" s="14">
        <f t="shared" si="12"/>
        <v>2023</v>
      </c>
      <c r="S10" s="14">
        <f t="shared" si="9"/>
        <v>17</v>
      </c>
      <c r="T10" s="110">
        <v>0.22916666666666666</v>
      </c>
      <c r="U10" s="110">
        <v>0.9375</v>
      </c>
      <c r="V10" s="14">
        <f t="shared" si="10"/>
        <v>30</v>
      </c>
    </row>
    <row r="11" spans="1:25" x14ac:dyDescent="0.35">
      <c r="A11" s="14">
        <f t="shared" si="0"/>
        <v>2</v>
      </c>
      <c r="B11" s="14">
        <f>NETWORKDAYS($Y$16,$Y$17,$O$17:O45)</f>
        <v>12</v>
      </c>
      <c r="C11" s="14">
        <f>NETWORKDAYS.INTL($Y$16,$Y$17,7,$O$17:O45)</f>
        <v>11</v>
      </c>
      <c r="D11" s="39">
        <f t="shared" si="1"/>
        <v>37172</v>
      </c>
      <c r="E11" s="104">
        <v>3.5</v>
      </c>
      <c r="F11" s="14" t="str">
        <f t="shared" si="2"/>
        <v>★★★☆☆</v>
      </c>
      <c r="G11" s="14" t="s">
        <v>210</v>
      </c>
      <c r="H11" s="14" t="str">
        <f t="shared" si="3"/>
        <v>smitha</v>
      </c>
      <c r="I11" s="14" t="s">
        <v>95</v>
      </c>
      <c r="J11" s="14" t="str">
        <f t="shared" si="4"/>
        <v>smitha sangu</v>
      </c>
      <c r="K11" s="14" t="s">
        <v>225</v>
      </c>
      <c r="L11" s="14" t="str">
        <f t="shared" si="5"/>
        <v>876</v>
      </c>
      <c r="M11" s="16">
        <f t="shared" ca="1" si="6"/>
        <v>45167</v>
      </c>
      <c r="N11" s="106" t="s">
        <v>183</v>
      </c>
      <c r="O11" s="16">
        <f t="shared" si="11"/>
        <v>37172</v>
      </c>
      <c r="P11" s="14">
        <f t="shared" si="7"/>
        <v>8</v>
      </c>
      <c r="Q11" s="14">
        <f t="shared" si="8"/>
        <v>10</v>
      </c>
      <c r="R11" s="14">
        <f t="shared" si="12"/>
        <v>2001</v>
      </c>
      <c r="S11" s="14">
        <f t="shared" si="9"/>
        <v>0</v>
      </c>
      <c r="T11" s="110">
        <v>0.95833333333333337</v>
      </c>
      <c r="U11" s="110">
        <v>0.95833333333333337</v>
      </c>
      <c r="V11" s="14">
        <f t="shared" si="10"/>
        <v>0</v>
      </c>
    </row>
    <row r="12" spans="1:25" x14ac:dyDescent="0.35">
      <c r="G12" t="s">
        <v>211</v>
      </c>
      <c r="K12" s="109"/>
    </row>
    <row r="15" spans="1:25" x14ac:dyDescent="0.35">
      <c r="C15" s="121" t="s">
        <v>197</v>
      </c>
      <c r="D15" t="s">
        <v>196</v>
      </c>
      <c r="E15" s="157">
        <f ca="1">NOW()</f>
        <v>45167.57982337963</v>
      </c>
      <c r="F15" s="157"/>
      <c r="H15" s="156"/>
      <c r="I15" s="156"/>
      <c r="O15" t="s">
        <v>203</v>
      </c>
    </row>
    <row r="16" spans="1:25" x14ac:dyDescent="0.35">
      <c r="O16" s="108">
        <v>44986</v>
      </c>
      <c r="Y16" s="108">
        <v>44986</v>
      </c>
    </row>
    <row r="17" spans="7:25" x14ac:dyDescent="0.35">
      <c r="O17" s="108">
        <v>44987</v>
      </c>
      <c r="Y17" s="108">
        <v>45031</v>
      </c>
    </row>
    <row r="18" spans="7:25" x14ac:dyDescent="0.35">
      <c r="O18" s="108">
        <v>44988</v>
      </c>
    </row>
    <row r="19" spans="7:25" x14ac:dyDescent="0.35">
      <c r="O19" s="108">
        <v>44989</v>
      </c>
    </row>
    <row r="20" spans="7:25" x14ac:dyDescent="0.35">
      <c r="G20" t="str">
        <f>TRIM(G12)</f>
        <v/>
      </c>
      <c r="O20" s="108">
        <v>44990</v>
      </c>
    </row>
    <row r="21" spans="7:25" x14ac:dyDescent="0.35">
      <c r="O21" s="108">
        <v>44991</v>
      </c>
    </row>
    <row r="22" spans="7:25" x14ac:dyDescent="0.35">
      <c r="O22" s="108">
        <v>44992</v>
      </c>
    </row>
    <row r="23" spans="7:25" x14ac:dyDescent="0.35">
      <c r="O23" s="108">
        <v>44993</v>
      </c>
    </row>
    <row r="24" spans="7:25" x14ac:dyDescent="0.35">
      <c r="O24" s="108">
        <v>44994</v>
      </c>
    </row>
    <row r="25" spans="7:25" x14ac:dyDescent="0.35">
      <c r="O25" s="108">
        <v>44995</v>
      </c>
    </row>
    <row r="26" spans="7:25" x14ac:dyDescent="0.35">
      <c r="O26" s="108">
        <v>44996</v>
      </c>
    </row>
    <row r="27" spans="7:25" x14ac:dyDescent="0.35">
      <c r="O27" s="108">
        <v>44997</v>
      </c>
    </row>
    <row r="28" spans="7:25" x14ac:dyDescent="0.35">
      <c r="O28" s="108">
        <v>44998</v>
      </c>
    </row>
    <row r="29" spans="7:25" x14ac:dyDescent="0.35">
      <c r="O29" s="108">
        <v>44999</v>
      </c>
    </row>
    <row r="30" spans="7:25" x14ac:dyDescent="0.35">
      <c r="O30" s="108">
        <v>45000</v>
      </c>
    </row>
    <row r="31" spans="7:25" x14ac:dyDescent="0.35">
      <c r="O31" s="108">
        <v>45001</v>
      </c>
    </row>
    <row r="32" spans="7:25" x14ac:dyDescent="0.35">
      <c r="O32" s="108">
        <v>45002</v>
      </c>
    </row>
    <row r="33" spans="15:15" x14ac:dyDescent="0.35">
      <c r="O33" s="108">
        <v>45003</v>
      </c>
    </row>
    <row r="34" spans="15:15" x14ac:dyDescent="0.35">
      <c r="O34" s="108">
        <v>45004</v>
      </c>
    </row>
    <row r="35" spans="15:15" x14ac:dyDescent="0.35">
      <c r="O35" s="108">
        <v>45005</v>
      </c>
    </row>
    <row r="36" spans="15:15" x14ac:dyDescent="0.35">
      <c r="O36" s="108">
        <v>45006</v>
      </c>
    </row>
    <row r="37" spans="15:15" x14ac:dyDescent="0.35">
      <c r="O37" s="108">
        <v>45007</v>
      </c>
    </row>
    <row r="38" spans="15:15" x14ac:dyDescent="0.35">
      <c r="O38" s="108">
        <v>45008</v>
      </c>
    </row>
    <row r="39" spans="15:15" x14ac:dyDescent="0.35">
      <c r="O39" s="108">
        <v>45009</v>
      </c>
    </row>
    <row r="40" spans="15:15" x14ac:dyDescent="0.35">
      <c r="O40" s="108">
        <v>45010</v>
      </c>
    </row>
    <row r="41" spans="15:15" x14ac:dyDescent="0.35">
      <c r="O41" s="108">
        <v>45011</v>
      </c>
    </row>
    <row r="42" spans="15:15" x14ac:dyDescent="0.35">
      <c r="O42" s="108">
        <v>45012</v>
      </c>
    </row>
    <row r="43" spans="15:15" x14ac:dyDescent="0.35">
      <c r="O43" s="108">
        <v>45013</v>
      </c>
    </row>
    <row r="44" spans="15:15" x14ac:dyDescent="0.35">
      <c r="O44" s="108">
        <v>45014</v>
      </c>
    </row>
    <row r="45" spans="15:15" x14ac:dyDescent="0.35">
      <c r="O45" s="108">
        <v>45015</v>
      </c>
    </row>
    <row r="46" spans="15:15" x14ac:dyDescent="0.35">
      <c r="O46" s="108">
        <v>45016</v>
      </c>
    </row>
    <row r="47" spans="15:15" x14ac:dyDescent="0.35">
      <c r="O47" s="108">
        <v>45017</v>
      </c>
    </row>
    <row r="48" spans="15:15" x14ac:dyDescent="0.35">
      <c r="O48" s="108">
        <v>45018</v>
      </c>
    </row>
    <row r="49" spans="15:15" x14ac:dyDescent="0.35">
      <c r="O49" s="108">
        <v>45019</v>
      </c>
    </row>
    <row r="50" spans="15:15" x14ac:dyDescent="0.35">
      <c r="O50" s="108">
        <v>45020</v>
      </c>
    </row>
    <row r="51" spans="15:15" x14ac:dyDescent="0.35">
      <c r="O51" s="108">
        <v>45021</v>
      </c>
    </row>
    <row r="52" spans="15:15" x14ac:dyDescent="0.35">
      <c r="O52" s="108">
        <v>45022</v>
      </c>
    </row>
    <row r="53" spans="15:15" x14ac:dyDescent="0.35">
      <c r="O53" s="108">
        <v>45023</v>
      </c>
    </row>
    <row r="54" spans="15:15" x14ac:dyDescent="0.35">
      <c r="O54" s="108">
        <v>45024</v>
      </c>
    </row>
    <row r="55" spans="15:15" x14ac:dyDescent="0.35">
      <c r="O55" s="108">
        <v>45025</v>
      </c>
    </row>
    <row r="56" spans="15:15" x14ac:dyDescent="0.35">
      <c r="O56" s="108">
        <v>45026</v>
      </c>
    </row>
    <row r="57" spans="15:15" x14ac:dyDescent="0.35">
      <c r="O57" s="108">
        <v>45027</v>
      </c>
    </row>
    <row r="58" spans="15:15" x14ac:dyDescent="0.35">
      <c r="O58" s="108">
        <v>45028</v>
      </c>
    </row>
    <row r="59" spans="15:15" x14ac:dyDescent="0.35">
      <c r="O59" s="108">
        <v>45029</v>
      </c>
    </row>
    <row r="60" spans="15:15" x14ac:dyDescent="0.35">
      <c r="O60" s="108">
        <v>45030</v>
      </c>
    </row>
    <row r="61" spans="15:15" x14ac:dyDescent="0.35">
      <c r="O61" s="108">
        <v>45031</v>
      </c>
    </row>
    <row r="62" spans="15:15" x14ac:dyDescent="0.35">
      <c r="O62" s="108">
        <v>45032</v>
      </c>
    </row>
    <row r="63" spans="15:15" x14ac:dyDescent="0.35">
      <c r="O63" s="108">
        <v>45033</v>
      </c>
    </row>
    <row r="64" spans="15:15" x14ac:dyDescent="0.35">
      <c r="O64" s="108">
        <v>45034</v>
      </c>
    </row>
    <row r="65" spans="15:15" x14ac:dyDescent="0.35">
      <c r="O65" s="108">
        <v>45035</v>
      </c>
    </row>
    <row r="66" spans="15:15" x14ac:dyDescent="0.35">
      <c r="O66" s="108">
        <v>45036</v>
      </c>
    </row>
    <row r="67" spans="15:15" x14ac:dyDescent="0.35">
      <c r="O67" s="108">
        <v>45037</v>
      </c>
    </row>
    <row r="68" spans="15:15" x14ac:dyDescent="0.35">
      <c r="O68" s="108">
        <v>45038</v>
      </c>
    </row>
    <row r="69" spans="15:15" x14ac:dyDescent="0.35">
      <c r="O69" s="108">
        <v>45039</v>
      </c>
    </row>
    <row r="70" spans="15:15" x14ac:dyDescent="0.35">
      <c r="O70" s="108">
        <v>45040</v>
      </c>
    </row>
    <row r="71" spans="15:15" x14ac:dyDescent="0.35">
      <c r="O71" s="108">
        <v>45041</v>
      </c>
    </row>
    <row r="72" spans="15:15" x14ac:dyDescent="0.35">
      <c r="O72" s="108"/>
    </row>
    <row r="73" spans="15:15" x14ac:dyDescent="0.35">
      <c r="O73" s="108"/>
    </row>
    <row r="74" spans="15:15" x14ac:dyDescent="0.35">
      <c r="O74" s="108"/>
    </row>
    <row r="75" spans="15:15" x14ac:dyDescent="0.35">
      <c r="O75" s="108"/>
    </row>
    <row r="76" spans="15:15" x14ac:dyDescent="0.35">
      <c r="O76" s="108"/>
    </row>
    <row r="77" spans="15:15" x14ac:dyDescent="0.35">
      <c r="O77" s="108"/>
    </row>
    <row r="78" spans="15:15" x14ac:dyDescent="0.35">
      <c r="O78" s="108"/>
    </row>
    <row r="79" spans="15:15" x14ac:dyDescent="0.35">
      <c r="O79" s="108"/>
    </row>
    <row r="80" spans="15:15" x14ac:dyDescent="0.35">
      <c r="O80" s="108"/>
    </row>
    <row r="81" spans="15:15" x14ac:dyDescent="0.35">
      <c r="O81" s="108"/>
    </row>
    <row r="82" spans="15:15" x14ac:dyDescent="0.35">
      <c r="O82" s="108"/>
    </row>
    <row r="83" spans="15:15" x14ac:dyDescent="0.35">
      <c r="O83" s="108"/>
    </row>
    <row r="84" spans="15:15" x14ac:dyDescent="0.35">
      <c r="O84" s="108"/>
    </row>
    <row r="85" spans="15:15" x14ac:dyDescent="0.35">
      <c r="O85" s="108"/>
    </row>
    <row r="86" spans="15:15" x14ac:dyDescent="0.35">
      <c r="O86" s="108"/>
    </row>
    <row r="87" spans="15:15" x14ac:dyDescent="0.35">
      <c r="O87" s="108"/>
    </row>
    <row r="88" spans="15:15" x14ac:dyDescent="0.35">
      <c r="O88" s="108"/>
    </row>
    <row r="89" spans="15:15" x14ac:dyDescent="0.35">
      <c r="O89" s="108"/>
    </row>
    <row r="90" spans="15:15" x14ac:dyDescent="0.35">
      <c r="O90" s="108"/>
    </row>
    <row r="91" spans="15:15" x14ac:dyDescent="0.35">
      <c r="O91" s="108"/>
    </row>
    <row r="92" spans="15:15" x14ac:dyDescent="0.35">
      <c r="O92" s="108"/>
    </row>
    <row r="93" spans="15:15" x14ac:dyDescent="0.35">
      <c r="O93" s="108"/>
    </row>
    <row r="94" spans="15:15" x14ac:dyDescent="0.35">
      <c r="O94" s="108"/>
    </row>
    <row r="95" spans="15:15" x14ac:dyDescent="0.35">
      <c r="O95" s="108"/>
    </row>
    <row r="96" spans="15:15" x14ac:dyDescent="0.35">
      <c r="O96" s="108"/>
    </row>
    <row r="97" spans="15:15" x14ac:dyDescent="0.35">
      <c r="O97" s="108"/>
    </row>
    <row r="98" spans="15:15" x14ac:dyDescent="0.35">
      <c r="O98" s="108"/>
    </row>
    <row r="99" spans="15:15" x14ac:dyDescent="0.35">
      <c r="O99" s="108"/>
    </row>
    <row r="100" spans="15:15" x14ac:dyDescent="0.35">
      <c r="O100" s="108"/>
    </row>
    <row r="101" spans="15:15" x14ac:dyDescent="0.35">
      <c r="O101" s="108"/>
    </row>
    <row r="102" spans="15:15" x14ac:dyDescent="0.35">
      <c r="O102" s="108"/>
    </row>
    <row r="103" spans="15:15" x14ac:dyDescent="0.35">
      <c r="O103" s="108"/>
    </row>
    <row r="104" spans="15:15" x14ac:dyDescent="0.35">
      <c r="O104" s="108"/>
    </row>
    <row r="105" spans="15:15" x14ac:dyDescent="0.35">
      <c r="O105" s="108"/>
    </row>
    <row r="106" spans="15:15" x14ac:dyDescent="0.35">
      <c r="O106" s="108"/>
    </row>
    <row r="107" spans="15:15" x14ac:dyDescent="0.35">
      <c r="O107" s="108"/>
    </row>
    <row r="108" spans="15:15" x14ac:dyDescent="0.35">
      <c r="O108" s="108"/>
    </row>
  </sheetData>
  <mergeCells count="2">
    <mergeCell ref="H15:I15"/>
    <mergeCell ref="E15:F15"/>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40501-4F64-49B5-98BA-16AEFF06F72B}">
  <dimension ref="A2:K32"/>
  <sheetViews>
    <sheetView tabSelected="1" topLeftCell="A7" workbookViewId="0">
      <selection activeCell="E12" sqref="E12"/>
    </sheetView>
  </sheetViews>
  <sheetFormatPr defaultRowHeight="14.5" x14ac:dyDescent="0.35"/>
  <cols>
    <col min="2" max="2" width="16.6328125" customWidth="1"/>
    <col min="3" max="3" width="26.453125" customWidth="1"/>
    <col min="4" max="4" width="21.81640625" customWidth="1"/>
    <col min="5" max="5" width="19.6328125" customWidth="1"/>
    <col min="7" max="7" width="13.7265625" customWidth="1"/>
    <col min="8" max="8" width="13.08984375" customWidth="1"/>
    <col min="9" max="9" width="12.26953125" customWidth="1"/>
    <col min="10" max="10" width="16" customWidth="1"/>
    <col min="11" max="11" width="10.81640625" customWidth="1"/>
  </cols>
  <sheetData>
    <row r="2" spans="1:11" ht="35.5" customHeight="1" x14ac:dyDescent="0.35">
      <c r="D2" t="e" cm="1">
        <f t="array" aca="1" ref="D2" ca="1">RegExpMatch(DAY '[1]8'!D2, "^E0[0-9]{4}$",FALSE)</f>
        <v>#NAME?</v>
      </c>
    </row>
    <row r="3" spans="1:11" hidden="1" x14ac:dyDescent="0.35"/>
    <row r="4" spans="1:11" x14ac:dyDescent="0.35">
      <c r="D4" s="159" t="s">
        <v>301</v>
      </c>
      <c r="E4" s="160"/>
      <c r="F4" s="160"/>
    </row>
    <row r="5" spans="1:11" x14ac:dyDescent="0.35">
      <c r="A5" s="124" t="s">
        <v>229</v>
      </c>
      <c r="B5" s="125" t="s">
        <v>171</v>
      </c>
      <c r="C5" s="125" t="s">
        <v>230</v>
      </c>
      <c r="D5" s="125" t="s">
        <v>231</v>
      </c>
      <c r="E5" s="125" t="s">
        <v>232</v>
      </c>
      <c r="F5" s="125" t="s">
        <v>233</v>
      </c>
      <c r="G5" s="125" t="s">
        <v>295</v>
      </c>
      <c r="H5" s="129" t="s">
        <v>61</v>
      </c>
      <c r="I5" s="125" t="s">
        <v>234</v>
      </c>
      <c r="J5" s="125" t="s">
        <v>235</v>
      </c>
      <c r="K5" s="125" t="s">
        <v>236</v>
      </c>
    </row>
    <row r="6" spans="1:11" x14ac:dyDescent="0.35">
      <c r="D6" t="s">
        <v>240</v>
      </c>
      <c r="F6" t="s">
        <v>242</v>
      </c>
      <c r="J6" t="s">
        <v>299</v>
      </c>
    </row>
    <row r="7" spans="1:11" ht="82.5" customHeight="1" x14ac:dyDescent="0.35">
      <c r="A7" s="61" t="s">
        <v>296</v>
      </c>
      <c r="B7" s="61"/>
      <c r="C7" s="60"/>
      <c r="D7" s="60"/>
      <c r="E7" s="60"/>
      <c r="F7" s="158" t="s">
        <v>298</v>
      </c>
      <c r="G7" s="158"/>
      <c r="H7" s="61" t="s">
        <v>297</v>
      </c>
      <c r="I7" s="60"/>
      <c r="J7" s="61" t="s">
        <v>294</v>
      </c>
      <c r="K7" s="60"/>
    </row>
    <row r="8" spans="1:11" x14ac:dyDescent="0.35">
      <c r="A8" s="124" t="s">
        <v>229</v>
      </c>
      <c r="B8" s="125" t="s">
        <v>171</v>
      </c>
      <c r="C8" s="125" t="s">
        <v>230</v>
      </c>
      <c r="D8" s="125" t="s">
        <v>231</v>
      </c>
      <c r="E8" s="125" t="s">
        <v>232</v>
      </c>
      <c r="F8" s="125" t="s">
        <v>233</v>
      </c>
      <c r="G8" s="125" t="s">
        <v>295</v>
      </c>
      <c r="H8" s="129" t="s">
        <v>61</v>
      </c>
      <c r="I8" s="125" t="s">
        <v>234</v>
      </c>
      <c r="J8" s="125" t="s">
        <v>235</v>
      </c>
      <c r="K8" s="125" t="s">
        <v>236</v>
      </c>
    </row>
    <row r="9" spans="1:11" x14ac:dyDescent="0.35">
      <c r="A9" s="122" t="s">
        <v>237</v>
      </c>
      <c r="B9" s="123" t="s">
        <v>238</v>
      </c>
      <c r="C9" s="123" t="s">
        <v>239</v>
      </c>
      <c r="D9" s="123" t="s">
        <v>240</v>
      </c>
      <c r="E9" s="123" t="s">
        <v>241</v>
      </c>
      <c r="F9" s="123" t="s">
        <v>242</v>
      </c>
      <c r="G9" s="123">
        <v>1</v>
      </c>
      <c r="H9" s="123">
        <v>55</v>
      </c>
      <c r="I9" s="126"/>
      <c r="J9" s="127">
        <v>141604</v>
      </c>
      <c r="K9" s="123" t="s">
        <v>284</v>
      </c>
    </row>
    <row r="10" spans="1:11" x14ac:dyDescent="0.35">
      <c r="A10" s="122" t="s">
        <v>243</v>
      </c>
      <c r="B10" s="123" t="s">
        <v>244</v>
      </c>
      <c r="C10" s="123" t="s">
        <v>245</v>
      </c>
      <c r="D10" s="123" t="s">
        <v>240</v>
      </c>
      <c r="E10" s="123" t="s">
        <v>246</v>
      </c>
      <c r="F10" s="123" t="s">
        <v>247</v>
      </c>
      <c r="G10" s="123">
        <v>4</v>
      </c>
      <c r="H10" s="123">
        <v>59</v>
      </c>
      <c r="I10" s="126"/>
      <c r="J10" s="127">
        <v>99975</v>
      </c>
      <c r="K10" s="123" t="s">
        <v>285</v>
      </c>
    </row>
    <row r="11" spans="1:11" x14ac:dyDescent="0.35">
      <c r="A11" s="122" t="s">
        <v>248</v>
      </c>
      <c r="B11" s="123" t="s">
        <v>249</v>
      </c>
      <c r="C11" s="123" t="s">
        <v>250</v>
      </c>
      <c r="D11" s="123" t="s">
        <v>251</v>
      </c>
      <c r="E11" s="123" t="s">
        <v>252</v>
      </c>
      <c r="F11" s="123" t="s">
        <v>242</v>
      </c>
      <c r="G11" s="123">
        <v>5</v>
      </c>
      <c r="H11" s="123">
        <v>50</v>
      </c>
      <c r="I11" s="126"/>
      <c r="J11" s="127">
        <v>163099</v>
      </c>
      <c r="K11" s="123" t="s">
        <v>286</v>
      </c>
    </row>
    <row r="12" spans="1:11" x14ac:dyDescent="0.35">
      <c r="A12" s="122" t="s">
        <v>253</v>
      </c>
      <c r="B12" s="123" t="s">
        <v>254</v>
      </c>
      <c r="C12" s="123" t="s">
        <v>255</v>
      </c>
      <c r="D12" s="123" t="s">
        <v>240</v>
      </c>
      <c r="E12" s="123" t="s">
        <v>246</v>
      </c>
      <c r="F12" s="123" t="s">
        <v>242</v>
      </c>
      <c r="G12" s="123">
        <v>6</v>
      </c>
      <c r="H12" s="123">
        <v>19</v>
      </c>
      <c r="I12" s="126"/>
      <c r="J12" s="127">
        <v>84913</v>
      </c>
      <c r="K12" s="123" t="s">
        <v>287</v>
      </c>
    </row>
    <row r="13" spans="1:11" x14ac:dyDescent="0.35">
      <c r="A13" s="122" t="s">
        <v>256</v>
      </c>
      <c r="B13" s="123" t="s">
        <v>257</v>
      </c>
      <c r="C13" s="123" t="s">
        <v>258</v>
      </c>
      <c r="D13" s="123" t="s">
        <v>251</v>
      </c>
      <c r="E13" s="123" t="s">
        <v>246</v>
      </c>
      <c r="F13" s="123" t="s">
        <v>247</v>
      </c>
      <c r="G13" s="123">
        <v>8</v>
      </c>
      <c r="H13" s="123">
        <v>55</v>
      </c>
      <c r="I13" s="126"/>
      <c r="J13" s="127">
        <v>95409</v>
      </c>
      <c r="K13" s="123" t="s">
        <v>288</v>
      </c>
    </row>
    <row r="14" spans="1:11" x14ac:dyDescent="0.35">
      <c r="A14" s="122" t="s">
        <v>259</v>
      </c>
      <c r="B14" s="123" t="s">
        <v>260</v>
      </c>
      <c r="C14" s="123" t="s">
        <v>261</v>
      </c>
      <c r="D14" s="123" t="s">
        <v>262</v>
      </c>
      <c r="E14" s="123" t="s">
        <v>263</v>
      </c>
      <c r="F14" s="123" t="s">
        <v>247</v>
      </c>
      <c r="G14" s="123">
        <v>3</v>
      </c>
      <c r="H14" s="123">
        <v>57</v>
      </c>
      <c r="I14" s="126"/>
      <c r="J14" s="127">
        <v>50994</v>
      </c>
      <c r="K14" s="123" t="s">
        <v>289</v>
      </c>
    </row>
    <row r="15" spans="1:11" x14ac:dyDescent="0.35">
      <c r="A15" s="122" t="s">
        <v>264</v>
      </c>
      <c r="B15" s="123" t="s">
        <v>265</v>
      </c>
      <c r="C15" s="123" t="s">
        <v>266</v>
      </c>
      <c r="D15" s="123" t="s">
        <v>240</v>
      </c>
      <c r="E15" s="123" t="s">
        <v>263</v>
      </c>
      <c r="F15" s="123" t="s">
        <v>242</v>
      </c>
      <c r="G15" s="123">
        <v>4</v>
      </c>
      <c r="H15" s="123">
        <v>27</v>
      </c>
      <c r="I15" s="126"/>
      <c r="J15" s="127">
        <v>119746</v>
      </c>
      <c r="K15" s="123" t="s">
        <v>290</v>
      </c>
    </row>
    <row r="16" spans="1:11" x14ac:dyDescent="0.35">
      <c r="A16" s="122" t="s">
        <v>267</v>
      </c>
      <c r="B16" s="123" t="s">
        <v>268</v>
      </c>
      <c r="C16" s="123" t="s">
        <v>269</v>
      </c>
      <c r="D16" s="123" t="s">
        <v>251</v>
      </c>
      <c r="E16" s="123" t="s">
        <v>246</v>
      </c>
      <c r="F16" s="123" t="s">
        <v>247</v>
      </c>
      <c r="G16" s="123">
        <v>7</v>
      </c>
      <c r="H16" s="123">
        <v>25</v>
      </c>
      <c r="I16" s="126"/>
      <c r="J16" s="127">
        <v>41336</v>
      </c>
      <c r="K16" s="123" t="s">
        <v>291</v>
      </c>
    </row>
    <row r="17" spans="1:11" x14ac:dyDescent="0.35">
      <c r="A17" s="122" t="s">
        <v>270</v>
      </c>
      <c r="B17" s="123" t="s">
        <v>271</v>
      </c>
      <c r="C17" s="123" t="s">
        <v>266</v>
      </c>
      <c r="D17" s="123" t="s">
        <v>272</v>
      </c>
      <c r="E17" s="123" t="s">
        <v>246</v>
      </c>
      <c r="F17" s="123" t="s">
        <v>247</v>
      </c>
      <c r="G17" s="123">
        <v>10</v>
      </c>
      <c r="H17" s="123">
        <v>29</v>
      </c>
      <c r="I17" s="126"/>
      <c r="J17" s="127">
        <v>113527</v>
      </c>
      <c r="K17" s="123" t="s">
        <v>292</v>
      </c>
    </row>
    <row r="18" spans="1:11" x14ac:dyDescent="0.35">
      <c r="A18" s="122" t="s">
        <v>273</v>
      </c>
      <c r="B18" s="123" t="s">
        <v>274</v>
      </c>
      <c r="C18" s="123" t="s">
        <v>258</v>
      </c>
      <c r="D18" s="123" t="s">
        <v>251</v>
      </c>
      <c r="E18" s="123" t="s">
        <v>252</v>
      </c>
      <c r="F18" s="123" t="s">
        <v>242</v>
      </c>
      <c r="G18" s="123">
        <v>15</v>
      </c>
      <c r="H18" s="123">
        <v>34</v>
      </c>
      <c r="I18" s="126"/>
      <c r="J18" s="127">
        <v>141604</v>
      </c>
      <c r="K18" s="123" t="s">
        <v>293</v>
      </c>
    </row>
    <row r="19" spans="1:11" x14ac:dyDescent="0.35">
      <c r="A19" s="122" t="s">
        <v>275</v>
      </c>
      <c r="B19" s="123" t="s">
        <v>276</v>
      </c>
      <c r="C19" s="123" t="s">
        <v>239</v>
      </c>
      <c r="D19" s="123" t="s">
        <v>277</v>
      </c>
      <c r="E19" s="123" t="s">
        <v>246</v>
      </c>
      <c r="F19" s="123" t="s">
        <v>242</v>
      </c>
      <c r="G19" s="123">
        <v>2</v>
      </c>
      <c r="H19" s="123">
        <v>36</v>
      </c>
      <c r="I19" s="126"/>
      <c r="J19" s="127">
        <v>157333</v>
      </c>
      <c r="K19" s="123" t="s">
        <v>284</v>
      </c>
    </row>
    <row r="20" spans="1:11" x14ac:dyDescent="0.35">
      <c r="A20" t="s">
        <v>278</v>
      </c>
      <c r="B20" t="s">
        <v>279</v>
      </c>
      <c r="C20" t="s">
        <v>280</v>
      </c>
      <c r="D20" t="s">
        <v>281</v>
      </c>
      <c r="E20" t="s">
        <v>252</v>
      </c>
      <c r="F20" t="s">
        <v>242</v>
      </c>
      <c r="G20">
        <v>1</v>
      </c>
      <c r="H20">
        <v>27</v>
      </c>
      <c r="I20" s="28"/>
      <c r="J20" s="128">
        <v>109851</v>
      </c>
      <c r="K20" t="s">
        <v>285</v>
      </c>
    </row>
    <row r="21" spans="1:11" x14ac:dyDescent="0.35">
      <c r="A21" s="122" t="s">
        <v>282</v>
      </c>
      <c r="B21" s="123" t="s">
        <v>283</v>
      </c>
      <c r="C21" s="123" t="s">
        <v>266</v>
      </c>
      <c r="D21" s="123" t="s">
        <v>277</v>
      </c>
      <c r="E21" s="123" t="s">
        <v>246</v>
      </c>
      <c r="F21" s="123" t="s">
        <v>247</v>
      </c>
      <c r="G21" s="123">
        <v>5</v>
      </c>
      <c r="H21" s="123">
        <v>65</v>
      </c>
      <c r="I21" s="126"/>
      <c r="J21" s="127">
        <v>105086</v>
      </c>
      <c r="K21" s="123" t="s">
        <v>286</v>
      </c>
    </row>
    <row r="22" spans="1:11" x14ac:dyDescent="0.35">
      <c r="J22" s="60" t="str">
        <f>"TOTAL=$"&amp;SUM(CTC)</f>
        <v>TOTAL=$1424477</v>
      </c>
    </row>
    <row r="23" spans="1:11" x14ac:dyDescent="0.35">
      <c r="J23" s="60"/>
    </row>
    <row r="24" spans="1:11" x14ac:dyDescent="0.35">
      <c r="J24" s="60"/>
    </row>
    <row r="25" spans="1:11" x14ac:dyDescent="0.35">
      <c r="J25" s="60"/>
    </row>
    <row r="26" spans="1:11" x14ac:dyDescent="0.35">
      <c r="J26" s="60"/>
    </row>
    <row r="27" spans="1:11" x14ac:dyDescent="0.35">
      <c r="J27" s="60"/>
    </row>
    <row r="28" spans="1:11" x14ac:dyDescent="0.35">
      <c r="C28" s="159" t="s">
        <v>300</v>
      </c>
      <c r="D28" s="159"/>
      <c r="E28" s="159"/>
      <c r="F28" s="159"/>
      <c r="G28" s="159"/>
      <c r="H28" s="159"/>
      <c r="I28" s="159"/>
    </row>
    <row r="29" spans="1:11" x14ac:dyDescent="0.35">
      <c r="A29" s="124" t="s">
        <v>229</v>
      </c>
      <c r="B29" s="125" t="s">
        <v>171</v>
      </c>
      <c r="C29" s="125" t="s">
        <v>230</v>
      </c>
      <c r="D29" s="125" t="s">
        <v>231</v>
      </c>
      <c r="E29" s="125" t="s">
        <v>232</v>
      </c>
      <c r="F29" s="125" t="s">
        <v>233</v>
      </c>
      <c r="G29" s="125" t="s">
        <v>295</v>
      </c>
      <c r="H29" s="129" t="s">
        <v>61</v>
      </c>
      <c r="I29" s="125" t="s">
        <v>234</v>
      </c>
      <c r="J29" s="125" t="s">
        <v>235</v>
      </c>
      <c r="K29" s="125" t="s">
        <v>236</v>
      </c>
    </row>
    <row r="30" spans="1:11" x14ac:dyDescent="0.35">
      <c r="A30" s="122" t="s">
        <v>237</v>
      </c>
      <c r="B30" s="123" t="s">
        <v>238</v>
      </c>
      <c r="C30" s="123" t="s">
        <v>239</v>
      </c>
      <c r="D30" s="123" t="s">
        <v>240</v>
      </c>
      <c r="E30" s="123" t="s">
        <v>241</v>
      </c>
      <c r="F30" s="123" t="s">
        <v>242</v>
      </c>
      <c r="G30" s="123">
        <v>1</v>
      </c>
      <c r="H30" s="123">
        <v>55</v>
      </c>
      <c r="I30" s="126"/>
      <c r="J30" s="127">
        <v>141604</v>
      </c>
      <c r="K30" s="123" t="s">
        <v>284</v>
      </c>
    </row>
    <row r="31" spans="1:11" x14ac:dyDescent="0.35">
      <c r="A31" s="122" t="s">
        <v>253</v>
      </c>
      <c r="B31" s="123" t="s">
        <v>254</v>
      </c>
      <c r="C31" s="123" t="s">
        <v>255</v>
      </c>
      <c r="D31" s="123" t="s">
        <v>240</v>
      </c>
      <c r="E31" s="123" t="s">
        <v>246</v>
      </c>
      <c r="F31" s="123" t="s">
        <v>242</v>
      </c>
      <c r="G31" s="123">
        <v>6</v>
      </c>
      <c r="H31" s="123">
        <v>19</v>
      </c>
      <c r="I31" s="126"/>
      <c r="J31" s="127">
        <v>84913</v>
      </c>
      <c r="K31" s="123" t="s">
        <v>287</v>
      </c>
    </row>
    <row r="32" spans="1:11" x14ac:dyDescent="0.35">
      <c r="A32" s="122" t="s">
        <v>264</v>
      </c>
      <c r="B32" s="123" t="s">
        <v>265</v>
      </c>
      <c r="C32" s="123" t="s">
        <v>266</v>
      </c>
      <c r="D32" s="123" t="s">
        <v>240</v>
      </c>
      <c r="E32" s="123" t="s">
        <v>263</v>
      </c>
      <c r="F32" s="123" t="s">
        <v>242</v>
      </c>
      <c r="G32" s="123">
        <v>4</v>
      </c>
      <c r="H32" s="123">
        <v>27</v>
      </c>
      <c r="I32" s="126"/>
      <c r="J32" s="127">
        <v>119746</v>
      </c>
      <c r="K32" s="123" t="s">
        <v>290</v>
      </c>
    </row>
  </sheetData>
  <autoFilter ref="A29:K32" xr:uid="{6F040501-4F64-49B5-98BA-16AEFF06F72B}"/>
  <mergeCells count="3">
    <mergeCell ref="F7:G7"/>
    <mergeCell ref="C28:I28"/>
    <mergeCell ref="D4:F4"/>
  </mergeCells>
  <conditionalFormatting sqref="F9:F21">
    <cfRule type="iconSet" priority="7">
      <iconSet iconSet="5ArrowsGray">
        <cfvo type="percent" val="0"/>
        <cfvo type="percent" val="20"/>
        <cfvo type="percent" val="40"/>
        <cfvo type="percent" val="60"/>
        <cfvo type="percent" val="80"/>
      </iconSet>
    </cfRule>
  </conditionalFormatting>
  <conditionalFormatting sqref="F9:F27 F29:F35">
    <cfRule type="containsText" dxfId="1" priority="1" operator="containsText" text="Female">
      <formula>NOT(ISERROR(SEARCH("Female",F9)))</formula>
    </cfRule>
  </conditionalFormatting>
  <conditionalFormatting sqref="F9:F27 F29:F62">
    <cfRule type="containsText" dxfId="0" priority="2" operator="containsText" text="Male">
      <formula>NOT(ISERROR(SEARCH("Male",F9)))</formula>
    </cfRule>
  </conditionalFormatting>
  <conditionalFormatting sqref="G9:G27 G29:G47">
    <cfRule type="dataBar" priority="3">
      <dataBar>
        <cfvo type="min"/>
        <cfvo type="max"/>
        <color rgb="FF63C384"/>
      </dataBar>
      <extLst>
        <ext xmlns:x14="http://schemas.microsoft.com/office/spreadsheetml/2009/9/main" uri="{B025F937-C7B1-47D3-B67F-A62EFF666E3E}">
          <x14:id>{C4F1CAA5-D99D-4A52-A5C6-028A9BAB55A5}</x14:id>
        </ext>
      </extLst>
    </cfRule>
  </conditionalFormatting>
  <dataValidations count="4">
    <dataValidation type="whole" allowBlank="1" showInputMessage="1" showErrorMessage="1" promptTitle="Limit" prompt="Should be between is between 0 to 38 years" sqref="G9:G27 G29:G48" xr:uid="{A377A7D5-42C4-49C3-B5F7-019FC400950E}">
      <formula1>0</formula1>
      <formula2>38</formula2>
    </dataValidation>
    <dataValidation type="custom" allowBlank="1" showInputMessage="1" showErrorMessage="1" sqref="A9:A48 D3:D4 D6" xr:uid="{A621E84F-E1BF-4F0F-8EE3-E0CEB3E899B3}">
      <formula1>RegId</formula1>
    </dataValidation>
    <dataValidation type="whole" errorStyle="information" allowBlank="1" showInputMessage="1" showErrorMessage="1" errorTitle="Age Limit" error="Should be between 22 to 60 years of age" promptTitle="Age Limit" prompt="Should be between 22 to 60 years of age" sqref="H9:H27 H29:H48" xr:uid="{8D34B9BD-ED2F-4169-9283-348EEA420DC6}">
      <formula1>22</formula1>
      <formula2>60</formula2>
    </dataValidation>
    <dataValidation type="list" allowBlank="1" showInputMessage="1" showErrorMessage="1" sqref="F29:F43 F9:F27" xr:uid="{4EB6BCE7-E31A-4689-A664-BAC07D9EC674}">
      <formula1>$F$20:$F$21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6" id="{51126491-4F6C-4F6C-B0A8-EB513EBE3ED5}">
            <x14:iconSet iconSet="3Triangles">
              <x14:cfvo type="percent">
                <xm:f>0</xm:f>
              </x14:cfvo>
              <x14:cfvo type="percent">
                <xm:f>33</xm:f>
              </x14:cfvo>
              <x14:cfvo type="percent">
                <xm:f>67</xm:f>
              </x14:cfvo>
            </x14:iconSet>
          </x14:cfRule>
          <xm:sqref>F9:F21</xm:sqref>
        </x14:conditionalFormatting>
        <x14:conditionalFormatting xmlns:xm="http://schemas.microsoft.com/office/excel/2006/main">
          <x14:cfRule type="dataBar" id="{C4F1CAA5-D99D-4A52-A5C6-028A9BAB55A5}">
            <x14:dataBar minLength="0" maxLength="100" gradient="0">
              <x14:cfvo type="autoMin"/>
              <x14:cfvo type="autoMax"/>
              <x14:negativeFillColor rgb="FFFF0000"/>
              <x14:axisColor rgb="FF000000"/>
            </x14:dataBar>
          </x14:cfRule>
          <xm:sqref>G9:G27 G29:G47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DAY 1</vt:lpstr>
      <vt:lpstr>DAY 2</vt:lpstr>
      <vt:lpstr>DAY 3</vt:lpstr>
      <vt:lpstr>DAY 4</vt:lpstr>
      <vt:lpstr>DAY 5</vt:lpstr>
      <vt:lpstr>DAY 6</vt:lpstr>
      <vt:lpstr>DAY 7</vt:lpstr>
      <vt:lpstr>DAY 8</vt:lpstr>
      <vt:lpstr>'DAY 8'!Criteria</vt:lpstr>
      <vt:lpstr>CTC</vt:lpstr>
      <vt:lpstr>'DAY 8'!Extract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Shenoy Udyavara, Supriya</dc:creator>
  <cp:lastModifiedBy>Shenoy Udyavara, Supriya</cp:lastModifiedBy>
  <dcterms:created xsi:type="dcterms:W3CDTF">2023-08-16T16:33:09Z</dcterms:created>
  <dcterms:modified xsi:type="dcterms:W3CDTF">2023-08-29T08:25:06Z</dcterms:modified>
</cp:coreProperties>
</file>